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jramos\Downloads\"/>
    </mc:Choice>
  </mc:AlternateContent>
  <xr:revisionPtr revIDLastSave="0" documentId="13_ncr:1_{7957AE9A-A1CB-4DF9-A436-D3247ECD41B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PARAMETROS" sheetId="3" r:id="rId1"/>
    <sheet name="EEFF" sheetId="4" r:id="rId2"/>
    <sheet name="DEUDA" sheetId="5" r:id="rId3"/>
    <sheet name="Hoja1" sheetId="2" state="hidden" r:id="rId4"/>
    <sheet name="ESCENARIOS" sheetId="6" r:id="rId5"/>
    <sheet name="TASAS" sheetId="7" r:id="rId6"/>
  </sheets>
  <externalReferences>
    <externalReference r:id="rId7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5" l="1"/>
  <c r="C6" i="4"/>
  <c r="C9" i="4" s="1"/>
  <c r="C24" i="4" l="1"/>
  <c r="C23" i="4"/>
  <c r="C55" i="4"/>
  <c r="C42" i="4"/>
  <c r="F7" i="7"/>
  <c r="D54" i="3"/>
  <c r="C22" i="4" l="1"/>
  <c r="O10" i="7"/>
  <c r="O9" i="7"/>
  <c r="O8" i="7"/>
  <c r="O7" i="7"/>
  <c r="F8" i="7"/>
  <c r="F9" i="7" s="1"/>
  <c r="F10" i="7" s="1"/>
  <c r="L7" i="7"/>
  <c r="L8" i="7" s="1"/>
  <c r="L9" i="7" s="1"/>
  <c r="L10" i="7" s="1"/>
  <c r="I7" i="7"/>
  <c r="I8" i="7" s="1"/>
  <c r="I9" i="7" s="1"/>
  <c r="I10" i="7" s="1"/>
  <c r="C9" i="7"/>
  <c r="C8" i="7"/>
  <c r="C7" i="7"/>
  <c r="C3" i="7"/>
  <c r="D3" i="7" s="1"/>
  <c r="E3" i="7" l="1"/>
  <c r="F3" i="7" s="1"/>
  <c r="C51" i="4" l="1"/>
  <c r="C39" i="4"/>
  <c r="C41" i="4"/>
  <c r="C58" i="4"/>
  <c r="C48" i="4"/>
  <c r="C16" i="5"/>
  <c r="D5" i="5"/>
  <c r="D59" i="3"/>
  <c r="D5" i="4" s="1"/>
  <c r="D42" i="4" s="1"/>
  <c r="D41" i="4" s="1"/>
  <c r="D63" i="3"/>
  <c r="H7" i="4" s="1"/>
  <c r="C8" i="5" l="1"/>
  <c r="C9" i="5" s="1"/>
  <c r="C12" i="4" s="1"/>
  <c r="C11" i="4" s="1"/>
  <c r="C13" i="4" s="1"/>
  <c r="C14" i="4" s="1"/>
  <c r="C49" i="4" s="1"/>
  <c r="C50" i="4" s="1"/>
  <c r="C57" i="4"/>
  <c r="C56" i="4"/>
  <c r="E5" i="4"/>
  <c r="E42" i="4" s="1"/>
  <c r="E41" i="4" s="1"/>
  <c r="F5" i="4"/>
  <c r="F42" i="4" s="1"/>
  <c r="F41" i="4" s="1"/>
  <c r="G5" i="4"/>
  <c r="G42" i="4" s="1"/>
  <c r="G27" i="4" s="1"/>
  <c r="H5" i="4"/>
  <c r="H42" i="4" s="1"/>
  <c r="H41" i="4" s="1"/>
  <c r="C21" i="4"/>
  <c r="C38" i="4"/>
  <c r="C44" i="4" s="1"/>
  <c r="C45" i="4" s="1"/>
  <c r="C52" i="4" s="1"/>
  <c r="D23" i="4"/>
  <c r="E23" i="4" s="1"/>
  <c r="C27" i="4"/>
  <c r="D27" i="4"/>
  <c r="F7" i="4"/>
  <c r="G7" i="4"/>
  <c r="E7" i="4"/>
  <c r="D7" i="4"/>
  <c r="H32" i="3"/>
  <c r="I32" i="3"/>
  <c r="G32" i="3"/>
  <c r="D42" i="3"/>
  <c r="F27" i="4" l="1"/>
  <c r="G41" i="4"/>
  <c r="H27" i="4"/>
  <c r="E27" i="4"/>
  <c r="C53" i="4"/>
  <c r="C15" i="4"/>
  <c r="C32" i="4" s="1"/>
  <c r="D33" i="4" s="1"/>
  <c r="F23" i="4"/>
  <c r="G23" i="4" s="1"/>
  <c r="C61" i="4" l="1"/>
  <c r="C63" i="4" s="1"/>
  <c r="C31" i="4" s="1"/>
  <c r="C30" i="4" s="1"/>
  <c r="H23" i="4"/>
  <c r="C65" i="4" l="1"/>
  <c r="C67" i="4" s="1"/>
  <c r="C20" i="4"/>
  <c r="C19" i="4" s="1"/>
  <c r="D66" i="4"/>
  <c r="D73" i="3" l="1"/>
  <c r="D74" i="3" s="1"/>
  <c r="D8" i="4" l="1"/>
  <c r="D24" i="4" s="1"/>
  <c r="H74" i="3"/>
  <c r="H8" i="4" s="1"/>
  <c r="E74" i="3"/>
  <c r="E8" i="4" s="1"/>
  <c r="G74" i="3"/>
  <c r="G8" i="4" s="1"/>
  <c r="F74" i="3"/>
  <c r="F8" i="4" s="1"/>
  <c r="C11" i="5"/>
  <c r="F32" i="3"/>
  <c r="E32" i="3"/>
  <c r="K16" i="3"/>
  <c r="L16" i="3" s="1"/>
  <c r="P16" i="3" s="1"/>
  <c r="E19" i="3" s="1"/>
  <c r="E27" i="3" s="1"/>
  <c r="L15" i="3"/>
  <c r="N15" i="3" s="1"/>
  <c r="F5" i="3"/>
  <c r="G5" i="3" s="1"/>
  <c r="H5" i="3" s="1"/>
  <c r="I5" i="3" s="1"/>
  <c r="F10" i="3"/>
  <c r="G10" i="3" s="1"/>
  <c r="H10" i="3" s="1"/>
  <c r="I10" i="3" s="1"/>
  <c r="F6" i="3"/>
  <c r="G6" i="3" s="1"/>
  <c r="H6" i="3" s="1"/>
  <c r="I6" i="3" s="1"/>
  <c r="F7" i="3"/>
  <c r="G7" i="3" s="1"/>
  <c r="H7" i="3" s="1"/>
  <c r="I7" i="3" s="1"/>
  <c r="F8" i="3"/>
  <c r="G8" i="3" s="1"/>
  <c r="H8" i="3" s="1"/>
  <c r="I8" i="3" s="1"/>
  <c r="F9" i="3"/>
  <c r="G9" i="3" s="1"/>
  <c r="H9" i="3" s="1"/>
  <c r="I9" i="3" s="1"/>
  <c r="E24" i="4" l="1"/>
  <c r="D22" i="4"/>
  <c r="C13" i="5"/>
  <c r="C28" i="4" s="1"/>
  <c r="E16" i="3"/>
  <c r="E24" i="3" s="1"/>
  <c r="F19" i="3"/>
  <c r="F27" i="3" s="1"/>
  <c r="Q16" i="3"/>
  <c r="M15" i="3"/>
  <c r="E15" i="3" s="1"/>
  <c r="S15" i="3"/>
  <c r="O15" i="3"/>
  <c r="E17" i="3" s="1"/>
  <c r="E25" i="3" s="1"/>
  <c r="R15" i="3"/>
  <c r="E18" i="3" s="1"/>
  <c r="E26" i="3" s="1"/>
  <c r="F24" i="4" l="1"/>
  <c r="E22" i="4"/>
  <c r="D8" i="5"/>
  <c r="D12" i="5" s="1"/>
  <c r="D58" i="4" s="1"/>
  <c r="D56" i="4" s="1"/>
  <c r="C26" i="4"/>
  <c r="C35" i="4" s="1"/>
  <c r="E23" i="3"/>
  <c r="G19" i="3"/>
  <c r="G27" i="3" s="1"/>
  <c r="F16" i="3"/>
  <c r="H19" i="3"/>
  <c r="H27" i="3" s="1"/>
  <c r="F18" i="3"/>
  <c r="F26" i="3" s="1"/>
  <c r="F17" i="3"/>
  <c r="F25" i="3" s="1"/>
  <c r="E20" i="3"/>
  <c r="F15" i="3"/>
  <c r="D9" i="5" l="1"/>
  <c r="D10" i="5" s="1"/>
  <c r="D55" i="4" s="1"/>
  <c r="G24" i="4"/>
  <c r="F22" i="4"/>
  <c r="D12" i="4"/>
  <c r="D11" i="4" s="1"/>
  <c r="D13" i="5"/>
  <c r="F20" i="3"/>
  <c r="F28" i="3" s="1"/>
  <c r="E28" i="3"/>
  <c r="G16" i="3"/>
  <c r="F24" i="3"/>
  <c r="F23" i="3"/>
  <c r="F29" i="3" s="1"/>
  <c r="E4" i="4" s="1"/>
  <c r="E39" i="4" s="1"/>
  <c r="E29" i="3"/>
  <c r="D4" i="4" s="1"/>
  <c r="D6" i="4" s="1"/>
  <c r="D9" i="4" s="1"/>
  <c r="I19" i="3"/>
  <c r="I27" i="3" s="1"/>
  <c r="G17" i="3"/>
  <c r="G25" i="3" s="1"/>
  <c r="G18" i="3"/>
  <c r="G26" i="3" s="1"/>
  <c r="G15" i="3"/>
  <c r="G20" i="3" l="1"/>
  <c r="G28" i="3" s="1"/>
  <c r="D39" i="4"/>
  <c r="E21" i="4"/>
  <c r="E38" i="4"/>
  <c r="E44" i="4" s="1"/>
  <c r="H24" i="4"/>
  <c r="H22" i="4" s="1"/>
  <c r="G22" i="4"/>
  <c r="E8" i="5"/>
  <c r="E9" i="5" s="1"/>
  <c r="D28" i="4"/>
  <c r="D26" i="4" s="1"/>
  <c r="H16" i="3"/>
  <c r="G24" i="3"/>
  <c r="G23" i="3"/>
  <c r="G29" i="3" s="1"/>
  <c r="F4" i="4" s="1"/>
  <c r="F39" i="4" s="1"/>
  <c r="H20" i="3"/>
  <c r="H28" i="3" s="1"/>
  <c r="H18" i="3"/>
  <c r="H26" i="3" s="1"/>
  <c r="H17" i="3"/>
  <c r="H25" i="3" s="1"/>
  <c r="E6" i="4"/>
  <c r="E9" i="4" s="1"/>
  <c r="H15" i="3"/>
  <c r="E48" i="4" l="1"/>
  <c r="D48" i="4"/>
  <c r="D13" i="4"/>
  <c r="D14" i="4" s="1"/>
  <c r="D49" i="4" s="1"/>
  <c r="D50" i="4" s="1"/>
  <c r="F21" i="4"/>
  <c r="F38" i="4"/>
  <c r="F44" i="4" s="1"/>
  <c r="F45" i="4" s="1"/>
  <c r="F52" i="4" s="1"/>
  <c r="D21" i="4"/>
  <c r="D38" i="4"/>
  <c r="D44" i="4" s="1"/>
  <c r="D45" i="4" s="1"/>
  <c r="D52" i="4" s="1"/>
  <c r="E10" i="5"/>
  <c r="E55" i="4" s="1"/>
  <c r="E12" i="4"/>
  <c r="E11" i="4" s="1"/>
  <c r="E13" i="4" s="1"/>
  <c r="I16" i="3"/>
  <c r="I24" i="3" s="1"/>
  <c r="H24" i="3"/>
  <c r="H23" i="3"/>
  <c r="I20" i="3"/>
  <c r="I28" i="3" s="1"/>
  <c r="I17" i="3"/>
  <c r="I25" i="3" s="1"/>
  <c r="I18" i="3"/>
  <c r="I26" i="3" s="1"/>
  <c r="F6" i="4"/>
  <c r="F9" i="4" s="1"/>
  <c r="I15" i="3"/>
  <c r="H29" i="3" l="1"/>
  <c r="G4" i="4" s="1"/>
  <c r="G39" i="4" s="1"/>
  <c r="F48" i="4"/>
  <c r="D15" i="4"/>
  <c r="D32" i="4" s="1"/>
  <c r="E33" i="4" s="1"/>
  <c r="D53" i="4"/>
  <c r="G38" i="4"/>
  <c r="G44" i="4" s="1"/>
  <c r="G21" i="4"/>
  <c r="E45" i="4"/>
  <c r="E52" i="4" s="1"/>
  <c r="E14" i="4"/>
  <c r="E49" i="4" s="1"/>
  <c r="E50" i="4" s="1"/>
  <c r="I23" i="3"/>
  <c r="I29" i="3" s="1"/>
  <c r="H4" i="4" s="1"/>
  <c r="G6" i="4"/>
  <c r="G9" i="4" s="1"/>
  <c r="D61" i="4" l="1"/>
  <c r="D63" i="4" s="1"/>
  <c r="D31" i="4" s="1"/>
  <c r="D30" i="4" s="1"/>
  <c r="G48" i="4"/>
  <c r="H6" i="4"/>
  <c r="H9" i="4" s="1"/>
  <c r="H39" i="4"/>
  <c r="E53" i="4"/>
  <c r="G45" i="4"/>
  <c r="G52" i="4" s="1"/>
  <c r="E15" i="4"/>
  <c r="E32" i="4" s="1"/>
  <c r="F33" i="4" s="1"/>
  <c r="F54" i="3"/>
  <c r="F5" i="5" s="1"/>
  <c r="E54" i="3"/>
  <c r="E5" i="5" s="1"/>
  <c r="G54" i="3"/>
  <c r="G5" i="5" s="1"/>
  <c r="H54" i="3"/>
  <c r="H5" i="5" s="1"/>
  <c r="D65" i="4" l="1"/>
  <c r="D67" i="4" s="1"/>
  <c r="D20" i="4" s="1"/>
  <c r="D19" i="4" s="1"/>
  <c r="D35" i="4" s="1"/>
  <c r="H48" i="4"/>
  <c r="H38" i="4"/>
  <c r="H44" i="4" s="1"/>
  <c r="H45" i="4" s="1"/>
  <c r="H52" i="4" s="1"/>
  <c r="H21" i="4"/>
  <c r="E66" i="4"/>
  <c r="G12" i="5"/>
  <c r="G58" i="4" l="1"/>
  <c r="G56" i="4" s="1"/>
  <c r="H12" i="5"/>
  <c r="H58" i="4" s="1"/>
  <c r="H56" i="4" s="1"/>
  <c r="E12" i="5"/>
  <c r="E58" i="4" s="1"/>
  <c r="F12" i="5"/>
  <c r="F58" i="4" l="1"/>
  <c r="F56" i="4" s="1"/>
  <c r="E13" i="5"/>
  <c r="E56" i="4"/>
  <c r="E61" i="4" s="1"/>
  <c r="E63" i="4" s="1"/>
  <c r="E65" i="4" l="1"/>
  <c r="E67" i="4" s="1"/>
  <c r="E31" i="4"/>
  <c r="F8" i="5"/>
  <c r="E28" i="4"/>
  <c r="E26" i="4" s="1"/>
  <c r="E30" i="4" l="1"/>
  <c r="F9" i="5"/>
  <c r="F13" i="5"/>
  <c r="F66" i="4"/>
  <c r="E20" i="4"/>
  <c r="E19" i="4" s="1"/>
  <c r="E35" i="4" s="1"/>
  <c r="G8" i="5" l="1"/>
  <c r="F28" i="4"/>
  <c r="F26" i="4" s="1"/>
  <c r="F10" i="5"/>
  <c r="F55" i="4" s="1"/>
  <c r="F12" i="4"/>
  <c r="F11" i="4" s="1"/>
  <c r="F13" i="4" s="1"/>
  <c r="F14" i="4" l="1"/>
  <c r="F49" i="4" s="1"/>
  <c r="F50" i="4" s="1"/>
  <c r="F53" i="4" s="1"/>
  <c r="G13" i="5"/>
  <c r="G9" i="5"/>
  <c r="G10" i="5" l="1"/>
  <c r="G55" i="4" s="1"/>
  <c r="G12" i="4"/>
  <c r="G11" i="4" s="1"/>
  <c r="G13" i="4" s="1"/>
  <c r="F61" i="4"/>
  <c r="F63" i="4" s="1"/>
  <c r="H8" i="5"/>
  <c r="G28" i="4"/>
  <c r="G26" i="4" s="1"/>
  <c r="F15" i="4"/>
  <c r="F32" i="4" s="1"/>
  <c r="G33" i="4" s="1"/>
  <c r="F65" i="4" l="1"/>
  <c r="F67" i="4" s="1"/>
  <c r="F31" i="4"/>
  <c r="G14" i="4"/>
  <c r="G49" i="4" s="1"/>
  <c r="G50" i="4" s="1"/>
  <c r="G53" i="4" s="1"/>
  <c r="H9" i="5"/>
  <c r="H12" i="4" s="1"/>
  <c r="H11" i="4" s="1"/>
  <c r="H13" i="4" s="1"/>
  <c r="H13" i="5"/>
  <c r="H28" i="4" s="1"/>
  <c r="H26" i="4" s="1"/>
  <c r="G15" i="4" l="1"/>
  <c r="G32" i="4" s="1"/>
  <c r="H33" i="4" s="1"/>
  <c r="G61" i="4"/>
  <c r="G63" i="4" s="1"/>
  <c r="G65" i="4" s="1"/>
  <c r="F30" i="4"/>
  <c r="H10" i="5"/>
  <c r="H55" i="4" s="1"/>
  <c r="H14" i="4"/>
  <c r="F20" i="4"/>
  <c r="F19" i="4" s="1"/>
  <c r="G66" i="4"/>
  <c r="F35" i="4" l="1"/>
  <c r="G31" i="4"/>
  <c r="G30" i="4" s="1"/>
  <c r="G67" i="4"/>
  <c r="H66" i="4" s="1"/>
  <c r="H49" i="4"/>
  <c r="H50" i="4" s="1"/>
  <c r="H53" i="4" s="1"/>
  <c r="C69" i="4" s="1"/>
  <c r="G20" i="4" l="1"/>
  <c r="G19" i="4" s="1"/>
  <c r="G35" i="4"/>
  <c r="H61" i="4"/>
  <c r="H63" i="4" s="1"/>
  <c r="H15" i="4"/>
  <c r="H32" i="4" s="1"/>
  <c r="H65" i="4" l="1"/>
  <c r="H67" i="4" s="1"/>
  <c r="H20" i="4" s="1"/>
  <c r="H19" i="4" s="1"/>
  <c r="H31" i="4"/>
  <c r="H30" i="4" s="1"/>
  <c r="H3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tc={0B25237B-E57D-4D9D-A760-9DC0654D647F}</author>
  </authors>
  <commentList>
    <comment ref="D49" authorId="0" shapeId="0" xr:uid="{0B25237B-E57D-4D9D-A760-9DC0654D647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Costo por el porcentaje de ganacia</t>
      </text>
    </comment>
  </commentList>
</comments>
</file>

<file path=xl/sharedStrings.xml><?xml version="1.0" encoding="utf-8"?>
<sst xmlns="http://schemas.openxmlformats.org/spreadsheetml/2006/main" count="235" uniqueCount="135">
  <si>
    <t>DTF</t>
  </si>
  <si>
    <t>%Amortización</t>
  </si>
  <si>
    <t>Puntos Adicionales</t>
  </si>
  <si>
    <t>Tasa Final</t>
  </si>
  <si>
    <t>Saldo Inicial</t>
  </si>
  <si>
    <t>Intereses Causados</t>
  </si>
  <si>
    <t>Intereses Pagados</t>
  </si>
  <si>
    <t>Intereses Captalizados</t>
  </si>
  <si>
    <t>Amortización</t>
  </si>
  <si>
    <t>Saldo Final</t>
  </si>
  <si>
    <t>Desembolso</t>
  </si>
  <si>
    <t>PERIODOS</t>
  </si>
  <si>
    <t>Tabla de precios</t>
  </si>
  <si>
    <t>Estrato 1</t>
  </si>
  <si>
    <t>Estrado 2</t>
  </si>
  <si>
    <t>Estrato 2</t>
  </si>
  <si>
    <t>Estrato 3</t>
  </si>
  <si>
    <t>Estrado 4</t>
  </si>
  <si>
    <t>Estrato 4</t>
  </si>
  <si>
    <t>Uso oficial</t>
  </si>
  <si>
    <t>Estrado 5 y uso comercial</t>
  </si>
  <si>
    <t>Unidad</t>
  </si>
  <si>
    <t>m3</t>
  </si>
  <si>
    <t>%Incremento de precio</t>
  </si>
  <si>
    <t>%</t>
  </si>
  <si>
    <t>Volumenes</t>
  </si>
  <si>
    <t>Habitantes</t>
  </si>
  <si>
    <t>Suscriptores</t>
  </si>
  <si>
    <t>Estrato 5</t>
  </si>
  <si>
    <t>Uso comercial</t>
  </si>
  <si>
    <t>Consumo promedio mensual m3</t>
  </si>
  <si>
    <t>Ingresos</t>
  </si>
  <si>
    <t>PYG</t>
  </si>
  <si>
    <t>Costos</t>
  </si>
  <si>
    <t>x</t>
  </si>
  <si>
    <t>Por persona</t>
  </si>
  <si>
    <t>Por vivienda(3,7)</t>
  </si>
  <si>
    <t>Imprevistos</t>
  </si>
  <si>
    <r>
      <rPr>
        <b/>
        <sz val="11"/>
        <color theme="1"/>
        <rFont val="Calibri"/>
        <family val="2"/>
        <scheme val="minor"/>
      </rPr>
      <t xml:space="preserve">Operación: </t>
    </r>
    <r>
      <rPr>
        <sz val="11"/>
        <color theme="1"/>
        <rFont val="Calibri"/>
        <family val="2"/>
        <scheme val="minor"/>
      </rPr>
      <t>Mano de obra, energía, insumos y dispocisión de residuos sólidos</t>
    </r>
  </si>
  <si>
    <r>
      <rPr>
        <b/>
        <sz val="11"/>
        <color theme="1"/>
        <rFont val="Calibri"/>
        <family val="2"/>
        <scheme val="minor"/>
      </rPr>
      <t xml:space="preserve">Mantenimiento: </t>
    </r>
    <r>
      <rPr>
        <sz val="11"/>
        <color theme="1"/>
        <rFont val="Calibri"/>
        <family val="2"/>
        <scheme val="minor"/>
      </rPr>
      <t>Equipos electromecanicos, instrumentación, control, obras civiles y redes</t>
    </r>
  </si>
  <si>
    <t>Costo Operacionales</t>
  </si>
  <si>
    <t>Utilidad Bruta</t>
  </si>
  <si>
    <t>Gastos Admini</t>
  </si>
  <si>
    <t>Depreciación</t>
  </si>
  <si>
    <t>Inversión</t>
  </si>
  <si>
    <t>Estructura de K</t>
  </si>
  <si>
    <t xml:space="preserve">Deuda </t>
  </si>
  <si>
    <t>Equity</t>
  </si>
  <si>
    <t>Precio Venta</t>
  </si>
  <si>
    <t>Amortización del credito</t>
  </si>
  <si>
    <t xml:space="preserve"> % Gastos Administrativos</t>
  </si>
  <si>
    <t>Gasto Administrativos / unidad</t>
  </si>
  <si>
    <t>Tasa Impuestos</t>
  </si>
  <si>
    <t>Rotaciones</t>
  </si>
  <si>
    <t>CxC</t>
  </si>
  <si>
    <t>CxP</t>
  </si>
  <si>
    <t>Depreciación / Periodo</t>
  </si>
  <si>
    <t>Capex</t>
  </si>
  <si>
    <t>Linea Recta</t>
  </si>
  <si>
    <t>% Amortización</t>
  </si>
  <si>
    <t>Intereses Capitalizados</t>
  </si>
  <si>
    <t>Precio de Venta</t>
  </si>
  <si>
    <t>TIR</t>
  </si>
  <si>
    <t>Costo de Prod</t>
  </si>
  <si>
    <t>Total Ingresos</t>
  </si>
  <si>
    <t>Ingresos Estrato 1</t>
  </si>
  <si>
    <t>Ingresos Estrato 2</t>
  </si>
  <si>
    <t>Ingresos Estrato 3</t>
  </si>
  <si>
    <t>Ingresos Estrato 4</t>
  </si>
  <si>
    <t>Ingresos Estrato uso oficial</t>
  </si>
  <si>
    <t>Ingresos Estrato 5 y uso comercial</t>
  </si>
  <si>
    <t>Utilidad Operacional</t>
  </si>
  <si>
    <t>Otros Ingresos</t>
  </si>
  <si>
    <t>Otros Egresos</t>
  </si>
  <si>
    <t>Intereses</t>
  </si>
  <si>
    <t>Utilidad Antes de Imptos</t>
  </si>
  <si>
    <t>Impuestos</t>
  </si>
  <si>
    <t>Utilidad Neta</t>
  </si>
  <si>
    <t>Balance General</t>
  </si>
  <si>
    <t>Activo</t>
  </si>
  <si>
    <t>Disponible</t>
  </si>
  <si>
    <t>CXC</t>
  </si>
  <si>
    <t>PPE</t>
  </si>
  <si>
    <t>Depreciación Acumulada</t>
  </si>
  <si>
    <t>Pasivo</t>
  </si>
  <si>
    <t>CXP</t>
  </si>
  <si>
    <t>Obligaciones Bancarias</t>
  </si>
  <si>
    <t>Patrimonio</t>
  </si>
  <si>
    <t>Capital Social</t>
  </si>
  <si>
    <t>Utilidad Periodo</t>
  </si>
  <si>
    <t>Utilidad Acumuladas</t>
  </si>
  <si>
    <t>Linea de Chequeo</t>
  </si>
  <si>
    <t>Capital de Trabajo</t>
  </si>
  <si>
    <t>Activo Corriente</t>
  </si>
  <si>
    <t>Cuentas por Cobrar</t>
  </si>
  <si>
    <t>Pasivo Corriente</t>
  </si>
  <si>
    <t>Cuentas por Pagar</t>
  </si>
  <si>
    <t>Inversión en KW</t>
  </si>
  <si>
    <t>Flujo de Caja</t>
  </si>
  <si>
    <t>EBITDA</t>
  </si>
  <si>
    <t>Fc Operativo</t>
  </si>
  <si>
    <t>CAPEX</t>
  </si>
  <si>
    <t>Inversión en K W</t>
  </si>
  <si>
    <t>Flujo de Caja Libre</t>
  </si>
  <si>
    <t>Intereses Financieros</t>
  </si>
  <si>
    <t>Cambio en Obligaciones Financieras</t>
  </si>
  <si>
    <t>Desembolsos Cultivo</t>
  </si>
  <si>
    <t>Pago Deuda Cultivo</t>
  </si>
  <si>
    <t xml:space="preserve">Otros Ingresos </t>
  </si>
  <si>
    <t>Flujo de Caja del Periodo</t>
  </si>
  <si>
    <t>Aportes de Capital</t>
  </si>
  <si>
    <t>Flujo de Caja Neto</t>
  </si>
  <si>
    <t>Caja Inicial</t>
  </si>
  <si>
    <t>Caja Final</t>
  </si>
  <si>
    <t>TIR Proyecto</t>
  </si>
  <si>
    <t>Proyección de Ventas / m3</t>
  </si>
  <si>
    <t>Total</t>
  </si>
  <si>
    <t xml:space="preserve"> % Costo de Producción / m3</t>
  </si>
  <si>
    <t>Costo Producción / m3</t>
  </si>
  <si>
    <t>TASA</t>
  </si>
  <si>
    <t>INVERISÓN</t>
  </si>
  <si>
    <t>CRÉDITO</t>
  </si>
  <si>
    <t>TEM</t>
  </si>
  <si>
    <t>TEA</t>
  </si>
  <si>
    <t>TED</t>
  </si>
  <si>
    <t>i</t>
  </si>
  <si>
    <t>MENSUAL</t>
  </si>
  <si>
    <t>DIARIA</t>
  </si>
  <si>
    <t>ANUAL (5 AÑOS)</t>
  </si>
  <si>
    <t>TEMV</t>
  </si>
  <si>
    <t>TNATA</t>
  </si>
  <si>
    <t>TNASV</t>
  </si>
  <si>
    <t>TETA</t>
  </si>
  <si>
    <t>De acuerdo a la comparación realizada frente al crédito para cada tasa, esta es la más apropiada teniendo en cuenta que el interes es el mas bajito</t>
  </si>
  <si>
    <t>PROYECTO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</si>
</sst>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&quot;$&quot;\ * #,##0.00_-;\-&quot;$&quot;\ * #,##0.00_-;_-&quot;$&quot;\ * &quot;-&quot;_-;_-@_-"/>
    <numFmt numFmtId="168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2" xfId="0" applyBorder="1"/>
    <xf numFmtId="0" fontId="0" fillId="0" borderId="5" xfId="0" applyBorder="1"/>
    <xf numFmtId="42" fontId="0" fillId="0" borderId="0" xfId="2" applyFont="1" applyAlignment="1">
      <alignment vertical="center"/>
    </xf>
    <xf numFmtId="0" fontId="0" fillId="0" borderId="4" xfId="0" applyBorder="1"/>
    <xf numFmtId="0" fontId="0" fillId="0" borderId="0" xfId="2" applyNumberFormat="1" applyFont="1" applyAlignment="1">
      <alignment horizontal="center" vertical="center"/>
    </xf>
    <xf numFmtId="0" fontId="3" fillId="0" borderId="0" xfId="0" applyFont="1"/>
    <xf numFmtId="9" fontId="0" fillId="0" borderId="0" xfId="5" applyFon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/>
    <xf numFmtId="0" fontId="3" fillId="0" borderId="4" xfId="0" applyFont="1" applyBorder="1"/>
    <xf numFmtId="44" fontId="0" fillId="0" borderId="4" xfId="0" applyNumberFormat="1" applyBorder="1"/>
    <xf numFmtId="0" fontId="3" fillId="0" borderId="2" xfId="0" applyFont="1" applyBorder="1"/>
    <xf numFmtId="0" fontId="0" fillId="4" borderId="0" xfId="0" applyFill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3" xfId="5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42" fontId="0" fillId="0" borderId="0" xfId="2" applyFont="1"/>
    <xf numFmtId="0" fontId="0" fillId="0" borderId="0" xfId="0" applyAlignment="1">
      <alignment horizontal="justify" vertical="center" wrapText="1"/>
    </xf>
    <xf numFmtId="0" fontId="0" fillId="5" borderId="2" xfId="0" applyFill="1" applyBorder="1"/>
    <xf numFmtId="41" fontId="0" fillId="0" borderId="0" xfId="6" applyFont="1"/>
    <xf numFmtId="9" fontId="0" fillId="0" borderId="0" xfId="0" applyNumberFormat="1"/>
    <xf numFmtId="10" fontId="0" fillId="0" borderId="0" xfId="0" applyNumberFormat="1"/>
    <xf numFmtId="9" fontId="0" fillId="0" borderId="0" xfId="5" applyFont="1"/>
    <xf numFmtId="166" fontId="0" fillId="0" borderId="0" xfId="0" applyNumberFormat="1"/>
    <xf numFmtId="43" fontId="0" fillId="0" borderId="0" xfId="1" applyFont="1"/>
    <xf numFmtId="0" fontId="0" fillId="0" borderId="1" xfId="0" applyBorder="1"/>
    <xf numFmtId="166" fontId="0" fillId="0" borderId="1" xfId="0" applyNumberFormat="1" applyBorder="1"/>
    <xf numFmtId="166" fontId="0" fillId="0" borderId="0" xfId="1" applyNumberFormat="1" applyFont="1"/>
    <xf numFmtId="166" fontId="0" fillId="3" borderId="0" xfId="1" applyNumberFormat="1" applyFont="1" applyFill="1"/>
    <xf numFmtId="9" fontId="0" fillId="3" borderId="0" xfId="0" applyNumberFormat="1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left" indent="1"/>
    </xf>
    <xf numFmtId="0" fontId="5" fillId="0" borderId="2" xfId="0" applyFont="1" applyBorder="1"/>
    <xf numFmtId="165" fontId="0" fillId="0" borderId="0" xfId="0" applyNumberFormat="1"/>
    <xf numFmtId="9" fontId="0" fillId="7" borderId="0" xfId="0" applyNumberFormat="1" applyFill="1"/>
    <xf numFmtId="41" fontId="0" fillId="6" borderId="0" xfId="6" applyFont="1" applyFill="1"/>
    <xf numFmtId="41" fontId="0" fillId="0" borderId="0" xfId="0" applyNumberFormat="1"/>
    <xf numFmtId="41" fontId="0" fillId="8" borderId="0" xfId="6" applyFont="1" applyFill="1"/>
    <xf numFmtId="42" fontId="0" fillId="0" borderId="0" xfId="0" applyNumberFormat="1"/>
    <xf numFmtId="167" fontId="0" fillId="0" borderId="0" xfId="2" applyNumberFormat="1" applyFont="1"/>
    <xf numFmtId="0" fontId="0" fillId="0" borderId="0" xfId="0" applyAlignment="1">
      <alignment horizontal="center" vertical="center"/>
    </xf>
    <xf numFmtId="9" fontId="0" fillId="3" borderId="0" xfId="5" applyFont="1" applyFill="1"/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6" fontId="4" fillId="0" borderId="0" xfId="0" applyNumberFormat="1" applyFont="1"/>
    <xf numFmtId="166" fontId="0" fillId="0" borderId="2" xfId="0" applyNumberFormat="1" applyBorder="1"/>
    <xf numFmtId="168" fontId="0" fillId="0" borderId="0" xfId="1" applyNumberFormat="1" applyFont="1"/>
    <xf numFmtId="166" fontId="0" fillId="0" borderId="2" xfId="1" applyNumberFormat="1" applyFont="1" applyBorder="1"/>
    <xf numFmtId="166" fontId="0" fillId="0" borderId="1" xfId="1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2" fontId="0" fillId="0" borderId="3" xfId="2" applyFont="1" applyBorder="1"/>
    <xf numFmtId="10" fontId="0" fillId="0" borderId="0" xfId="5" applyNumberFormat="1" applyFont="1"/>
    <xf numFmtId="0" fontId="0" fillId="6" borderId="0" xfId="0" applyFill="1" applyAlignment="1">
      <alignment horizontal="center" vertical="center"/>
    </xf>
    <xf numFmtId="9" fontId="0" fillId="6" borderId="0" xfId="5" applyFont="1" applyFill="1"/>
    <xf numFmtId="42" fontId="0" fillId="0" borderId="3" xfId="2" applyFont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9" fontId="0" fillId="6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/>
    </xf>
    <xf numFmtId="2" fontId="0" fillId="10" borderId="0" xfId="0" applyNumberFormat="1" applyFill="1"/>
    <xf numFmtId="0" fontId="3" fillId="0" borderId="3" xfId="0" applyFont="1" applyBorder="1" applyAlignment="1">
      <alignment horizontal="center" vertical="center" wrapText="1"/>
    </xf>
    <xf numFmtId="0" fontId="0" fillId="10" borderId="0" xfId="0" applyFill="1" applyAlignment="1">
      <alignment horizontal="center" wrapText="1"/>
    </xf>
    <xf numFmtId="0" fontId="3" fillId="11" borderId="2" xfId="0" applyFont="1" applyFill="1" applyBorder="1"/>
    <xf numFmtId="0" fontId="3" fillId="11" borderId="2" xfId="0" applyFont="1" applyFill="1" applyBorder="1" applyAlignment="1">
      <alignment horizontal="right"/>
    </xf>
    <xf numFmtId="0" fontId="3" fillId="5" borderId="2" xfId="0" applyFont="1" applyFill="1" applyBorder="1"/>
    <xf numFmtId="0" fontId="3" fillId="3" borderId="2" xfId="0" applyFont="1" applyFill="1" applyBorder="1"/>
    <xf numFmtId="41" fontId="3" fillId="3" borderId="2" xfId="0" applyNumberFormat="1" applyFont="1" applyFill="1" applyBorder="1"/>
    <xf numFmtId="42" fontId="3" fillId="3" borderId="2" xfId="0" applyNumberFormat="1" applyFont="1" applyFill="1" applyBorder="1"/>
    <xf numFmtId="42" fontId="0" fillId="0" borderId="4" xfId="2" applyFont="1" applyBorder="1"/>
    <xf numFmtId="0" fontId="3" fillId="9" borderId="2" xfId="0" applyFont="1" applyFill="1" applyBorder="1"/>
    <xf numFmtId="166" fontId="3" fillId="9" borderId="2" xfId="1" applyNumberFormat="1" applyFont="1" applyFill="1" applyBorder="1"/>
    <xf numFmtId="43" fontId="3" fillId="9" borderId="2" xfId="1" applyFont="1" applyFill="1" applyBorder="1"/>
    <xf numFmtId="0" fontId="5" fillId="11" borderId="2" xfId="0" applyFont="1" applyFill="1" applyBorder="1"/>
    <xf numFmtId="0" fontId="3" fillId="10" borderId="2" xfId="0" applyFont="1" applyFill="1" applyBorder="1"/>
    <xf numFmtId="165" fontId="3" fillId="0" borderId="2" xfId="0" applyNumberFormat="1" applyFont="1" applyBorder="1"/>
    <xf numFmtId="166" fontId="3" fillId="10" borderId="2" xfId="1" applyNumberFormat="1" applyFont="1" applyFill="1" applyBorder="1"/>
    <xf numFmtId="0" fontId="3" fillId="12" borderId="2" xfId="0" applyFont="1" applyFill="1" applyBorder="1"/>
    <xf numFmtId="166" fontId="3" fillId="12" borderId="2" xfId="1" applyNumberFormat="1" applyFont="1" applyFill="1" applyBorder="1"/>
    <xf numFmtId="0" fontId="3" fillId="6" borderId="4" xfId="0" applyFont="1" applyFill="1" applyBorder="1"/>
    <xf numFmtId="166" fontId="3" fillId="6" borderId="4" xfId="1" applyNumberFormat="1" applyFont="1" applyFill="1" applyBorder="1"/>
    <xf numFmtId="10" fontId="3" fillId="10" borderId="2" xfId="5" applyNumberFormat="1" applyFont="1" applyFill="1" applyBorder="1"/>
    <xf numFmtId="0" fontId="9" fillId="6" borderId="0" xfId="0" applyFont="1" applyFill="1" applyAlignment="1">
      <alignment horizontal="left" vertical="center"/>
    </xf>
    <xf numFmtId="0" fontId="3" fillId="0" borderId="1" xfId="0" applyFont="1" applyBorder="1"/>
    <xf numFmtId="0" fontId="0" fillId="0" borderId="0" xfId="0" applyBorder="1"/>
    <xf numFmtId="0" fontId="0" fillId="0" borderId="0" xfId="2" applyNumberFormat="1" applyFont="1" applyBorder="1" applyAlignment="1">
      <alignment horizontal="center" vertical="center"/>
    </xf>
    <xf numFmtId="2" fontId="0" fillId="0" borderId="0" xfId="0" applyNumberFormat="1" applyBorder="1"/>
    <xf numFmtId="0" fontId="3" fillId="2" borderId="2" xfId="0" applyFont="1" applyFill="1" applyBorder="1"/>
    <xf numFmtId="166" fontId="3" fillId="2" borderId="2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9" fontId="0" fillId="0" borderId="1" xfId="5" applyFont="1" applyBorder="1" applyAlignment="1">
      <alignment horizontal="center" vertical="center"/>
    </xf>
    <xf numFmtId="42" fontId="0" fillId="0" borderId="1" xfId="2" applyFont="1" applyBorder="1" applyAlignment="1">
      <alignment vertical="center"/>
    </xf>
    <xf numFmtId="0" fontId="3" fillId="11" borderId="2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/>
    <xf numFmtId="0" fontId="3" fillId="0" borderId="1" xfId="2" applyNumberFormat="1" applyFont="1" applyBorder="1" applyAlignment="1">
      <alignment horizontal="center" vertical="center"/>
    </xf>
    <xf numFmtId="9" fontId="3" fillId="0" borderId="1" xfId="5" applyFont="1" applyBorder="1" applyAlignment="1">
      <alignment horizontal="center" vertical="center"/>
    </xf>
    <xf numFmtId="9" fontId="0" fillId="0" borderId="0" xfId="5" applyFont="1" applyBorder="1" applyAlignment="1">
      <alignment horizontal="center" vertical="center"/>
    </xf>
    <xf numFmtId="9" fontId="0" fillId="5" borderId="2" xfId="5" applyFont="1" applyFill="1" applyBorder="1" applyAlignment="1">
      <alignment horizontal="center" vertical="center"/>
    </xf>
    <xf numFmtId="9" fontId="3" fillId="0" borderId="0" xfId="5" applyFont="1"/>
    <xf numFmtId="0" fontId="3" fillId="6" borderId="0" xfId="0" applyFont="1" applyFill="1"/>
    <xf numFmtId="42" fontId="1" fillId="6" borderId="0" xfId="2" applyFont="1" applyFill="1"/>
  </cellXfs>
  <cellStyles count="7">
    <cellStyle name="% 2 2" xfId="3" xr:uid="{00000000-0005-0000-0000-000000000000}"/>
    <cellStyle name="Millares" xfId="1" builtinId="3"/>
    <cellStyle name="Millares [0]" xfId="6" builtinId="6"/>
    <cellStyle name="Moneda [0]" xfId="2" builtinId="7"/>
    <cellStyle name="Moneda 9 2" xfId="4" xr:uid="{00000000-0005-0000-0000-000004000000}"/>
    <cellStyle name="Normal" xfId="0" builtinId="0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de%20Proyec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EEFF"/>
      <sheetName val="Deuda"/>
      <sheetName val="Escenarios"/>
    </sheetNames>
    <sheetDataSet>
      <sheetData sheetId="0">
        <row r="50">
          <cell r="E50">
            <v>30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efferson Ramos Villanueva" id="{AB90487C-0714-417A-BA8F-BD13B52F4850}" userId="S::jefferson.ramos@avianca.com::cb6fc52f-08e6-4629-908a-bc11114f23b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9" dT="2019-03-30T00:55:33.97" personId="{AB90487C-0714-417A-BA8F-BD13B52F4850}" id="{0B25237B-E57D-4D9D-A760-9DC0654D647F}">
    <text>Costo por el porcentaje de ganacia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8E4B2-718C-4E1C-A078-2C875A0FFAED}">
  <dimension ref="B1:T76"/>
  <sheetViews>
    <sheetView tabSelected="1" zoomScale="105" workbookViewId="0">
      <selection activeCell="D6" sqref="D6"/>
    </sheetView>
  </sheetViews>
  <sheetFormatPr baseColWidth="10" defaultRowHeight="15" x14ac:dyDescent="0.25"/>
  <cols>
    <col min="1" max="1" width="3" customWidth="1"/>
    <col min="2" max="2" width="5.28515625" style="9" customWidth="1"/>
    <col min="3" max="3" width="28.7109375" customWidth="1"/>
    <col min="4" max="4" width="14.140625" bestFit="1" customWidth="1"/>
    <col min="5" max="6" width="14" bestFit="1" customWidth="1"/>
    <col min="7" max="7" width="15.7109375" customWidth="1"/>
    <col min="8" max="8" width="14" bestFit="1" customWidth="1"/>
    <col min="9" max="9" width="11" customWidth="1"/>
    <col min="10" max="10" width="3.7109375" customWidth="1"/>
    <col min="14" max="14" width="17.140625" customWidth="1"/>
    <col min="19" max="19" width="13.5703125" customWidth="1"/>
  </cols>
  <sheetData>
    <row r="1" spans="2:20" x14ac:dyDescent="0.25">
      <c r="C1" s="29"/>
      <c r="D1" s="29"/>
      <c r="E1" s="29"/>
      <c r="F1" s="29"/>
      <c r="G1" s="29"/>
      <c r="H1" s="29"/>
      <c r="I1" s="29"/>
    </row>
    <row r="2" spans="2:20" x14ac:dyDescent="0.25">
      <c r="B2" s="14" t="s">
        <v>34</v>
      </c>
      <c r="C2" s="73" t="s">
        <v>11</v>
      </c>
      <c r="D2" s="104"/>
      <c r="E2" s="73">
        <v>1</v>
      </c>
      <c r="F2" s="73">
        <v>2</v>
      </c>
      <c r="G2" s="73">
        <v>3</v>
      </c>
      <c r="H2" s="73">
        <v>4</v>
      </c>
      <c r="I2" s="73">
        <v>5</v>
      </c>
    </row>
    <row r="3" spans="2:20" x14ac:dyDescent="0.25">
      <c r="C3" s="1"/>
      <c r="D3" s="1"/>
      <c r="E3" s="1"/>
      <c r="F3" s="1"/>
      <c r="G3" s="1"/>
      <c r="H3" s="1"/>
      <c r="I3" s="1"/>
    </row>
    <row r="4" spans="2:20" x14ac:dyDescent="0.25">
      <c r="B4" s="9" t="s">
        <v>34</v>
      </c>
      <c r="C4" s="105" t="s">
        <v>12</v>
      </c>
      <c r="D4" s="106" t="s">
        <v>21</v>
      </c>
      <c r="E4" s="107"/>
      <c r="F4" s="107"/>
      <c r="G4" s="107"/>
      <c r="H4" s="107"/>
      <c r="I4" s="107"/>
    </row>
    <row r="5" spans="2:20" x14ac:dyDescent="0.25">
      <c r="C5" t="s">
        <v>13</v>
      </c>
      <c r="D5" s="5" t="s">
        <v>22</v>
      </c>
      <c r="E5" s="3">
        <v>750</v>
      </c>
      <c r="F5" s="3">
        <f>+E5+(E5*$F$12)</f>
        <v>780</v>
      </c>
      <c r="G5" s="3">
        <f>+F5+(F5*$G$12)</f>
        <v>811.2</v>
      </c>
      <c r="H5" s="3">
        <f>G5+(G5*$H$12)</f>
        <v>843.64800000000002</v>
      </c>
      <c r="I5" s="3">
        <f>+H5+(H5*$I$12)</f>
        <v>877.39391999999998</v>
      </c>
    </row>
    <row r="6" spans="2:20" x14ac:dyDescent="0.25">
      <c r="C6" t="s">
        <v>14</v>
      </c>
      <c r="D6" s="5" t="s">
        <v>22</v>
      </c>
      <c r="E6" s="3">
        <v>1450</v>
      </c>
      <c r="F6" s="3">
        <f t="shared" ref="F6:F9" si="0">+E6+(E6*$F$12)</f>
        <v>1508</v>
      </c>
      <c r="G6" s="3">
        <f t="shared" ref="G6:G10" si="1">+F6+(F6*$G$12)</f>
        <v>1568.32</v>
      </c>
      <c r="H6" s="3">
        <f t="shared" ref="H6:H10" si="2">G6+(G6*$H$12)</f>
        <v>1631.0527999999999</v>
      </c>
      <c r="I6" s="3">
        <f t="shared" ref="I6:I10" si="3">+H6+(H6*$I$12)</f>
        <v>1696.2949119999998</v>
      </c>
    </row>
    <row r="7" spans="2:20" x14ac:dyDescent="0.25">
      <c r="C7" t="s">
        <v>16</v>
      </c>
      <c r="D7" s="5" t="s">
        <v>22</v>
      </c>
      <c r="E7" s="3">
        <v>2100</v>
      </c>
      <c r="F7" s="3">
        <f t="shared" si="0"/>
        <v>2184</v>
      </c>
      <c r="G7" s="3">
        <f t="shared" si="1"/>
        <v>2271.36</v>
      </c>
      <c r="H7" s="3">
        <f t="shared" si="2"/>
        <v>2362.2144000000003</v>
      </c>
      <c r="I7" s="3">
        <f t="shared" si="3"/>
        <v>2456.7029760000005</v>
      </c>
    </row>
    <row r="8" spans="2:20" x14ac:dyDescent="0.25">
      <c r="C8" t="s">
        <v>19</v>
      </c>
      <c r="D8" s="5" t="s">
        <v>22</v>
      </c>
      <c r="E8" s="3">
        <v>2450</v>
      </c>
      <c r="F8" s="3">
        <f t="shared" si="0"/>
        <v>2548</v>
      </c>
      <c r="G8" s="3">
        <f>+F8+(F8*$G$12)</f>
        <v>2649.92</v>
      </c>
      <c r="H8" s="3">
        <f t="shared" si="2"/>
        <v>2755.9168</v>
      </c>
      <c r="I8" s="3">
        <f t="shared" si="3"/>
        <v>2866.153472</v>
      </c>
    </row>
    <row r="9" spans="2:20" x14ac:dyDescent="0.25">
      <c r="C9" t="s">
        <v>17</v>
      </c>
      <c r="D9" s="5" t="s">
        <v>22</v>
      </c>
      <c r="E9" s="3">
        <v>2500</v>
      </c>
      <c r="F9" s="3">
        <f t="shared" si="0"/>
        <v>2600</v>
      </c>
      <c r="G9" s="3">
        <f t="shared" si="1"/>
        <v>2704</v>
      </c>
      <c r="H9" s="3">
        <f t="shared" si="2"/>
        <v>2812.16</v>
      </c>
      <c r="I9" s="3">
        <f t="shared" si="3"/>
        <v>2924.6463999999996</v>
      </c>
    </row>
    <row r="10" spans="2:20" x14ac:dyDescent="0.25">
      <c r="C10" s="99" t="s">
        <v>20</v>
      </c>
      <c r="D10" s="100" t="s">
        <v>22</v>
      </c>
      <c r="E10" s="103">
        <v>3700</v>
      </c>
      <c r="F10" s="103">
        <f>+E10+(E10*$F$12)</f>
        <v>3848</v>
      </c>
      <c r="G10" s="103">
        <f t="shared" si="1"/>
        <v>4001.92</v>
      </c>
      <c r="H10" s="103">
        <f t="shared" si="2"/>
        <v>4161.9967999999999</v>
      </c>
      <c r="I10" s="103">
        <f t="shared" si="3"/>
        <v>4328.4766719999998</v>
      </c>
      <c r="Q10" s="49"/>
      <c r="R10" s="49"/>
      <c r="S10" s="49"/>
      <c r="T10" s="49"/>
    </row>
    <row r="11" spans="2:20" x14ac:dyDescent="0.25">
      <c r="C11" s="29"/>
      <c r="D11" s="29"/>
      <c r="E11" s="29"/>
      <c r="F11" s="29"/>
      <c r="G11" s="29"/>
      <c r="H11" s="29"/>
      <c r="I11" s="29"/>
      <c r="K11" s="71" t="s">
        <v>30</v>
      </c>
      <c r="L11" s="71"/>
      <c r="M11" s="15" t="s">
        <v>35</v>
      </c>
      <c r="N11" s="15" t="s">
        <v>36</v>
      </c>
      <c r="Q11" s="49"/>
      <c r="R11" s="49"/>
      <c r="S11" s="49"/>
      <c r="T11" s="49"/>
    </row>
    <row r="12" spans="2:20" x14ac:dyDescent="0.25">
      <c r="B12" s="9" t="s">
        <v>34</v>
      </c>
      <c r="C12" s="93" t="s">
        <v>23</v>
      </c>
      <c r="D12" s="108" t="s">
        <v>24</v>
      </c>
      <c r="E12" s="109">
        <v>0.04</v>
      </c>
      <c r="F12" s="109">
        <v>0.04</v>
      </c>
      <c r="G12" s="109">
        <v>0.04</v>
      </c>
      <c r="H12" s="109">
        <v>0.04</v>
      </c>
      <c r="I12" s="109">
        <v>0.04</v>
      </c>
      <c r="K12" s="71"/>
      <c r="L12" s="71"/>
      <c r="M12" s="16">
        <v>3.8</v>
      </c>
      <c r="N12" s="17">
        <v>15.4</v>
      </c>
      <c r="Q12" s="49"/>
      <c r="R12" s="49"/>
      <c r="S12" s="49"/>
      <c r="T12" s="49"/>
    </row>
    <row r="13" spans="2:20" x14ac:dyDescent="0.25">
      <c r="Q13" s="49"/>
      <c r="R13" s="49"/>
      <c r="S13" s="49"/>
      <c r="T13" s="49"/>
    </row>
    <row r="14" spans="2:20" x14ac:dyDescent="0.25">
      <c r="C14" s="105" t="s">
        <v>25</v>
      </c>
      <c r="D14" s="107"/>
      <c r="E14" s="107"/>
      <c r="F14" s="107"/>
      <c r="G14" s="107"/>
      <c r="H14" s="107"/>
      <c r="I14" s="107"/>
      <c r="K14" s="15" t="s">
        <v>26</v>
      </c>
      <c r="L14" s="15" t="s">
        <v>27</v>
      </c>
      <c r="M14" s="15" t="s">
        <v>13</v>
      </c>
      <c r="N14" s="15" t="s">
        <v>15</v>
      </c>
      <c r="O14" s="15" t="s">
        <v>16</v>
      </c>
      <c r="P14" s="15" t="s">
        <v>18</v>
      </c>
      <c r="Q14" s="50" t="s">
        <v>28</v>
      </c>
      <c r="R14" s="50" t="s">
        <v>19</v>
      </c>
      <c r="S14" s="50" t="s">
        <v>29</v>
      </c>
      <c r="T14" s="49"/>
    </row>
    <row r="15" spans="2:20" x14ac:dyDescent="0.25">
      <c r="C15" s="94" t="s">
        <v>13</v>
      </c>
      <c r="D15" s="95" t="s">
        <v>22</v>
      </c>
      <c r="E15" s="96">
        <f>(M15*N12)*12</f>
        <v>1857.9891891891893</v>
      </c>
      <c r="F15" s="96">
        <f>+E15+(E15*$F$12)</f>
        <v>1932.308756756757</v>
      </c>
      <c r="G15" s="96">
        <f>+F15+(F15*$F$12)</f>
        <v>2009.6011070270274</v>
      </c>
      <c r="H15" s="96">
        <f t="shared" ref="H15:I15" si="4">+G15+(G15*$F$12)</f>
        <v>2089.9851513081085</v>
      </c>
      <c r="I15" s="96">
        <f t="shared" si="4"/>
        <v>2173.5845573604329</v>
      </c>
      <c r="K15" s="17">
        <v>186</v>
      </c>
      <c r="L15" s="18">
        <f>+K15/3.7</f>
        <v>50.270270270270267</v>
      </c>
      <c r="M15" s="18">
        <f>+L15*0.2</f>
        <v>10.054054054054054</v>
      </c>
      <c r="N15" s="18">
        <f>+L15*0.35</f>
        <v>17.594594594594593</v>
      </c>
      <c r="O15" s="18">
        <f>+L15*0.3</f>
        <v>15.081081081081079</v>
      </c>
      <c r="P15" s="17"/>
      <c r="Q15" s="51"/>
      <c r="R15" s="52">
        <f>+L15*0.05</f>
        <v>2.5135135135135136</v>
      </c>
      <c r="S15" s="52">
        <f>+L15*0.1</f>
        <v>5.0270270270270272</v>
      </c>
      <c r="T15" s="49"/>
    </row>
    <row r="16" spans="2:20" x14ac:dyDescent="0.25">
      <c r="C16" t="s">
        <v>14</v>
      </c>
      <c r="D16" s="5" t="s">
        <v>22</v>
      </c>
      <c r="E16" s="8">
        <f>(N15*N12)*12</f>
        <v>3251.4810810810814</v>
      </c>
      <c r="F16" s="8">
        <f t="shared" ref="F16:I20" si="5">+E16+(E16*$F$12)</f>
        <v>3381.5403243243245</v>
      </c>
      <c r="G16" s="8">
        <f>+F16+(F16*$F$12)</f>
        <v>3516.8019372972976</v>
      </c>
      <c r="H16" s="8">
        <f>+G16+(G16*$F$12)</f>
        <v>3657.4740147891894</v>
      </c>
      <c r="I16" s="8">
        <f>+H16+(H16*$F$12)</f>
        <v>3803.7729753807571</v>
      </c>
      <c r="K16" s="18">
        <f>+(K15*0.3)</f>
        <v>55.8</v>
      </c>
      <c r="L16" s="18">
        <f>+K16/3.7</f>
        <v>15.081081081081079</v>
      </c>
      <c r="M16" s="17"/>
      <c r="N16" s="17"/>
      <c r="O16" s="17"/>
      <c r="P16" s="18">
        <f>+L16*0.6</f>
        <v>9.0486486486486477</v>
      </c>
      <c r="Q16" s="52">
        <f>+L16*0.4</f>
        <v>6.0324324324324321</v>
      </c>
      <c r="R16" s="51"/>
      <c r="S16" s="51"/>
      <c r="T16" s="49"/>
    </row>
    <row r="17" spans="2:20" x14ac:dyDescent="0.25">
      <c r="C17" t="s">
        <v>16</v>
      </c>
      <c r="D17" s="5" t="s">
        <v>22</v>
      </c>
      <c r="E17" s="8">
        <f>(O15*N12)*12</f>
        <v>2786.9837837837831</v>
      </c>
      <c r="F17" s="8">
        <f t="shared" si="5"/>
        <v>2898.4631351351345</v>
      </c>
      <c r="G17" s="8">
        <f t="shared" si="5"/>
        <v>3014.40166054054</v>
      </c>
      <c r="H17" s="8">
        <f t="shared" si="5"/>
        <v>3134.9777269621618</v>
      </c>
      <c r="I17" s="8">
        <f t="shared" si="5"/>
        <v>3260.3768360406484</v>
      </c>
      <c r="Q17" s="49"/>
      <c r="R17" s="49"/>
      <c r="S17" s="49"/>
      <c r="T17" s="49"/>
    </row>
    <row r="18" spans="2:20" x14ac:dyDescent="0.25">
      <c r="C18" t="s">
        <v>19</v>
      </c>
      <c r="D18" s="5" t="s">
        <v>22</v>
      </c>
      <c r="E18" s="8">
        <f>(R15*N12)*12</f>
        <v>464.49729729729734</v>
      </c>
      <c r="F18" s="8">
        <f t="shared" si="5"/>
        <v>483.07718918918926</v>
      </c>
      <c r="G18" s="8">
        <f t="shared" si="5"/>
        <v>502.40027675675685</v>
      </c>
      <c r="H18" s="8">
        <f t="shared" si="5"/>
        <v>522.49628782702712</v>
      </c>
      <c r="I18" s="8">
        <f t="shared" si="5"/>
        <v>543.39613934010822</v>
      </c>
      <c r="Q18" s="49"/>
      <c r="R18" s="49"/>
      <c r="S18" s="49"/>
      <c r="T18" s="49"/>
    </row>
    <row r="19" spans="2:20" x14ac:dyDescent="0.25">
      <c r="C19" t="s">
        <v>17</v>
      </c>
      <c r="D19" s="5" t="s">
        <v>22</v>
      </c>
      <c r="E19" s="8">
        <f>(P16*N12)*12</f>
        <v>1672.1902702702703</v>
      </c>
      <c r="F19" s="8">
        <f t="shared" si="5"/>
        <v>1739.0778810810812</v>
      </c>
      <c r="G19" s="8">
        <f t="shared" si="5"/>
        <v>1808.6409963243243</v>
      </c>
      <c r="H19" s="8">
        <f t="shared" si="5"/>
        <v>1880.9866361772972</v>
      </c>
      <c r="I19" s="8">
        <f t="shared" si="5"/>
        <v>1956.226101624389</v>
      </c>
      <c r="Q19" s="49"/>
      <c r="R19" s="49"/>
      <c r="S19" s="49"/>
      <c r="T19" s="49"/>
    </row>
    <row r="20" spans="2:20" x14ac:dyDescent="0.25">
      <c r="C20" s="99" t="s">
        <v>20</v>
      </c>
      <c r="D20" s="100" t="s">
        <v>22</v>
      </c>
      <c r="E20" s="101">
        <f>+((S15+Q16)*N12)*12</f>
        <v>2043.788108108108</v>
      </c>
      <c r="F20" s="101">
        <f t="shared" si="5"/>
        <v>2125.5396324324324</v>
      </c>
      <c r="G20" s="101">
        <f t="shared" si="5"/>
        <v>2210.5612177297298</v>
      </c>
      <c r="H20" s="101">
        <f t="shared" si="5"/>
        <v>2298.983666438919</v>
      </c>
      <c r="I20" s="101">
        <f t="shared" si="5"/>
        <v>2390.9430130964756</v>
      </c>
      <c r="Q20" s="49"/>
      <c r="R20" s="49"/>
      <c r="S20" s="49"/>
      <c r="T20" s="49"/>
    </row>
    <row r="21" spans="2:20" x14ac:dyDescent="0.25">
      <c r="C21" s="19"/>
      <c r="D21" s="5"/>
    </row>
    <row r="22" spans="2:20" x14ac:dyDescent="0.25">
      <c r="C22" s="105" t="s">
        <v>31</v>
      </c>
      <c r="D22" s="107"/>
      <c r="E22" s="107"/>
      <c r="F22" s="107"/>
      <c r="G22" s="107"/>
      <c r="H22" s="107"/>
      <c r="I22" s="107"/>
    </row>
    <row r="23" spans="2:20" x14ac:dyDescent="0.25">
      <c r="C23" t="s">
        <v>65</v>
      </c>
      <c r="D23" s="5"/>
      <c r="E23" s="31">
        <f>+E15*E5</f>
        <v>1393491.8918918921</v>
      </c>
      <c r="F23" s="31">
        <f>+F15*F5</f>
        <v>1507200.8302702706</v>
      </c>
      <c r="G23" s="31">
        <f>+G15*G5</f>
        <v>1630188.4180203248</v>
      </c>
      <c r="H23" s="31">
        <f>+H15*H5</f>
        <v>1763211.7929307832</v>
      </c>
      <c r="I23" s="31">
        <f>+I15*I5</f>
        <v>1907089.875233935</v>
      </c>
    </row>
    <row r="24" spans="2:20" x14ac:dyDescent="0.25">
      <c r="C24" t="s">
        <v>66</v>
      </c>
      <c r="D24" s="5"/>
      <c r="E24" s="31">
        <f>+E16*E6</f>
        <v>4714647.5675675683</v>
      </c>
      <c r="F24" s="31">
        <f>+F16*F6</f>
        <v>5099362.8090810813</v>
      </c>
      <c r="G24" s="31">
        <f>+G16*G6</f>
        <v>5515470.814302098</v>
      </c>
      <c r="H24" s="31">
        <f>+H16*H6</f>
        <v>5965533.2327491483</v>
      </c>
      <c r="I24" s="31">
        <f>+I16*I6</f>
        <v>6452320.7445414793</v>
      </c>
    </row>
    <row r="25" spans="2:20" x14ac:dyDescent="0.25">
      <c r="C25" t="s">
        <v>67</v>
      </c>
      <c r="D25" s="5"/>
      <c r="E25" s="31">
        <f>+E17*E7</f>
        <v>5852665.9459459446</v>
      </c>
      <c r="F25" s="31">
        <f>+F17*F7</f>
        <v>6330243.4871351337</v>
      </c>
      <c r="G25" s="31">
        <f>+G17*G7</f>
        <v>6846791.3556853617</v>
      </c>
      <c r="H25" s="31">
        <f>+H17*H7</f>
        <v>7405489.5303092878</v>
      </c>
      <c r="I25" s="31">
        <f>+I17*I7</f>
        <v>8009777.4759825263</v>
      </c>
    </row>
    <row r="26" spans="2:20" x14ac:dyDescent="0.25">
      <c r="C26" t="s">
        <v>69</v>
      </c>
      <c r="D26" s="5"/>
      <c r="E26" s="31">
        <f>+E18*E8</f>
        <v>1138018.3783783785</v>
      </c>
      <c r="F26" s="31">
        <f>+F18*F8</f>
        <v>1230880.6780540543</v>
      </c>
      <c r="G26" s="31">
        <f>+G18*G8</f>
        <v>1331320.5413832651</v>
      </c>
      <c r="H26" s="31">
        <f>+H18*H8</f>
        <v>1439956.2975601396</v>
      </c>
      <c r="I26" s="31">
        <f>+I18*I8</f>
        <v>1557456.731441047</v>
      </c>
    </row>
    <row r="27" spans="2:20" x14ac:dyDescent="0.25">
      <c r="C27" t="s">
        <v>68</v>
      </c>
      <c r="D27" s="5"/>
      <c r="E27" s="31">
        <f>+E19*E9</f>
        <v>4180475.6756756757</v>
      </c>
      <c r="F27" s="31">
        <f>+F19*F9</f>
        <v>4521602.4908108106</v>
      </c>
      <c r="G27" s="31">
        <f>+G19*G9</f>
        <v>4890565.2540609725</v>
      </c>
      <c r="H27" s="31">
        <f>+H19*H9</f>
        <v>5289635.3787923483</v>
      </c>
      <c r="I27" s="31">
        <f>+I19*I9</f>
        <v>5721269.6257018028</v>
      </c>
    </row>
    <row r="28" spans="2:20" x14ac:dyDescent="0.25">
      <c r="C28" t="s">
        <v>70</v>
      </c>
      <c r="D28" s="5"/>
      <c r="E28" s="31">
        <f>+E20*E10</f>
        <v>7562015.9999999991</v>
      </c>
      <c r="F28" s="31">
        <f>+F20*F10</f>
        <v>8179076.5055999998</v>
      </c>
      <c r="G28" s="31">
        <f>+G20*G10</f>
        <v>8846489.1484569609</v>
      </c>
      <c r="H28" s="31">
        <f>+H20*H10</f>
        <v>9568362.6629710477</v>
      </c>
      <c r="I28" s="31">
        <f>+I20*I10</f>
        <v>10349141.056269486</v>
      </c>
    </row>
    <row r="29" spans="2:20" x14ac:dyDescent="0.25">
      <c r="C29" s="97" t="s">
        <v>64</v>
      </c>
      <c r="D29" s="97"/>
      <c r="E29" s="98">
        <f>SUM(E23:E28)</f>
        <v>24841315.459459461</v>
      </c>
      <c r="F29" s="98">
        <f t="shared" ref="F29:I29" si="6">SUM(F23:F28)</f>
        <v>26868366.800951354</v>
      </c>
      <c r="G29" s="98">
        <f t="shared" si="6"/>
        <v>29060825.531908982</v>
      </c>
      <c r="H29" s="98">
        <f t="shared" si="6"/>
        <v>31432188.895312756</v>
      </c>
      <c r="I29" s="98">
        <f t="shared" si="6"/>
        <v>33997055.509170279</v>
      </c>
    </row>
    <row r="30" spans="2:20" x14ac:dyDescent="0.25">
      <c r="E30" s="27"/>
      <c r="F30" s="27"/>
      <c r="G30" s="27"/>
      <c r="H30" s="27"/>
      <c r="I30" s="27"/>
    </row>
    <row r="31" spans="2:20" x14ac:dyDescent="0.25">
      <c r="C31" s="29"/>
      <c r="D31" s="29"/>
      <c r="E31" s="30"/>
      <c r="F31" s="30"/>
      <c r="G31" s="30"/>
      <c r="H31" s="30"/>
      <c r="I31" s="30"/>
    </row>
    <row r="32" spans="2:20" x14ac:dyDescent="0.25">
      <c r="B32" s="9" t="s">
        <v>34</v>
      </c>
      <c r="C32" s="75" t="s">
        <v>33</v>
      </c>
      <c r="D32" s="22"/>
      <c r="E32" s="111">
        <f>+E33+E34+E35</f>
        <v>0.45</v>
      </c>
      <c r="F32" s="111">
        <f>+F33+F34+F35</f>
        <v>0.45</v>
      </c>
      <c r="G32" s="111">
        <f>+G33+G34+G35</f>
        <v>0.45</v>
      </c>
      <c r="H32" s="111">
        <f t="shared" ref="H32:I32" si="7">+H33+H34+H35</f>
        <v>0.45</v>
      </c>
      <c r="I32" s="111">
        <f t="shared" si="7"/>
        <v>0.45</v>
      </c>
    </row>
    <row r="33" spans="2:9" ht="45" x14ac:dyDescent="0.25">
      <c r="C33" s="21" t="s">
        <v>38</v>
      </c>
      <c r="E33" s="7">
        <v>0.25</v>
      </c>
      <c r="F33" s="7">
        <v>0.25</v>
      </c>
      <c r="G33" s="7">
        <v>0.25</v>
      </c>
      <c r="H33" s="7">
        <v>0.25</v>
      </c>
      <c r="I33" s="110">
        <v>0.25</v>
      </c>
    </row>
    <row r="34" spans="2:9" ht="60" x14ac:dyDescent="0.25">
      <c r="C34" s="21" t="s">
        <v>39</v>
      </c>
      <c r="E34" s="7">
        <v>0.15</v>
      </c>
      <c r="F34" s="7">
        <v>0.15</v>
      </c>
      <c r="G34" s="7">
        <v>0.15</v>
      </c>
      <c r="H34" s="7">
        <v>0.15</v>
      </c>
      <c r="I34" s="7">
        <v>0.15</v>
      </c>
    </row>
    <row r="35" spans="2:9" x14ac:dyDescent="0.25">
      <c r="C35" s="99" t="s">
        <v>37</v>
      </c>
      <c r="D35" s="29"/>
      <c r="E35" s="102">
        <v>0.05</v>
      </c>
      <c r="F35" s="102">
        <v>0.05</v>
      </c>
      <c r="G35" s="102">
        <v>0.05</v>
      </c>
      <c r="H35" s="102">
        <v>0.05</v>
      </c>
      <c r="I35" s="102">
        <v>0.05</v>
      </c>
    </row>
    <row r="36" spans="2:9" x14ac:dyDescent="0.25">
      <c r="C36" s="94"/>
      <c r="E36" s="94"/>
      <c r="F36" s="94"/>
      <c r="G36" s="94"/>
      <c r="I36" s="94"/>
    </row>
    <row r="38" spans="2:9" x14ac:dyDescent="0.25">
      <c r="B38" s="6" t="s">
        <v>34</v>
      </c>
      <c r="C38" s="6" t="s">
        <v>44</v>
      </c>
      <c r="D38" s="23">
        <v>735000000</v>
      </c>
    </row>
    <row r="39" spans="2:9" x14ac:dyDescent="0.25">
      <c r="B39"/>
    </row>
    <row r="40" spans="2:9" x14ac:dyDescent="0.25">
      <c r="B40" s="6" t="s">
        <v>34</v>
      </c>
      <c r="C40" s="6" t="s">
        <v>45</v>
      </c>
    </row>
    <row r="41" spans="2:9" x14ac:dyDescent="0.25">
      <c r="B41" s="6"/>
      <c r="C41" s="6" t="s">
        <v>46</v>
      </c>
      <c r="D41" s="41">
        <v>0.3</v>
      </c>
    </row>
    <row r="42" spans="2:9" x14ac:dyDescent="0.25">
      <c r="B42" s="6"/>
      <c r="C42" s="6" t="s">
        <v>47</v>
      </c>
      <c r="D42" s="24">
        <f>1-D41</f>
        <v>0.7</v>
      </c>
    </row>
    <row r="43" spans="2:9" x14ac:dyDescent="0.25">
      <c r="B43"/>
    </row>
    <row r="44" spans="2:9" x14ac:dyDescent="0.25">
      <c r="B44"/>
    </row>
    <row r="45" spans="2:9" x14ac:dyDescent="0.25">
      <c r="B45" s="6" t="s">
        <v>34</v>
      </c>
      <c r="C45" s="6" t="s">
        <v>43</v>
      </c>
      <c r="D45" s="47" t="s">
        <v>58</v>
      </c>
    </row>
    <row r="46" spans="2:9" x14ac:dyDescent="0.25">
      <c r="B46" s="6"/>
      <c r="C46" s="6"/>
    </row>
    <row r="47" spans="2:9" x14ac:dyDescent="0.25">
      <c r="B47" s="6" t="s">
        <v>34</v>
      </c>
      <c r="C47" s="6" t="s">
        <v>44</v>
      </c>
      <c r="D47" s="23">
        <v>735000000</v>
      </c>
      <c r="F47" s="20"/>
    </row>
    <row r="48" spans="2:9" x14ac:dyDescent="0.25">
      <c r="B48" s="6"/>
      <c r="C48" s="6"/>
      <c r="H48" s="20"/>
    </row>
    <row r="49" spans="2:9" x14ac:dyDescent="0.25">
      <c r="B49" s="6" t="s">
        <v>34</v>
      </c>
      <c r="C49" s="6" t="s">
        <v>48</v>
      </c>
      <c r="D49" s="44">
        <v>2400000</v>
      </c>
    </row>
    <row r="50" spans="2:9" x14ac:dyDescent="0.25">
      <c r="B50" s="6"/>
      <c r="C50" s="6"/>
    </row>
    <row r="51" spans="2:9" x14ac:dyDescent="0.25">
      <c r="B51" s="6" t="s">
        <v>34</v>
      </c>
      <c r="C51" s="6" t="s">
        <v>115</v>
      </c>
    </row>
    <row r="52" spans="2:9" x14ac:dyDescent="0.25">
      <c r="B52" s="6"/>
      <c r="C52" s="6"/>
      <c r="D52">
        <v>1</v>
      </c>
      <c r="E52">
        <v>2</v>
      </c>
      <c r="F52">
        <v>3</v>
      </c>
      <c r="G52">
        <v>4</v>
      </c>
      <c r="H52">
        <v>5</v>
      </c>
      <c r="I52" t="s">
        <v>116</v>
      </c>
    </row>
    <row r="53" spans="2:9" x14ac:dyDescent="0.25">
      <c r="B53" s="6"/>
      <c r="C53" s="6"/>
      <c r="D53" s="42">
        <v>130</v>
      </c>
      <c r="E53" s="42">
        <v>170</v>
      </c>
      <c r="F53" s="42">
        <v>220</v>
      </c>
      <c r="G53" s="42">
        <v>260</v>
      </c>
      <c r="H53" s="42">
        <v>300</v>
      </c>
      <c r="I53" s="40">
        <v>1080</v>
      </c>
    </row>
    <row r="54" spans="2:9" x14ac:dyDescent="0.25">
      <c r="B54" s="6"/>
      <c r="C54" s="6" t="s">
        <v>49</v>
      </c>
      <c r="D54" s="26">
        <f>+D53/$I$53</f>
        <v>0.12037037037037036</v>
      </c>
      <c r="E54" s="26">
        <f t="shared" ref="E54:G54" si="8">+E53/$I$53</f>
        <v>0.15740740740740741</v>
      </c>
      <c r="F54" s="26">
        <f t="shared" si="8"/>
        <v>0.20370370370370369</v>
      </c>
      <c r="G54" s="26">
        <f t="shared" si="8"/>
        <v>0.24074074074074073</v>
      </c>
      <c r="H54" s="26">
        <f>+H53/$I$53</f>
        <v>0.27777777777777779</v>
      </c>
    </row>
    <row r="55" spans="2:9" x14ac:dyDescent="0.25">
      <c r="B55" s="6"/>
      <c r="C55" s="6"/>
    </row>
    <row r="56" spans="2:9" x14ac:dyDescent="0.25">
      <c r="B56" s="6"/>
      <c r="C56" s="6"/>
    </row>
    <row r="57" spans="2:9" x14ac:dyDescent="0.25">
      <c r="B57" s="6" t="s">
        <v>34</v>
      </c>
      <c r="C57" s="6" t="s">
        <v>117</v>
      </c>
      <c r="D57" s="48">
        <v>0.45</v>
      </c>
    </row>
    <row r="58" spans="2:9" x14ac:dyDescent="0.25">
      <c r="B58" s="6"/>
      <c r="C58" s="6"/>
    </row>
    <row r="59" spans="2:9" x14ac:dyDescent="0.25">
      <c r="B59" s="6" t="s">
        <v>34</v>
      </c>
      <c r="C59" s="6" t="s">
        <v>118</v>
      </c>
      <c r="D59" s="20">
        <f>+D49*D57</f>
        <v>1080000</v>
      </c>
    </row>
    <row r="60" spans="2:9" x14ac:dyDescent="0.25">
      <c r="B60" s="6"/>
      <c r="C60" s="6"/>
    </row>
    <row r="61" spans="2:9" x14ac:dyDescent="0.25">
      <c r="B61" s="6" t="s">
        <v>34</v>
      </c>
      <c r="C61" s="6" t="s">
        <v>50</v>
      </c>
      <c r="D61" s="48">
        <v>0.04</v>
      </c>
    </row>
    <row r="62" spans="2:9" x14ac:dyDescent="0.25">
      <c r="B62" s="6"/>
      <c r="C62" s="6"/>
    </row>
    <row r="63" spans="2:9" x14ac:dyDescent="0.25">
      <c r="B63" s="6" t="s">
        <v>34</v>
      </c>
      <c r="C63" s="6" t="s">
        <v>51</v>
      </c>
      <c r="D63" s="20">
        <f>+D61*D49</f>
        <v>96000</v>
      </c>
    </row>
    <row r="64" spans="2:9" x14ac:dyDescent="0.25">
      <c r="B64" s="6"/>
      <c r="C64" s="6"/>
    </row>
    <row r="65" spans="2:9" x14ac:dyDescent="0.25">
      <c r="B65" s="6" t="s">
        <v>34</v>
      </c>
      <c r="C65" s="6" t="s">
        <v>52</v>
      </c>
      <c r="D65" s="26">
        <v>0.15</v>
      </c>
    </row>
    <row r="66" spans="2:9" x14ac:dyDescent="0.25">
      <c r="B66" s="6"/>
      <c r="C66" s="6"/>
    </row>
    <row r="67" spans="2:9" x14ac:dyDescent="0.25">
      <c r="B67" s="6" t="s">
        <v>34</v>
      </c>
      <c r="C67" s="6" t="s">
        <v>53</v>
      </c>
    </row>
    <row r="68" spans="2:9" x14ac:dyDescent="0.25">
      <c r="B68" s="6"/>
      <c r="C68" s="6" t="s">
        <v>54</v>
      </c>
      <c r="D68">
        <v>30</v>
      </c>
      <c r="E68">
        <v>30</v>
      </c>
      <c r="F68">
        <v>30</v>
      </c>
      <c r="G68">
        <v>30</v>
      </c>
      <c r="H68">
        <v>30</v>
      </c>
      <c r="I68">
        <v>30</v>
      </c>
    </row>
    <row r="69" spans="2:9" x14ac:dyDescent="0.25">
      <c r="B69" s="6"/>
      <c r="C69" s="6" t="s">
        <v>55</v>
      </c>
      <c r="D69">
        <v>30</v>
      </c>
      <c r="E69">
        <v>30</v>
      </c>
      <c r="F69">
        <v>30</v>
      </c>
      <c r="G69">
        <v>30</v>
      </c>
      <c r="H69">
        <v>30</v>
      </c>
      <c r="I69">
        <v>30</v>
      </c>
    </row>
    <row r="70" spans="2:9" x14ac:dyDescent="0.25">
      <c r="B70" s="6"/>
      <c r="C70" s="6"/>
    </row>
    <row r="71" spans="2:9" x14ac:dyDescent="0.25">
      <c r="B71" s="6" t="s">
        <v>34</v>
      </c>
      <c r="C71" s="6" t="s">
        <v>43</v>
      </c>
      <c r="D71">
        <v>5</v>
      </c>
    </row>
    <row r="72" spans="2:9" x14ac:dyDescent="0.25">
      <c r="B72" s="6"/>
      <c r="C72" s="6"/>
    </row>
    <row r="73" spans="2:9" x14ac:dyDescent="0.25">
      <c r="B73" s="6"/>
      <c r="C73" s="6" t="s">
        <v>44</v>
      </c>
      <c r="D73" s="43">
        <f>+D47</f>
        <v>735000000</v>
      </c>
    </row>
    <row r="74" spans="2:9" x14ac:dyDescent="0.25">
      <c r="B74" s="6"/>
      <c r="C74" s="6" t="s">
        <v>56</v>
      </c>
      <c r="D74" s="23">
        <f>+D73/5</f>
        <v>147000000</v>
      </c>
      <c r="E74" s="23">
        <f>D74</f>
        <v>147000000</v>
      </c>
      <c r="F74" s="23">
        <f>D74</f>
        <v>147000000</v>
      </c>
      <c r="G74" s="23">
        <f>D74</f>
        <v>147000000</v>
      </c>
      <c r="H74" s="23">
        <f>D74</f>
        <v>147000000</v>
      </c>
    </row>
    <row r="75" spans="2:9" x14ac:dyDescent="0.25">
      <c r="B75" s="6"/>
      <c r="C75" s="6"/>
    </row>
    <row r="76" spans="2:9" x14ac:dyDescent="0.25">
      <c r="B76" s="6" t="s">
        <v>34</v>
      </c>
      <c r="C76" s="13" t="s">
        <v>57</v>
      </c>
    </row>
  </sheetData>
  <mergeCells count="1">
    <mergeCell ref="K11:L1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9192-11C1-420B-98FA-20ED0478E3EC}">
  <dimension ref="A2:I69"/>
  <sheetViews>
    <sheetView workbookViewId="0">
      <selection activeCell="I7" sqref="I7"/>
    </sheetView>
  </sheetViews>
  <sheetFormatPr baseColWidth="10" defaultRowHeight="15" x14ac:dyDescent="0.25"/>
  <cols>
    <col min="1" max="1" width="4" customWidth="1"/>
    <col min="2" max="2" width="33.28515625" bestFit="1" customWidth="1"/>
    <col min="3" max="3" width="20" customWidth="1"/>
    <col min="4" max="4" width="16.7109375" bestFit="1" customWidth="1"/>
    <col min="5" max="5" width="18.85546875" customWidth="1"/>
    <col min="6" max="6" width="17.28515625" customWidth="1"/>
    <col min="7" max="7" width="16.7109375" customWidth="1"/>
    <col min="8" max="8" width="20.85546875" customWidth="1"/>
    <col min="10" max="10" width="13" bestFit="1" customWidth="1"/>
  </cols>
  <sheetData>
    <row r="2" spans="1:9" x14ac:dyDescent="0.25">
      <c r="A2" t="s">
        <v>34</v>
      </c>
      <c r="B2" s="73" t="s">
        <v>32</v>
      </c>
      <c r="C2" s="73"/>
      <c r="D2" s="74">
        <v>1</v>
      </c>
      <c r="E2" s="74">
        <v>2</v>
      </c>
      <c r="F2" s="74">
        <v>3</v>
      </c>
      <c r="G2" s="74">
        <v>4</v>
      </c>
      <c r="H2" s="74">
        <v>5</v>
      </c>
    </row>
    <row r="4" spans="1:9" x14ac:dyDescent="0.25">
      <c r="B4" s="11" t="s">
        <v>31</v>
      </c>
      <c r="C4" s="79">
        <v>0</v>
      </c>
      <c r="D4" s="12">
        <f>+PARAMETROS!E29</f>
        <v>24841315.459459461</v>
      </c>
      <c r="E4" s="12">
        <f>+PARAMETROS!F29</f>
        <v>26868366.800951354</v>
      </c>
      <c r="F4" s="12">
        <f>+PARAMETROS!G29</f>
        <v>29060825.531908982</v>
      </c>
      <c r="G4" s="12">
        <f>+PARAMETROS!H29</f>
        <v>31432188.895312756</v>
      </c>
      <c r="H4" s="12">
        <f>+PARAMETROS!I29</f>
        <v>33997055.509170279</v>
      </c>
      <c r="I4" s="10"/>
    </row>
    <row r="5" spans="1:9" x14ac:dyDescent="0.25">
      <c r="B5" s="6" t="s">
        <v>40</v>
      </c>
      <c r="C5" s="20">
        <v>0</v>
      </c>
      <c r="D5" s="46">
        <f>+PARAMETROS!D59*PARAMETROS!D53</f>
        <v>140400000</v>
      </c>
      <c r="E5" s="46">
        <f>+PARAMETROS!D59*PARAMETROS!E53</f>
        <v>183600000</v>
      </c>
      <c r="F5" s="46">
        <f>+PARAMETROS!D59*PARAMETROS!F53</f>
        <v>237600000</v>
      </c>
      <c r="G5" s="46">
        <f>+PARAMETROS!D59*PARAMETROS!G53</f>
        <v>280800000</v>
      </c>
      <c r="H5" s="46">
        <f>+PARAMETROS!D59*PARAMETROS!H53</f>
        <v>324000000</v>
      </c>
    </row>
    <row r="6" spans="1:9" x14ac:dyDescent="0.25">
      <c r="B6" s="76" t="s">
        <v>41</v>
      </c>
      <c r="C6" s="78">
        <f>+C4-C5</f>
        <v>0</v>
      </c>
      <c r="D6" s="78">
        <f>D4-D5</f>
        <v>-115558684.54054055</v>
      </c>
      <c r="E6" s="78">
        <f>E4-E5</f>
        <v>-156731633.19904864</v>
      </c>
      <c r="F6" s="78">
        <f>F4-F5</f>
        <v>-208539174.46809101</v>
      </c>
      <c r="G6" s="78">
        <f>G4-G5</f>
        <v>-249367811.10468724</v>
      </c>
      <c r="H6" s="78">
        <f>H4-H5</f>
        <v>-290002944.49082971</v>
      </c>
    </row>
    <row r="7" spans="1:9" x14ac:dyDescent="0.25">
      <c r="B7" t="s">
        <v>42</v>
      </c>
      <c r="C7" s="20">
        <v>0</v>
      </c>
      <c r="D7" s="43">
        <f>+PARAMETROS!D63*PARAMETROS!D53</f>
        <v>12480000</v>
      </c>
      <c r="E7" s="43">
        <f>+PARAMETROS!D63*PARAMETROS!E53</f>
        <v>16320000</v>
      </c>
      <c r="F7" s="43">
        <f>+PARAMETROS!D63*PARAMETROS!F53</f>
        <v>21120000</v>
      </c>
      <c r="G7" s="43">
        <f>+PARAMETROS!D63*PARAMETROS!G53</f>
        <v>24960000</v>
      </c>
      <c r="H7" s="43">
        <f>+PARAMETROS!D63*PARAMETROS!H53</f>
        <v>28800000</v>
      </c>
    </row>
    <row r="8" spans="1:9" x14ac:dyDescent="0.25">
      <c r="B8" t="s">
        <v>43</v>
      </c>
      <c r="C8" s="20">
        <v>0</v>
      </c>
      <c r="D8" s="43">
        <f>+PARAMETROS!D74</f>
        <v>147000000</v>
      </c>
      <c r="E8" s="43">
        <f>+PARAMETROS!E74</f>
        <v>147000000</v>
      </c>
      <c r="F8" s="43">
        <f>+PARAMETROS!F74</f>
        <v>147000000</v>
      </c>
      <c r="G8" s="43">
        <f>+PARAMETROS!G74</f>
        <v>147000000</v>
      </c>
      <c r="H8" s="43">
        <f>+PARAMETROS!H74</f>
        <v>147000000</v>
      </c>
    </row>
    <row r="9" spans="1:9" s="6" customFormat="1" x14ac:dyDescent="0.25">
      <c r="B9" s="76" t="s">
        <v>71</v>
      </c>
      <c r="C9" s="78">
        <f>+C6-C7-C8</f>
        <v>0</v>
      </c>
      <c r="D9" s="77">
        <f>+D6-D7-D8</f>
        <v>-275038684.54054058</v>
      </c>
      <c r="E9" s="77">
        <f>+E6-E7-E8</f>
        <v>-320051633.19904864</v>
      </c>
      <c r="F9" s="77">
        <f>+F6-F7-F8</f>
        <v>-376659174.46809101</v>
      </c>
      <c r="G9" s="77">
        <f>+G6-G7-G8</f>
        <v>-421327811.10468721</v>
      </c>
      <c r="H9" s="77">
        <f>+H6-H7-H8</f>
        <v>-465802944.49082971</v>
      </c>
    </row>
    <row r="10" spans="1:9" x14ac:dyDescent="0.25">
      <c r="B10" t="s">
        <v>72</v>
      </c>
    </row>
    <row r="11" spans="1:9" x14ac:dyDescent="0.25">
      <c r="B11" t="s">
        <v>73</v>
      </c>
      <c r="C11" s="45">
        <f>+C12</f>
        <v>15705112.499999972</v>
      </c>
      <c r="D11" s="45">
        <f t="shared" ref="D11:H11" si="0">+D12</f>
        <v>16823709.137812469</v>
      </c>
      <c r="E11" s="45">
        <f t="shared" si="0"/>
        <v>14798633.037890596</v>
      </c>
      <c r="F11" s="45">
        <f t="shared" si="0"/>
        <v>12150456.599531226</v>
      </c>
      <c r="G11" s="45">
        <f t="shared" si="0"/>
        <v>8723404.7381249815</v>
      </c>
      <c r="H11" s="45">
        <f t="shared" si="0"/>
        <v>4673252.5382812396</v>
      </c>
    </row>
    <row r="12" spans="1:9" x14ac:dyDescent="0.25">
      <c r="B12" s="34" t="s">
        <v>74</v>
      </c>
      <c r="C12" s="20">
        <f>+DEUDA!C9</f>
        <v>15705112.499999972</v>
      </c>
      <c r="D12" s="20">
        <f>+DEUDA!D9</f>
        <v>16823709.137812469</v>
      </c>
      <c r="E12" s="20">
        <f>+DEUDA!E9</f>
        <v>14798633.037890596</v>
      </c>
      <c r="F12" s="20">
        <f>+DEUDA!F9</f>
        <v>12150456.599531226</v>
      </c>
      <c r="G12" s="20">
        <f>+DEUDA!G9</f>
        <v>8723404.7381249815</v>
      </c>
      <c r="H12" s="20">
        <f>+DEUDA!H9</f>
        <v>4673252.5382812396</v>
      </c>
    </row>
    <row r="13" spans="1:9" x14ac:dyDescent="0.25">
      <c r="B13" s="76" t="s">
        <v>75</v>
      </c>
      <c r="C13" s="78">
        <f>+C9+C10-C11</f>
        <v>-15705112.499999972</v>
      </c>
      <c r="D13" s="78">
        <f t="shared" ref="D13:H13" si="1">+D9+D10-D11</f>
        <v>-291862393.67835307</v>
      </c>
      <c r="E13" s="78">
        <f>+E9+E10-E11</f>
        <v>-334850266.23693925</v>
      </c>
      <c r="F13" s="78">
        <f t="shared" si="1"/>
        <v>-388809631.06762224</v>
      </c>
      <c r="G13" s="78">
        <f t="shared" si="1"/>
        <v>-430051215.84281218</v>
      </c>
      <c r="H13" s="78">
        <f t="shared" si="1"/>
        <v>-470476197.02911097</v>
      </c>
    </row>
    <row r="14" spans="1:9" x14ac:dyDescent="0.25">
      <c r="B14" t="s">
        <v>76</v>
      </c>
      <c r="C14" s="20">
        <f>IF(C13&lt;0,0,C13*PARAMETROS!D65)</f>
        <v>0</v>
      </c>
      <c r="D14" s="20">
        <f>IF(D13&lt;0,0,D13*PARAMETROS!D65)</f>
        <v>0</v>
      </c>
      <c r="E14" s="20">
        <f>IF(E13&lt;0,0,E13*PARAMETROS!F65)</f>
        <v>0</v>
      </c>
      <c r="F14" s="20">
        <f>IF(F13&lt;0,0,F13*PARAMETROS!F65)</f>
        <v>0</v>
      </c>
      <c r="G14" s="20">
        <f>IF(G13&lt;0,0,G13*PARAMETROS!H65)</f>
        <v>0</v>
      </c>
      <c r="H14" s="20">
        <f>IF(H13&lt;0,0,H13*PARAMETROS!H65)</f>
        <v>0</v>
      </c>
    </row>
    <row r="15" spans="1:9" x14ac:dyDescent="0.25">
      <c r="B15" s="76" t="s">
        <v>77</v>
      </c>
      <c r="C15" s="78">
        <f>+C13-C14</f>
        <v>-15705112.499999972</v>
      </c>
      <c r="D15" s="78">
        <f>+D13-D14</f>
        <v>-291862393.67835307</v>
      </c>
      <c r="E15" s="78">
        <f t="shared" ref="E15:G15" si="2">+E13-E14</f>
        <v>-334850266.23693925</v>
      </c>
      <c r="F15" s="78">
        <f t="shared" si="2"/>
        <v>-388809631.06762224</v>
      </c>
      <c r="G15" s="78">
        <f t="shared" si="2"/>
        <v>-430051215.84281218</v>
      </c>
      <c r="H15" s="78">
        <f>+H13-H14</f>
        <v>-470476197.02911097</v>
      </c>
    </row>
    <row r="17" spans="1:8" x14ac:dyDescent="0.25">
      <c r="A17" t="s">
        <v>34</v>
      </c>
      <c r="B17" s="73" t="s">
        <v>78</v>
      </c>
      <c r="C17" s="73">
        <v>0</v>
      </c>
      <c r="D17" s="73">
        <v>1</v>
      </c>
      <c r="E17" s="73">
        <v>2</v>
      </c>
      <c r="F17" s="73">
        <v>3</v>
      </c>
      <c r="G17" s="73">
        <v>4</v>
      </c>
      <c r="H17" s="73">
        <v>5</v>
      </c>
    </row>
    <row r="19" spans="1:8" x14ac:dyDescent="0.25">
      <c r="B19" s="80" t="s">
        <v>79</v>
      </c>
      <c r="C19" s="81">
        <f>C20+C21+C22</f>
        <v>735000000</v>
      </c>
      <c r="D19" s="81">
        <f t="shared" ref="D19:H19" si="3">D20+D21+D22</f>
        <v>262740909.27167225</v>
      </c>
      <c r="E19" s="81">
        <f t="shared" si="3"/>
        <v>-327289412.89733052</v>
      </c>
      <c r="F19" s="81">
        <f t="shared" si="3"/>
        <v>-1045323092.4268217</v>
      </c>
      <c r="G19" s="81">
        <f t="shared" si="3"/>
        <v>-1865151525.2260633</v>
      </c>
      <c r="H19" s="81">
        <f t="shared" si="3"/>
        <v>-2783342720.6687732</v>
      </c>
    </row>
    <row r="20" spans="1:8" x14ac:dyDescent="0.25">
      <c r="B20" s="34" t="s">
        <v>80</v>
      </c>
      <c r="C20" s="27">
        <f>C67</f>
        <v>0</v>
      </c>
      <c r="D20" s="27">
        <f t="shared" ref="D20:H20" si="4">D67</f>
        <v>-327329200.34994936</v>
      </c>
      <c r="E20" s="27">
        <f t="shared" si="4"/>
        <v>-770528443.46407652</v>
      </c>
      <c r="F20" s="27">
        <f t="shared" si="4"/>
        <v>-1341744827.887814</v>
      </c>
      <c r="G20" s="27">
        <f t="shared" si="4"/>
        <v>-2014770874.3006725</v>
      </c>
      <c r="H20" s="27">
        <f t="shared" si="4"/>
        <v>-2786175808.6278706</v>
      </c>
    </row>
    <row r="21" spans="1:8" x14ac:dyDescent="0.25">
      <c r="B21" s="34" t="s">
        <v>81</v>
      </c>
      <c r="C21" s="27">
        <f>C39</f>
        <v>0</v>
      </c>
      <c r="D21" s="27">
        <f t="shared" ref="D21:H21" si="5">D39</f>
        <v>2070109.6216216215</v>
      </c>
      <c r="E21" s="27">
        <f>E39</f>
        <v>2239030.5667459462</v>
      </c>
      <c r="F21" s="27">
        <f t="shared" si="5"/>
        <v>2421735.460992415</v>
      </c>
      <c r="G21" s="27">
        <f t="shared" si="5"/>
        <v>2619349.074609396</v>
      </c>
      <c r="H21" s="27">
        <f t="shared" si="5"/>
        <v>2833087.9590975232</v>
      </c>
    </row>
    <row r="22" spans="1:8" x14ac:dyDescent="0.25">
      <c r="B22" s="34" t="s">
        <v>82</v>
      </c>
      <c r="C22" s="31">
        <f>C23-C24</f>
        <v>735000000</v>
      </c>
      <c r="D22" s="31">
        <f t="shared" ref="D22:H22" si="6">D23-D24</f>
        <v>588000000</v>
      </c>
      <c r="E22" s="31">
        <f t="shared" si="6"/>
        <v>441000000</v>
      </c>
      <c r="F22" s="31">
        <f t="shared" si="6"/>
        <v>294000000</v>
      </c>
      <c r="G22" s="31">
        <f t="shared" si="6"/>
        <v>147000000</v>
      </c>
      <c r="H22" s="31">
        <f t="shared" si="6"/>
        <v>0</v>
      </c>
    </row>
    <row r="23" spans="1:8" x14ac:dyDescent="0.25">
      <c r="B23" s="35" t="s">
        <v>82</v>
      </c>
      <c r="C23" s="31">
        <f>+PARAMETROS!D38</f>
        <v>735000000</v>
      </c>
      <c r="D23" s="31">
        <f>C23</f>
        <v>735000000</v>
      </c>
      <c r="E23" s="31">
        <f t="shared" ref="E23:H23" si="7">D23</f>
        <v>735000000</v>
      </c>
      <c r="F23" s="31">
        <f t="shared" si="7"/>
        <v>735000000</v>
      </c>
      <c r="G23" s="31">
        <f t="shared" si="7"/>
        <v>735000000</v>
      </c>
      <c r="H23" s="31">
        <f t="shared" si="7"/>
        <v>735000000</v>
      </c>
    </row>
    <row r="24" spans="1:8" x14ac:dyDescent="0.25">
      <c r="B24" s="35" t="s">
        <v>83</v>
      </c>
      <c r="C24" s="31">
        <f>C8</f>
        <v>0</v>
      </c>
      <c r="D24" s="31">
        <f>C24+D8</f>
        <v>147000000</v>
      </c>
      <c r="E24" s="31">
        <f>D24+E8</f>
        <v>294000000</v>
      </c>
      <c r="F24" s="31">
        <f>E24+F8</f>
        <v>441000000</v>
      </c>
      <c r="G24" s="31">
        <f>F24+G8</f>
        <v>588000000</v>
      </c>
      <c r="H24" s="31">
        <f>G24+H8</f>
        <v>735000000</v>
      </c>
    </row>
    <row r="26" spans="1:8" x14ac:dyDescent="0.25">
      <c r="B26" s="80" t="s">
        <v>84</v>
      </c>
      <c r="C26" s="81">
        <f>SUM(C27:C28)</f>
        <v>236205112.49999997</v>
      </c>
      <c r="D26" s="81">
        <f t="shared" ref="D26:H26" si="8">SUM(D27:D28)</f>
        <v>219473015.62499997</v>
      </c>
      <c r="E26" s="81">
        <f t="shared" si="8"/>
        <v>185892581.24999997</v>
      </c>
      <c r="F26" s="81">
        <f t="shared" si="8"/>
        <v>142276724.99999997</v>
      </c>
      <c r="G26" s="81">
        <f t="shared" si="8"/>
        <v>89012531.24999997</v>
      </c>
      <c r="H26" s="81">
        <f t="shared" si="8"/>
        <v>27000000</v>
      </c>
    </row>
    <row r="27" spans="1:8" x14ac:dyDescent="0.25">
      <c r="B27" s="34" t="s">
        <v>85</v>
      </c>
      <c r="C27" s="31">
        <f>C42</f>
        <v>0</v>
      </c>
      <c r="D27" s="31">
        <f t="shared" ref="D27:H27" si="9">D42</f>
        <v>11700000</v>
      </c>
      <c r="E27" s="31">
        <f>E42</f>
        <v>15300000</v>
      </c>
      <c r="F27" s="31">
        <f t="shared" si="9"/>
        <v>19800000</v>
      </c>
      <c r="G27" s="31">
        <f t="shared" si="9"/>
        <v>23400000</v>
      </c>
      <c r="H27" s="31">
        <f t="shared" si="9"/>
        <v>27000000</v>
      </c>
    </row>
    <row r="28" spans="1:8" x14ac:dyDescent="0.25">
      <c r="B28" s="34" t="s">
        <v>86</v>
      </c>
      <c r="C28" s="31">
        <f>+DEUDA!C13</f>
        <v>236205112.49999997</v>
      </c>
      <c r="D28" s="31">
        <f>+DEUDA!D13</f>
        <v>207773015.62499997</v>
      </c>
      <c r="E28" s="31">
        <f>+DEUDA!E13</f>
        <v>170592581.24999997</v>
      </c>
      <c r="F28" s="31">
        <f>+DEUDA!F13</f>
        <v>122476724.99999997</v>
      </c>
      <c r="G28" s="31">
        <f>+DEUDA!G13</f>
        <v>65612531.249999978</v>
      </c>
      <c r="H28" s="31">
        <f>+DEUDA!H13</f>
        <v>0</v>
      </c>
    </row>
    <row r="30" spans="1:8" x14ac:dyDescent="0.25">
      <c r="B30" s="80" t="s">
        <v>87</v>
      </c>
      <c r="C30" s="82">
        <f>SUM(C31:C33)</f>
        <v>498794887.5</v>
      </c>
      <c r="D30" s="82">
        <f t="shared" ref="D30:H30" si="10">SUM(D31:D33)</f>
        <v>43267893.646672279</v>
      </c>
      <c r="E30" s="82">
        <f t="shared" si="10"/>
        <v>-513181994.14733052</v>
      </c>
      <c r="F30" s="82">
        <f t="shared" si="10"/>
        <v>-1187599817.4268215</v>
      </c>
      <c r="G30" s="82">
        <f t="shared" si="10"/>
        <v>-1954164056.4760628</v>
      </c>
      <c r="H30" s="82">
        <f t="shared" si="10"/>
        <v>-2810342720.6687727</v>
      </c>
    </row>
    <row r="31" spans="1:8" x14ac:dyDescent="0.25">
      <c r="B31" s="34" t="s">
        <v>88</v>
      </c>
      <c r="C31" s="31">
        <f>C63</f>
        <v>514500000</v>
      </c>
      <c r="D31" s="31">
        <f>C31+D63</f>
        <v>350835399.82502532</v>
      </c>
      <c r="E31" s="31">
        <f>D31+E63</f>
        <v>129235778.26796177</v>
      </c>
      <c r="F31" s="31">
        <f>E31+F63</f>
        <v>-156372413.94390693</v>
      </c>
      <c r="G31" s="31">
        <f>F31+G63</f>
        <v>-492885437.15033615</v>
      </c>
      <c r="H31" s="31">
        <f>G31+H63</f>
        <v>-878587904.31393528</v>
      </c>
    </row>
    <row r="32" spans="1:8" x14ac:dyDescent="0.25">
      <c r="B32" s="34" t="s">
        <v>89</v>
      </c>
      <c r="C32" s="31">
        <f>C15</f>
        <v>-15705112.499999972</v>
      </c>
      <c r="D32" s="31">
        <f>D15</f>
        <v>-291862393.67835307</v>
      </c>
      <c r="E32" s="31">
        <f>E15</f>
        <v>-334850266.23693925</v>
      </c>
      <c r="F32" s="31">
        <f>F15</f>
        <v>-388809631.06762224</v>
      </c>
      <c r="G32" s="31">
        <f>G15</f>
        <v>-430051215.84281218</v>
      </c>
      <c r="H32" s="31">
        <f>H15</f>
        <v>-470476197.02911097</v>
      </c>
    </row>
    <row r="33" spans="1:8" x14ac:dyDescent="0.25">
      <c r="B33" s="34" t="s">
        <v>90</v>
      </c>
      <c r="C33" s="31">
        <v>0</v>
      </c>
      <c r="D33" s="31">
        <f>C32+C33</f>
        <v>-15705112.499999972</v>
      </c>
      <c r="E33" s="31">
        <f t="shared" ref="E33:H33" si="11">D32+D33</f>
        <v>-307567506.17835307</v>
      </c>
      <c r="F33" s="31">
        <f t="shared" si="11"/>
        <v>-642417772.41529226</v>
      </c>
      <c r="G33" s="31">
        <f t="shared" si="11"/>
        <v>-1031227403.4829144</v>
      </c>
      <c r="H33" s="31">
        <f t="shared" si="11"/>
        <v>-1461278619.3257265</v>
      </c>
    </row>
    <row r="34" spans="1:8" x14ac:dyDescent="0.25">
      <c r="C34" s="31"/>
      <c r="D34" s="31"/>
      <c r="E34" s="31"/>
      <c r="F34" s="31"/>
      <c r="G34" s="31"/>
      <c r="H34" s="31"/>
    </row>
    <row r="35" spans="1:8" x14ac:dyDescent="0.25">
      <c r="B35" s="36" t="s">
        <v>91</v>
      </c>
      <c r="C35" s="53">
        <f>C19-C26-C30</f>
        <v>0</v>
      </c>
      <c r="D35" s="53">
        <f>D19-D26-D30</f>
        <v>0</v>
      </c>
      <c r="E35" s="53">
        <f>E19-E26-E30</f>
        <v>0</v>
      </c>
      <c r="F35" s="53">
        <f>F19-F26-F30</f>
        <v>0</v>
      </c>
      <c r="G35" s="53">
        <f>G19-G26-G30</f>
        <v>0</v>
      </c>
      <c r="H35" s="53">
        <f>H19-H26-H30</f>
        <v>0</v>
      </c>
    </row>
    <row r="37" spans="1:8" x14ac:dyDescent="0.25">
      <c r="B37" s="83" t="s">
        <v>92</v>
      </c>
      <c r="C37" s="73">
        <v>0</v>
      </c>
      <c r="D37" s="73">
        <v>1</v>
      </c>
      <c r="E37" s="73">
        <v>2</v>
      </c>
      <c r="F37" s="73">
        <v>3</v>
      </c>
      <c r="G37" s="73">
        <v>4</v>
      </c>
      <c r="H37" s="73">
        <v>5</v>
      </c>
    </row>
    <row r="38" spans="1:8" x14ac:dyDescent="0.25">
      <c r="B38" s="37" t="s">
        <v>93</v>
      </c>
      <c r="C38" s="27">
        <f>C39</f>
        <v>0</v>
      </c>
      <c r="D38" s="27">
        <f t="shared" ref="D38:H38" si="12">D39</f>
        <v>2070109.6216216215</v>
      </c>
      <c r="E38" s="27">
        <f t="shared" si="12"/>
        <v>2239030.5667459462</v>
      </c>
      <c r="F38" s="27">
        <f t="shared" si="12"/>
        <v>2421735.460992415</v>
      </c>
      <c r="G38" s="27">
        <f t="shared" si="12"/>
        <v>2619349.074609396</v>
      </c>
      <c r="H38" s="27">
        <f t="shared" si="12"/>
        <v>2833087.9590975232</v>
      </c>
    </row>
    <row r="39" spans="1:8" x14ac:dyDescent="0.25">
      <c r="B39" s="38" t="s">
        <v>94</v>
      </c>
      <c r="C39" s="31">
        <f>+C4*PARAMETROS!D68/360</f>
        <v>0</v>
      </c>
      <c r="D39" s="31">
        <f>+D4*PARAMETROS!E68/360</f>
        <v>2070109.6216216215</v>
      </c>
      <c r="E39" s="31">
        <f>+E4*PARAMETROS!F68/360</f>
        <v>2239030.5667459462</v>
      </c>
      <c r="F39" s="31">
        <f>+F4*PARAMETROS!G68/360</f>
        <v>2421735.460992415</v>
      </c>
      <c r="G39" s="31">
        <f>+G4*PARAMETROS!H68/360</f>
        <v>2619349.074609396</v>
      </c>
      <c r="H39" s="31">
        <f>+H4*PARAMETROS!I68/360</f>
        <v>2833087.9590975232</v>
      </c>
    </row>
    <row r="40" spans="1:8" x14ac:dyDescent="0.25">
      <c r="B40" s="37"/>
    </row>
    <row r="41" spans="1:8" x14ac:dyDescent="0.25">
      <c r="B41" s="37" t="s">
        <v>95</v>
      </c>
      <c r="C41" s="31">
        <f>C42</f>
        <v>0</v>
      </c>
      <c r="D41" s="31">
        <f>D42</f>
        <v>11700000</v>
      </c>
      <c r="E41" s="31">
        <f t="shared" ref="E41:H41" si="13">E42</f>
        <v>15300000</v>
      </c>
      <c r="F41" s="31">
        <f t="shared" si="13"/>
        <v>19800000</v>
      </c>
      <c r="G41" s="31">
        <f t="shared" si="13"/>
        <v>23400000</v>
      </c>
      <c r="H41" s="31">
        <f t="shared" si="13"/>
        <v>27000000</v>
      </c>
    </row>
    <row r="42" spans="1:8" x14ac:dyDescent="0.25">
      <c r="B42" s="38" t="s">
        <v>96</v>
      </c>
      <c r="C42" s="31">
        <f>+C5*PARAMETROS!D69/360</f>
        <v>0</v>
      </c>
      <c r="D42" s="31">
        <f>+D5*PARAMETROS!D69/360</f>
        <v>11700000</v>
      </c>
      <c r="E42" s="31">
        <f>E5*[1]Parametros!E50/360</f>
        <v>15300000</v>
      </c>
      <c r="F42" s="31">
        <f>+F5*PARAMETROS!F69/360</f>
        <v>19800000</v>
      </c>
      <c r="G42" s="31">
        <f>+G5*PARAMETROS!H69/360</f>
        <v>23400000</v>
      </c>
      <c r="H42" s="31">
        <f>+H5*PARAMETROS!I69/360</f>
        <v>27000000</v>
      </c>
    </row>
    <row r="43" spans="1:8" x14ac:dyDescent="0.25">
      <c r="B43" s="38"/>
    </row>
    <row r="44" spans="1:8" x14ac:dyDescent="0.25">
      <c r="B44" s="37" t="s">
        <v>92</v>
      </c>
      <c r="C44" s="27">
        <f>C38-C41</f>
        <v>0</v>
      </c>
      <c r="D44" s="27">
        <f>D38-D41</f>
        <v>-9629890.3783783782</v>
      </c>
      <c r="E44" s="27">
        <f>E38-E41</f>
        <v>-13060969.433254054</v>
      </c>
      <c r="F44" s="27">
        <f t="shared" ref="F44:H44" si="14">F38-F41</f>
        <v>-17378264.539007585</v>
      </c>
      <c r="G44" s="27">
        <f t="shared" si="14"/>
        <v>-20780650.925390605</v>
      </c>
      <c r="H44" s="27">
        <f t="shared" si="14"/>
        <v>-24166912.040902477</v>
      </c>
    </row>
    <row r="45" spans="1:8" x14ac:dyDescent="0.25">
      <c r="B45" s="39" t="s">
        <v>97</v>
      </c>
      <c r="C45" s="54">
        <f>C44</f>
        <v>0</v>
      </c>
      <c r="D45" s="54">
        <f>D44-C44</f>
        <v>-9629890.3783783782</v>
      </c>
      <c r="E45" s="54">
        <f>E44-D44</f>
        <v>-3431079.0548756756</v>
      </c>
      <c r="F45" s="54">
        <f>F44-E44</f>
        <v>-4317295.1057535317</v>
      </c>
      <c r="G45" s="54">
        <f>G44-F44</f>
        <v>-3402386.3863830194</v>
      </c>
      <c r="H45" s="54">
        <f>H44-G44</f>
        <v>-3386261.1155118719</v>
      </c>
    </row>
    <row r="47" spans="1:8" x14ac:dyDescent="0.25">
      <c r="A47" t="s">
        <v>34</v>
      </c>
      <c r="B47" s="73" t="s">
        <v>98</v>
      </c>
      <c r="C47" s="73">
        <v>0</v>
      </c>
      <c r="D47" s="73">
        <v>1</v>
      </c>
      <c r="E47" s="73">
        <v>2</v>
      </c>
      <c r="F47" s="73">
        <v>3</v>
      </c>
      <c r="G47" s="73">
        <v>4</v>
      </c>
      <c r="H47" s="73">
        <v>5</v>
      </c>
    </row>
    <row r="48" spans="1:8" x14ac:dyDescent="0.25">
      <c r="B48" t="s">
        <v>99</v>
      </c>
      <c r="C48" s="28">
        <f>C9+C8</f>
        <v>0</v>
      </c>
      <c r="D48" s="28">
        <f>D9+D8</f>
        <v>-128038684.54054058</v>
      </c>
      <c r="E48" s="28">
        <f>E9+E8</f>
        <v>-173051633.19904864</v>
      </c>
      <c r="F48" s="28">
        <f>F9+F8</f>
        <v>-229659174.46809101</v>
      </c>
      <c r="G48" s="28">
        <f>G9+G8</f>
        <v>-274327811.10468721</v>
      </c>
      <c r="H48" s="28">
        <f>H9+H8</f>
        <v>-318802944.49082971</v>
      </c>
    </row>
    <row r="49" spans="2:8" x14ac:dyDescent="0.25">
      <c r="B49" t="s">
        <v>76</v>
      </c>
      <c r="C49" s="55">
        <f>C14</f>
        <v>0</v>
      </c>
      <c r="D49" s="55">
        <f>D14</f>
        <v>0</v>
      </c>
      <c r="E49" s="55">
        <f>E14</f>
        <v>0</v>
      </c>
      <c r="F49" s="55">
        <f>F14</f>
        <v>0</v>
      </c>
      <c r="G49" s="55">
        <f>G14</f>
        <v>0</v>
      </c>
      <c r="H49" s="55">
        <f>H14</f>
        <v>0</v>
      </c>
    </row>
    <row r="50" spans="2:8" x14ac:dyDescent="0.25">
      <c r="B50" s="13" t="s">
        <v>100</v>
      </c>
      <c r="C50" s="85">
        <f>C48-C49</f>
        <v>0</v>
      </c>
      <c r="D50" s="85">
        <f>D48-D49</f>
        <v>-128038684.54054058</v>
      </c>
      <c r="E50" s="85">
        <f t="shared" ref="E50:H50" si="15">E48-E49</f>
        <v>-173051633.19904864</v>
      </c>
      <c r="F50" s="85">
        <f t="shared" si="15"/>
        <v>-229659174.46809101</v>
      </c>
      <c r="G50" s="85">
        <f t="shared" si="15"/>
        <v>-274327811.10468721</v>
      </c>
      <c r="H50" s="85">
        <f t="shared" si="15"/>
        <v>-318802944.49082971</v>
      </c>
    </row>
    <row r="51" spans="2:8" x14ac:dyDescent="0.25">
      <c r="B51" t="s">
        <v>101</v>
      </c>
      <c r="C51" s="27">
        <f>+PARAMETROS!D38</f>
        <v>735000000</v>
      </c>
    </row>
    <row r="52" spans="2:8" x14ac:dyDescent="0.25">
      <c r="B52" t="s">
        <v>102</v>
      </c>
      <c r="C52" s="27">
        <f>C45</f>
        <v>0</v>
      </c>
      <c r="D52" s="27">
        <f>D45</f>
        <v>-9629890.3783783782</v>
      </c>
      <c r="E52" s="27">
        <f>E45</f>
        <v>-3431079.0548756756</v>
      </c>
      <c r="F52" s="27">
        <f>F45</f>
        <v>-4317295.1057535317</v>
      </c>
      <c r="G52" s="27">
        <f>G45</f>
        <v>-3402386.3863830194</v>
      </c>
      <c r="H52" s="27">
        <f>H45</f>
        <v>-3386261.1155118719</v>
      </c>
    </row>
    <row r="53" spans="2:8" x14ac:dyDescent="0.25">
      <c r="B53" s="84" t="s">
        <v>103</v>
      </c>
      <c r="C53" s="86">
        <f>C50-C51-C52</f>
        <v>-735000000</v>
      </c>
      <c r="D53" s="86">
        <f>D50-D51-D52</f>
        <v>-118408794.1621622</v>
      </c>
      <c r="E53" s="86">
        <f t="shared" ref="E53:H53" si="16">E50-E51-E52</f>
        <v>-169620554.14417297</v>
      </c>
      <c r="F53" s="86">
        <f t="shared" si="16"/>
        <v>-225341879.36233747</v>
      </c>
      <c r="G53" s="86">
        <f t="shared" si="16"/>
        <v>-270925424.71830422</v>
      </c>
      <c r="H53" s="86">
        <f t="shared" si="16"/>
        <v>-315416683.37531781</v>
      </c>
    </row>
    <row r="54" spans="2:8" x14ac:dyDescent="0.25">
      <c r="C54" s="31"/>
      <c r="D54" s="31"/>
      <c r="E54" s="31"/>
      <c r="F54" s="31"/>
      <c r="G54" s="31"/>
      <c r="H54" s="31"/>
    </row>
    <row r="55" spans="2:8" x14ac:dyDescent="0.25">
      <c r="B55" t="s">
        <v>104</v>
      </c>
      <c r="C55" s="31">
        <f>+DEUDA!C10</f>
        <v>0</v>
      </c>
      <c r="D55" s="31">
        <f>+DEUDA!D10</f>
        <v>16823709.137812469</v>
      </c>
      <c r="E55" s="31">
        <f>+DEUDA!E10</f>
        <v>14798633.037890596</v>
      </c>
      <c r="F55" s="31">
        <f>+DEUDA!F10</f>
        <v>12150456.599531226</v>
      </c>
      <c r="G55" s="31">
        <f>+DEUDA!G10</f>
        <v>8723404.7381249815</v>
      </c>
      <c r="H55" s="31">
        <f>+DEUDA!H10</f>
        <v>4673252.5382812396</v>
      </c>
    </row>
    <row r="56" spans="2:8" x14ac:dyDescent="0.25">
      <c r="B56" s="6" t="s">
        <v>105</v>
      </c>
      <c r="C56" s="31">
        <f>SUM(C57:C58)</f>
        <v>220500000</v>
      </c>
      <c r="D56" s="31">
        <f>SUM(D57:D58)</f>
        <v>-28432096.874999996</v>
      </c>
      <c r="E56" s="31">
        <f>SUM(E57:E58)</f>
        <v>-37180434.375</v>
      </c>
      <c r="F56" s="31">
        <f t="shared" ref="F56:G56" si="17">SUM(F57:F58)</f>
        <v>-48115856.249999993</v>
      </c>
      <c r="G56" s="31">
        <f t="shared" si="17"/>
        <v>-56864193.749999993</v>
      </c>
      <c r="H56" s="31">
        <f>SUM(H57:H58)</f>
        <v>-65612531.249999993</v>
      </c>
    </row>
    <row r="57" spans="2:8" x14ac:dyDescent="0.25">
      <c r="B57" t="s">
        <v>106</v>
      </c>
      <c r="C57" s="31">
        <f>+DEUDA!C16</f>
        <v>220500000</v>
      </c>
      <c r="D57" s="31"/>
      <c r="E57" s="31"/>
      <c r="F57" s="31"/>
      <c r="G57" s="31"/>
      <c r="H57" s="31"/>
    </row>
    <row r="58" spans="2:8" x14ac:dyDescent="0.25">
      <c r="B58" t="s">
        <v>107</v>
      </c>
      <c r="C58" s="31">
        <f>+DEUDA!C12</f>
        <v>0</v>
      </c>
      <c r="D58" s="31">
        <f>+-DEUDA!D12</f>
        <v>-28432096.874999996</v>
      </c>
      <c r="E58" s="31">
        <f>+-DEUDA!E12</f>
        <v>-37180434.375</v>
      </c>
      <c r="F58" s="31">
        <f>+-DEUDA!F12</f>
        <v>-48115856.249999993</v>
      </c>
      <c r="G58" s="31">
        <f>+-DEUDA!G12</f>
        <v>-56864193.749999993</v>
      </c>
      <c r="H58" s="31">
        <f>+-DEUDA!H12</f>
        <v>-65612531.249999993</v>
      </c>
    </row>
    <row r="59" spans="2:8" x14ac:dyDescent="0.25">
      <c r="B59" t="s">
        <v>108</v>
      </c>
      <c r="C59" s="31"/>
      <c r="D59" s="31"/>
      <c r="E59" s="31"/>
      <c r="F59" s="31"/>
      <c r="G59" s="31"/>
      <c r="H59" s="31"/>
    </row>
    <row r="60" spans="2:8" x14ac:dyDescent="0.25">
      <c r="B60" t="s">
        <v>73</v>
      </c>
      <c r="C60" s="31"/>
      <c r="D60" s="31"/>
      <c r="E60" s="31"/>
      <c r="F60" s="31"/>
      <c r="G60" s="31"/>
      <c r="H60" s="31"/>
    </row>
    <row r="61" spans="2:8" x14ac:dyDescent="0.25">
      <c r="B61" s="87" t="s">
        <v>109</v>
      </c>
      <c r="C61" s="88">
        <f>C53-C55+C56+C59-C60</f>
        <v>-514500000</v>
      </c>
      <c r="D61" s="88">
        <f t="shared" ref="D61:H61" si="18">D53-D55+D56+D59-D60</f>
        <v>-163664600.17497468</v>
      </c>
      <c r="E61" s="88">
        <f t="shared" si="18"/>
        <v>-221599621.55706355</v>
      </c>
      <c r="F61" s="88">
        <f t="shared" si="18"/>
        <v>-285608192.2118687</v>
      </c>
      <c r="G61" s="88">
        <f t="shared" si="18"/>
        <v>-336513023.20642918</v>
      </c>
      <c r="H61" s="88">
        <f t="shared" si="18"/>
        <v>-385702467.16359907</v>
      </c>
    </row>
    <row r="62" spans="2:8" x14ac:dyDescent="0.25">
      <c r="B62" s="6"/>
      <c r="C62" s="31"/>
      <c r="D62" s="31"/>
      <c r="E62" s="31"/>
      <c r="F62" s="31"/>
      <c r="G62" s="31"/>
      <c r="H62" s="31"/>
    </row>
    <row r="63" spans="2:8" x14ac:dyDescent="0.25">
      <c r="B63" s="1" t="s">
        <v>110</v>
      </c>
      <c r="C63" s="56">
        <f>IF(C61&lt;0,-C61,0)</f>
        <v>514500000</v>
      </c>
      <c r="D63" s="56">
        <f t="shared" ref="D63:H63" si="19">IF(D61&lt;0,D61,0)</f>
        <v>-163664600.17497468</v>
      </c>
      <c r="E63" s="56">
        <f t="shared" si="19"/>
        <v>-221599621.55706355</v>
      </c>
      <c r="F63" s="56">
        <f t="shared" si="19"/>
        <v>-285608192.2118687</v>
      </c>
      <c r="G63" s="56">
        <f t="shared" si="19"/>
        <v>-336513023.20642918</v>
      </c>
      <c r="H63" s="56">
        <f t="shared" si="19"/>
        <v>-385702467.16359907</v>
      </c>
    </row>
    <row r="64" spans="2:8" x14ac:dyDescent="0.25">
      <c r="C64" s="31"/>
      <c r="D64" s="31"/>
      <c r="E64" s="31"/>
      <c r="F64" s="31"/>
      <c r="G64" s="31"/>
      <c r="H64" s="31"/>
    </row>
    <row r="65" spans="2:8" x14ac:dyDescent="0.25">
      <c r="B65" s="89" t="s">
        <v>111</v>
      </c>
      <c r="C65" s="90">
        <f>C61+C63</f>
        <v>0</v>
      </c>
      <c r="D65" s="90">
        <f>D61+D63</f>
        <v>-327329200.34994936</v>
      </c>
      <c r="E65" s="90">
        <f t="shared" ref="E65:H65" si="20">E61+E63</f>
        <v>-443199243.1141271</v>
      </c>
      <c r="F65" s="90">
        <f t="shared" si="20"/>
        <v>-571216384.42373741</v>
      </c>
      <c r="G65" s="90">
        <f t="shared" si="20"/>
        <v>-673026046.41285837</v>
      </c>
      <c r="H65" s="90">
        <f t="shared" si="20"/>
        <v>-771404934.32719815</v>
      </c>
    </row>
    <row r="66" spans="2:8" x14ac:dyDescent="0.25">
      <c r="B66" s="1" t="s">
        <v>112</v>
      </c>
      <c r="C66" s="56"/>
      <c r="D66" s="56">
        <f>C67</f>
        <v>0</v>
      </c>
      <c r="E66" s="56">
        <f t="shared" ref="E66:H66" si="21">D67</f>
        <v>-327329200.34994936</v>
      </c>
      <c r="F66" s="56">
        <f t="shared" si="21"/>
        <v>-770528443.46407652</v>
      </c>
      <c r="G66" s="56">
        <f t="shared" si="21"/>
        <v>-1341744827.887814</v>
      </c>
      <c r="H66" s="56">
        <f t="shared" si="21"/>
        <v>-2014770874.3006725</v>
      </c>
    </row>
    <row r="67" spans="2:8" x14ac:dyDescent="0.25">
      <c r="B67" s="29" t="s">
        <v>113</v>
      </c>
      <c r="C67" s="57">
        <f>C65+C66</f>
        <v>0</v>
      </c>
      <c r="D67" s="57">
        <f>D65+D66</f>
        <v>-327329200.34994936</v>
      </c>
      <c r="E67" s="57">
        <f t="shared" ref="E67:H67" si="22">E65+E66</f>
        <v>-770528443.46407652</v>
      </c>
      <c r="F67" s="57">
        <f t="shared" si="22"/>
        <v>-1341744827.887814</v>
      </c>
      <c r="G67" s="57">
        <f t="shared" si="22"/>
        <v>-2014770874.3006725</v>
      </c>
      <c r="H67" s="57">
        <f t="shared" si="22"/>
        <v>-2786175808.6278706</v>
      </c>
    </row>
    <row r="69" spans="2:8" x14ac:dyDescent="0.25">
      <c r="B69" s="4" t="s">
        <v>114</v>
      </c>
      <c r="C69" s="26" t="e">
        <f>+IRR(C53:H53)</f>
        <v>#NUM!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9AD10-9862-4630-91C1-BDBAA3EF070D}">
  <dimension ref="B2:H16"/>
  <sheetViews>
    <sheetView workbookViewId="0">
      <selection activeCell="E3" sqref="E3"/>
    </sheetView>
  </sheetViews>
  <sheetFormatPr baseColWidth="10" defaultRowHeight="15" x14ac:dyDescent="0.25"/>
  <cols>
    <col min="2" max="2" width="23.140625" bestFit="1" customWidth="1"/>
    <col min="3" max="3" width="17.42578125" bestFit="1" customWidth="1"/>
    <col min="4" max="4" width="17.85546875" bestFit="1" customWidth="1"/>
    <col min="5" max="6" width="17.140625" bestFit="1" customWidth="1"/>
    <col min="7" max="7" width="17.42578125" bestFit="1" customWidth="1"/>
    <col min="8" max="8" width="17.140625" bestFit="1" customWidth="1"/>
  </cols>
  <sheetData>
    <row r="2" spans="2:8" x14ac:dyDescent="0.25">
      <c r="B2" s="84" t="s">
        <v>3</v>
      </c>
      <c r="C2" s="91">
        <f>+TASAS!L7</f>
        <v>7.1224999999999872E-2</v>
      </c>
      <c r="D2" s="25"/>
    </row>
    <row r="5" spans="2:8" x14ac:dyDescent="0.25">
      <c r="B5" s="6" t="s">
        <v>59</v>
      </c>
      <c r="C5" s="6"/>
      <c r="D5" s="112">
        <f>+PARAMETROS!D54</f>
        <v>0.12037037037037036</v>
      </c>
      <c r="E5" s="112">
        <f>+PARAMETROS!E54</f>
        <v>0.15740740740740741</v>
      </c>
      <c r="F5" s="112">
        <f>+PARAMETROS!F54</f>
        <v>0.20370370370370369</v>
      </c>
      <c r="G5" s="112">
        <f>+PARAMETROS!G54</f>
        <v>0.24074074074074073</v>
      </c>
      <c r="H5" s="112">
        <f>+PARAMETROS!H54</f>
        <v>0.27777777777777779</v>
      </c>
    </row>
    <row r="7" spans="2:8" x14ac:dyDescent="0.25">
      <c r="B7" s="73"/>
      <c r="C7" s="73">
        <v>0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</row>
    <row r="8" spans="2:8" x14ac:dyDescent="0.25">
      <c r="B8" t="s">
        <v>4</v>
      </c>
      <c r="C8" s="27">
        <f>C16</f>
        <v>220500000</v>
      </c>
      <c r="D8" s="28">
        <f>C13</f>
        <v>236205112.49999997</v>
      </c>
      <c r="E8" s="28">
        <f t="shared" ref="E8:H8" si="0">D13</f>
        <v>207773015.62499997</v>
      </c>
      <c r="F8" s="28">
        <f t="shared" si="0"/>
        <v>170592581.24999997</v>
      </c>
      <c r="G8" s="28">
        <f t="shared" si="0"/>
        <v>122476724.99999997</v>
      </c>
      <c r="H8" s="28">
        <f t="shared" si="0"/>
        <v>65612531.249999978</v>
      </c>
    </row>
    <row r="9" spans="2:8" x14ac:dyDescent="0.25">
      <c r="B9" t="s">
        <v>5</v>
      </c>
      <c r="C9" s="27">
        <f>C8*$C$2</f>
        <v>15705112.499999972</v>
      </c>
      <c r="D9" s="27">
        <f>D8*$C$2</f>
        <v>16823709.137812469</v>
      </c>
      <c r="E9" s="27">
        <f t="shared" ref="E9:H9" si="1">E8*$C$2</f>
        <v>14798633.037890596</v>
      </c>
      <c r="F9" s="27">
        <f t="shared" si="1"/>
        <v>12150456.599531226</v>
      </c>
      <c r="G9" s="27">
        <f t="shared" si="1"/>
        <v>8723404.7381249815</v>
      </c>
      <c r="H9" s="27">
        <f t="shared" si="1"/>
        <v>4673252.5382812396</v>
      </c>
    </row>
    <row r="10" spans="2:8" x14ac:dyDescent="0.25">
      <c r="B10" t="s">
        <v>6</v>
      </c>
      <c r="C10" s="27"/>
      <c r="D10" s="28">
        <f>D9</f>
        <v>16823709.137812469</v>
      </c>
      <c r="E10" s="28">
        <f t="shared" ref="E10:H10" si="2">E9</f>
        <v>14798633.037890596</v>
      </c>
      <c r="F10" s="28">
        <f t="shared" si="2"/>
        <v>12150456.599531226</v>
      </c>
      <c r="G10" s="28">
        <f t="shared" si="2"/>
        <v>8723404.7381249815</v>
      </c>
      <c r="H10" s="28">
        <f t="shared" si="2"/>
        <v>4673252.5382812396</v>
      </c>
    </row>
    <row r="11" spans="2:8" x14ac:dyDescent="0.25">
      <c r="B11" t="s">
        <v>60</v>
      </c>
      <c r="C11" s="27">
        <f>C9</f>
        <v>15705112.499999972</v>
      </c>
      <c r="D11" s="28"/>
      <c r="E11" s="28"/>
      <c r="F11" s="28"/>
      <c r="G11" s="28"/>
      <c r="H11" s="28"/>
    </row>
    <row r="12" spans="2:8" x14ac:dyDescent="0.25">
      <c r="B12" t="s">
        <v>8</v>
      </c>
      <c r="C12" s="27"/>
      <c r="D12" s="28">
        <f>$D$8*D5</f>
        <v>28432096.874999996</v>
      </c>
      <c r="E12" s="28">
        <f t="shared" ref="E12:H12" si="3">$D$8*E5</f>
        <v>37180434.375</v>
      </c>
      <c r="F12" s="28">
        <f t="shared" si="3"/>
        <v>48115856.249999993</v>
      </c>
      <c r="G12" s="28">
        <f t="shared" si="3"/>
        <v>56864193.749999993</v>
      </c>
      <c r="H12" s="28">
        <f t="shared" si="3"/>
        <v>65612531.249999993</v>
      </c>
    </row>
    <row r="13" spans="2:8" x14ac:dyDescent="0.25">
      <c r="B13" s="29" t="s">
        <v>9</v>
      </c>
      <c r="C13" s="30">
        <f>C8+C11-C12</f>
        <v>236205112.49999997</v>
      </c>
      <c r="D13" s="30">
        <f>D8+D11-D12</f>
        <v>207773015.62499997</v>
      </c>
      <c r="E13" s="30">
        <f t="shared" ref="E13:H13" si="4">E8+E11-E12</f>
        <v>170592581.24999997</v>
      </c>
      <c r="F13" s="30">
        <f t="shared" si="4"/>
        <v>122476724.99999997</v>
      </c>
      <c r="G13" s="30">
        <f t="shared" si="4"/>
        <v>65612531.249999978</v>
      </c>
      <c r="H13" s="30">
        <f t="shared" si="4"/>
        <v>0</v>
      </c>
    </row>
    <row r="16" spans="2:8" x14ac:dyDescent="0.25">
      <c r="B16" s="113" t="s">
        <v>10</v>
      </c>
      <c r="C16" s="114">
        <f>+PARAMETROS!D38*PARAMETROS!D41</f>
        <v>220500000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9965-ACED-4601-A2AB-FB05727AD489}">
  <dimension ref="B3:B20"/>
  <sheetViews>
    <sheetView workbookViewId="0">
      <selection activeCell="C14" sqref="C14"/>
    </sheetView>
  </sheetViews>
  <sheetFormatPr baseColWidth="10" defaultRowHeight="15" x14ac:dyDescent="0.25"/>
  <cols>
    <col min="2" max="2" width="48.85546875" customWidth="1"/>
  </cols>
  <sheetData>
    <row r="3" spans="2:2" x14ac:dyDescent="0.25">
      <c r="B3" t="s">
        <v>0</v>
      </c>
    </row>
    <row r="4" spans="2:2" ht="15.75" thickBot="1" x14ac:dyDescent="0.3">
      <c r="B4" t="s">
        <v>2</v>
      </c>
    </row>
    <row r="5" spans="2:2" ht="16.5" thickTop="1" thickBot="1" x14ac:dyDescent="0.3">
      <c r="B5" s="2" t="s">
        <v>3</v>
      </c>
    </row>
    <row r="6" spans="2:2" ht="15.75" thickTop="1" x14ac:dyDescent="0.25"/>
    <row r="9" spans="2:2" x14ac:dyDescent="0.25">
      <c r="B9" t="s">
        <v>1</v>
      </c>
    </row>
    <row r="12" spans="2:2" x14ac:dyDescent="0.25">
      <c r="B12" t="s">
        <v>4</v>
      </c>
    </row>
    <row r="13" spans="2:2" x14ac:dyDescent="0.25">
      <c r="B13" t="s">
        <v>5</v>
      </c>
    </row>
    <row r="14" spans="2:2" x14ac:dyDescent="0.25">
      <c r="B14" t="s">
        <v>6</v>
      </c>
    </row>
    <row r="15" spans="2:2" x14ac:dyDescent="0.25">
      <c r="B15" t="s">
        <v>7</v>
      </c>
    </row>
    <row r="16" spans="2:2" x14ac:dyDescent="0.25">
      <c r="B16" t="s">
        <v>8</v>
      </c>
    </row>
    <row r="17" spans="2:2" x14ac:dyDescent="0.25">
      <c r="B17" t="s">
        <v>9</v>
      </c>
    </row>
    <row r="20" spans="2:2" x14ac:dyDescent="0.25">
      <c r="B20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C355D-C0D4-4FC4-983C-E19ABE81A2C0}">
  <dimension ref="B1:C11"/>
  <sheetViews>
    <sheetView workbookViewId="0">
      <selection activeCell="E10" sqref="E10"/>
    </sheetView>
  </sheetViews>
  <sheetFormatPr baseColWidth="10" defaultRowHeight="15" x14ac:dyDescent="0.25"/>
  <cols>
    <col min="2" max="2" width="15" bestFit="1" customWidth="1"/>
  </cols>
  <sheetData>
    <row r="1" spans="2:3" x14ac:dyDescent="0.25">
      <c r="B1" s="92" t="s">
        <v>134</v>
      </c>
      <c r="C1" s="92"/>
    </row>
    <row r="3" spans="2:3" x14ac:dyDescent="0.25">
      <c r="B3" s="1" t="s">
        <v>61</v>
      </c>
      <c r="C3" s="1" t="s">
        <v>62</v>
      </c>
    </row>
    <row r="4" spans="2:3" x14ac:dyDescent="0.25">
      <c r="B4" s="31">
        <v>2500000</v>
      </c>
      <c r="C4" s="24">
        <v>0</v>
      </c>
    </row>
    <row r="5" spans="2:3" x14ac:dyDescent="0.25">
      <c r="B5" s="32">
        <v>2400000</v>
      </c>
      <c r="C5" s="33">
        <v>0</v>
      </c>
    </row>
    <row r="6" spans="2:3" x14ac:dyDescent="0.25">
      <c r="B6" s="31">
        <v>2300000</v>
      </c>
      <c r="C6" s="24">
        <v>0</v>
      </c>
    </row>
    <row r="8" spans="2:3" x14ac:dyDescent="0.25">
      <c r="B8" s="13" t="s">
        <v>63</v>
      </c>
      <c r="C8" s="13" t="s">
        <v>62</v>
      </c>
    </row>
    <row r="9" spans="2:3" x14ac:dyDescent="0.25">
      <c r="B9" s="24">
        <v>0.55000000000000004</v>
      </c>
      <c r="C9" s="24">
        <v>0</v>
      </c>
    </row>
    <row r="10" spans="2:3" x14ac:dyDescent="0.25">
      <c r="B10" s="33">
        <v>0.45</v>
      </c>
      <c r="C10" s="33">
        <v>0</v>
      </c>
    </row>
    <row r="11" spans="2:3" x14ac:dyDescent="0.25">
      <c r="B11" s="24">
        <v>0.35</v>
      </c>
      <c r="C11" s="24">
        <v>0</v>
      </c>
    </row>
  </sheetData>
  <mergeCells count="1"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C059-B543-4B0D-ACA0-58C86A5E0D49}">
  <sheetPr>
    <tabColor theme="4" tint="-0.249977111117893"/>
  </sheetPr>
  <dimension ref="B2:O18"/>
  <sheetViews>
    <sheetView workbookViewId="0">
      <selection activeCell="F14" sqref="F14"/>
    </sheetView>
  </sheetViews>
  <sheetFormatPr baseColWidth="10" defaultRowHeight="15" x14ac:dyDescent="0.25"/>
  <cols>
    <col min="1" max="1" width="3.7109375" customWidth="1"/>
    <col min="3" max="3" width="16.85546875" customWidth="1"/>
    <col min="4" max="6" width="13" bestFit="1" customWidth="1"/>
    <col min="7" max="7" width="3.7109375" customWidth="1"/>
    <col min="8" max="8" width="13" bestFit="1" customWidth="1"/>
    <col min="10" max="10" width="4" customWidth="1"/>
    <col min="13" max="13" width="4.42578125" customWidth="1"/>
  </cols>
  <sheetData>
    <row r="2" spans="2:15" ht="30" x14ac:dyDescent="0.25">
      <c r="B2" s="67" t="s">
        <v>120</v>
      </c>
      <c r="C2" s="60">
        <v>735000000</v>
      </c>
      <c r="D2" s="65" t="s">
        <v>128</v>
      </c>
      <c r="E2" s="66" t="s">
        <v>126</v>
      </c>
      <c r="F2" s="66" t="s">
        <v>127</v>
      </c>
    </row>
    <row r="3" spans="2:15" x14ac:dyDescent="0.25">
      <c r="B3" s="67" t="s">
        <v>121</v>
      </c>
      <c r="C3" s="60">
        <f>+C2*0.3</f>
        <v>220500000</v>
      </c>
      <c r="D3" s="60">
        <f>+C3/5</f>
        <v>44100000</v>
      </c>
      <c r="E3" s="60">
        <f>+D3/12</f>
        <v>3675000</v>
      </c>
      <c r="F3" s="64">
        <f>+E3/30</f>
        <v>122500</v>
      </c>
    </row>
    <row r="5" spans="2:15" x14ac:dyDescent="0.25">
      <c r="B5" s="59" t="s">
        <v>119</v>
      </c>
    </row>
    <row r="6" spans="2:15" x14ac:dyDescent="0.25">
      <c r="B6" s="62" t="s">
        <v>123</v>
      </c>
      <c r="C6" s="63">
        <v>0.1</v>
      </c>
      <c r="E6" s="62" t="s">
        <v>129</v>
      </c>
      <c r="F6" s="68">
        <v>0.08</v>
      </c>
      <c r="H6" s="62" t="s">
        <v>130</v>
      </c>
      <c r="I6" s="68">
        <v>0.12</v>
      </c>
      <c r="K6" s="62" t="s">
        <v>131</v>
      </c>
      <c r="L6" s="68">
        <v>7.0000000000000007E-2</v>
      </c>
      <c r="N6" s="62" t="s">
        <v>132</v>
      </c>
      <c r="O6" s="68">
        <v>7.0000000000000007E-2</v>
      </c>
    </row>
    <row r="7" spans="2:15" x14ac:dyDescent="0.25">
      <c r="B7" s="47" t="s">
        <v>122</v>
      </c>
      <c r="C7" s="61">
        <f>+((1+C6)^(1/12))-1</f>
        <v>7.9741404289037643E-3</v>
      </c>
      <c r="E7" s="47" t="s">
        <v>123</v>
      </c>
      <c r="F7" s="61">
        <f>+(((1+(F6)))^12)-1</f>
        <v>1.5181701168189798</v>
      </c>
      <c r="H7" s="47" t="s">
        <v>123</v>
      </c>
      <c r="I7" s="61">
        <f>+((1+(I6/4))^4)-1</f>
        <v>0.12550880999999992</v>
      </c>
      <c r="K7" s="47" t="s">
        <v>123</v>
      </c>
      <c r="L7" s="61">
        <f>+((1+(L6/2))^2)-1</f>
        <v>7.1224999999999872E-2</v>
      </c>
      <c r="N7" s="47" t="s">
        <v>123</v>
      </c>
      <c r="O7" s="61">
        <f>+(((1+(O6/4))^4)-1)</f>
        <v>7.1859031289062791E-2</v>
      </c>
    </row>
    <row r="8" spans="2:15" x14ac:dyDescent="0.25">
      <c r="B8" s="58" t="s">
        <v>124</v>
      </c>
      <c r="C8" s="61">
        <f>+((1+C7)^(1/30))-1</f>
        <v>2.647855489630313E-4</v>
      </c>
      <c r="E8" s="47" t="s">
        <v>122</v>
      </c>
      <c r="F8" s="61">
        <f>+((1+F7)^(1/30))-1</f>
        <v>3.1263156552487237E-2</v>
      </c>
      <c r="H8" s="47" t="s">
        <v>122</v>
      </c>
      <c r="I8" s="61">
        <f>+((1+I7)^(1/30))-1</f>
        <v>3.9489502700091883E-3</v>
      </c>
      <c r="K8" s="47" t="s">
        <v>122</v>
      </c>
      <c r="L8" s="61">
        <f>+((1+L7)^(1/30))-1</f>
        <v>2.2960603664992085E-3</v>
      </c>
      <c r="N8" s="47" t="s">
        <v>122</v>
      </c>
      <c r="O8" s="61">
        <f>+((1+O7)^(1/30))-1</f>
        <v>2.3158291775349227E-3</v>
      </c>
    </row>
    <row r="9" spans="2:15" x14ac:dyDescent="0.25">
      <c r="B9" s="58" t="s">
        <v>125</v>
      </c>
      <c r="C9" s="8">
        <f>+F3*(((1+C8))-1)</f>
        <v>32.436229747971332</v>
      </c>
      <c r="E9" s="58" t="s">
        <v>124</v>
      </c>
      <c r="F9" s="61">
        <f>+((1+F8)^(1/30))-1</f>
        <v>1.0266738843331957E-3</v>
      </c>
      <c r="H9" s="58" t="s">
        <v>124</v>
      </c>
      <c r="I9" s="61">
        <f>+((1+I8)^(1/30))-1</f>
        <v>1.313810841456764E-4</v>
      </c>
      <c r="K9" s="58" t="s">
        <v>124</v>
      </c>
      <c r="L9" s="61">
        <f>+((1+L8)^(1/30))-1</f>
        <v>7.6450537120686946E-5</v>
      </c>
      <c r="N9" s="58" t="s">
        <v>124</v>
      </c>
      <c r="O9" s="61">
        <f>+((1+O8)^(1/30))-1</f>
        <v>7.7108031936390375E-5</v>
      </c>
    </row>
    <row r="10" spans="2:15" x14ac:dyDescent="0.25">
      <c r="B10" s="58"/>
      <c r="E10" s="58" t="s">
        <v>125</v>
      </c>
      <c r="F10" s="8">
        <f>+F3*(((1+F9))-1)</f>
        <v>125.76755083081648</v>
      </c>
      <c r="H10" s="58" t="s">
        <v>125</v>
      </c>
      <c r="I10" s="8">
        <f>+F3*(((1+I9))-1)</f>
        <v>16.094182807845357</v>
      </c>
      <c r="K10" s="69" t="s">
        <v>125</v>
      </c>
      <c r="L10" s="70">
        <f>+F3*(((1+L9))-1)</f>
        <v>9.3651907972841499</v>
      </c>
      <c r="N10" s="58" t="s">
        <v>125</v>
      </c>
      <c r="O10" s="8">
        <f>+F3*(((1+O9))-1)</f>
        <v>9.445733912207821</v>
      </c>
    </row>
    <row r="11" spans="2:15" x14ac:dyDescent="0.25">
      <c r="B11" s="58"/>
      <c r="F11" s="26"/>
    </row>
    <row r="12" spans="2:15" ht="15" customHeight="1" x14ac:dyDescent="0.25">
      <c r="B12" s="58"/>
      <c r="K12" s="72" t="s">
        <v>133</v>
      </c>
      <c r="L12" s="72"/>
    </row>
    <row r="13" spans="2:15" x14ac:dyDescent="0.25">
      <c r="K13" s="72"/>
      <c r="L13" s="72"/>
    </row>
    <row r="14" spans="2:15" x14ac:dyDescent="0.25">
      <c r="K14" s="72"/>
      <c r="L14" s="72"/>
    </row>
    <row r="15" spans="2:15" x14ac:dyDescent="0.25">
      <c r="K15" s="72"/>
      <c r="L15" s="72"/>
    </row>
    <row r="16" spans="2:15" x14ac:dyDescent="0.25">
      <c r="K16" s="72"/>
      <c r="L16" s="72"/>
    </row>
    <row r="17" spans="11:12" x14ac:dyDescent="0.25">
      <c r="K17" s="72"/>
      <c r="L17" s="72"/>
    </row>
    <row r="18" spans="11:12" x14ac:dyDescent="0.25">
      <c r="K18" s="72"/>
      <c r="L18" s="72"/>
    </row>
  </sheetData>
  <mergeCells count="1">
    <mergeCell ref="K12:L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PARAMETROS</vt:lpstr>
      <vt:lpstr>EEFF</vt:lpstr>
      <vt:lpstr>DEUDA</vt:lpstr>
      <vt:lpstr>Hoja1</vt:lpstr>
      <vt:lpstr>ESCENARIOS</vt:lpstr>
      <vt:lpstr>TASAS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ramos villanueva</dc:creator>
  <cp:lastModifiedBy>Jefferson Ramos Villanueva</cp:lastModifiedBy>
  <dcterms:created xsi:type="dcterms:W3CDTF">2019-03-23T00:18:37Z</dcterms:created>
  <dcterms:modified xsi:type="dcterms:W3CDTF">2019-03-30T23:34:34Z</dcterms:modified>
</cp:coreProperties>
</file>