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35" windowHeight="5790" tabRatio="832" activeTab="0"/>
  </bookViews>
  <sheets>
    <sheet name="DATOS GENERALES" sheetId="1" r:id="rId1"/>
    <sheet name="VENTAS" sheetId="2" r:id="rId2"/>
    <sheet name="PRODUCCIÓN" sheetId="3" state="hidden" r:id="rId3"/>
    <sheet name="REQ. DE MAT. PRIMAS" sheetId="4" r:id="rId4"/>
    <sheet name="COMPRA DE MAT. PRIMAS" sheetId="5" state="hidden" r:id="rId5"/>
    <sheet name="MANO DE OBRA DIRECTA" sheetId="6" r:id="rId6"/>
    <sheet name="COSTOS IND. FAB." sheetId="7" r:id="rId7"/>
    <sheet name="COSTO DE VENTAS" sheetId="8" r:id="rId8"/>
    <sheet name="GASTOS DE ADMÓN" sheetId="9" r:id="rId9"/>
    <sheet name="GASTOS DE VENTAS" sheetId="10" r:id="rId10"/>
    <sheet name="ESTADO DE RESULTADOS (GYP)" sheetId="11" r:id="rId11"/>
    <sheet name="BALANCE GENERAL" sheetId="12" r:id="rId12"/>
    <sheet name="FLUJO DE EFECTIVO" sheetId="13" r:id="rId13"/>
    <sheet name="PREST. FINANCIERO" sheetId="14" state="hidden" r:id="rId14"/>
    <sheet name="INDICADORES FINANCIEROS" sheetId="15" r:id="rId15"/>
    <sheet name="PUNTO DE EQUILIBRIO" sheetId="16" state="hidden" r:id="rId16"/>
    <sheet name="PERIODO DE RECUPERACIÓN" sheetId="17" r:id="rId17"/>
    <sheet name="Hoja1" sheetId="18" state="hidden" r:id="rId18"/>
  </sheets>
  <definedNames>
    <definedName name="Z_DC5DFD87_8273_438B_9CBB_6FCCAA2BE07B_.wvu.FilterData" localSheetId="10" hidden="1">'ESTADO DE RESULTADOS (GYP)'!$B$8:$E$18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<sst xmlns="http://schemas.openxmlformats.org/spreadsheetml/2006/main" count="1703" uniqueCount="368">
  <si>
    <t xml:space="preserve"> </t>
  </si>
  <si>
    <t>VENTAS</t>
  </si>
  <si>
    <t>TOTAL</t>
  </si>
  <si>
    <t>DESCRIPCIÓN</t>
  </si>
  <si>
    <t>UND. DE MEDIDA</t>
  </si>
  <si>
    <t>VALOR TOTAL</t>
  </si>
  <si>
    <t>PRESUPUESTO DE VENTAS EN UNIDADES</t>
  </si>
  <si>
    <t>INV. FINAL</t>
  </si>
  <si>
    <t>INV. INICIAL</t>
  </si>
  <si>
    <t>PPTO DE PRODUCCIÓN</t>
  </si>
  <si>
    <t>PPTO DE PROD.</t>
  </si>
  <si>
    <t>MAT. PRIMA REQ.</t>
  </si>
  <si>
    <t>CONSUMO / UNIDAD</t>
  </si>
  <si>
    <t>VENTAS - INV. INICIAL + INV. FINAL</t>
  </si>
  <si>
    <t>CANTIDAD POR UNIDAD * PPTO DE PRODUCCIÓN - (INV. INICIAL M.P.) + (INV. FINAL M.P.)</t>
  </si>
  <si>
    <t xml:space="preserve">PRESUPUESTO DE REQUERIMIENTO DE MATERIAS PRIMAS </t>
  </si>
  <si>
    <t>CANT. POR UNIDAD</t>
  </si>
  <si>
    <t>CONSUMO POR UNIDAD DE:</t>
  </si>
  <si>
    <t xml:space="preserve">COSTO UNITARIO DE LA MATERIA PRIMA </t>
  </si>
  <si>
    <t>COSTO</t>
  </si>
  <si>
    <t>CONVERSION DE UNIDADES</t>
  </si>
  <si>
    <t>PREST. SOCIALES</t>
  </si>
  <si>
    <t>SUBS. TRANSP.</t>
  </si>
  <si>
    <t>PRESUPUESTO DE COSTOS INDIRECTOS DE FABRICACIÓN</t>
  </si>
  <si>
    <t>DEPRECIACIONES</t>
  </si>
  <si>
    <t>PRESUPUESTO DE COSTO DE VENTAS</t>
  </si>
  <si>
    <t>MATERIAS PRIMAS</t>
  </si>
  <si>
    <t>MANO DE OBRA DIRECTA</t>
  </si>
  <si>
    <t>COSTOS IND. FABRICACIÓN</t>
  </si>
  <si>
    <t>COSTO DE ARTICULOS DISP. PARA LA VENTA</t>
  </si>
  <si>
    <t>+</t>
  </si>
  <si>
    <t>=</t>
  </si>
  <si>
    <t>COSTO DE VENTAS</t>
  </si>
  <si>
    <t>-</t>
  </si>
  <si>
    <t>PRESUPUESTO DE GASTOS DE ADMINISTRACIÓN</t>
  </si>
  <si>
    <t>GANANCIAS Y PERDIDAS</t>
  </si>
  <si>
    <t>UTILIDAD BRUTA EN VENTAS</t>
  </si>
  <si>
    <t>GASTOS DE ADMINISTRACIÓN</t>
  </si>
  <si>
    <t>GASTOS DE VENTAS</t>
  </si>
  <si>
    <t>IMPUESTO DE RENTA</t>
  </si>
  <si>
    <t xml:space="preserve"> PRECIO  DE  VENTA    =</t>
  </si>
  <si>
    <t>UTILIDAD O PERDIDA DEL PERIODO</t>
  </si>
  <si>
    <t>ACTIVOS</t>
  </si>
  <si>
    <t>PASIVOS</t>
  </si>
  <si>
    <t>OBLIG. FINANCIERAS</t>
  </si>
  <si>
    <t>VEHICULOS</t>
  </si>
  <si>
    <t>PATRIMONIO</t>
  </si>
  <si>
    <t xml:space="preserve"> - DEP ACUM. VEHIC.</t>
  </si>
  <si>
    <t>CAPITAL</t>
  </si>
  <si>
    <t xml:space="preserve">EDIFICIOS </t>
  </si>
  <si>
    <t>UTILIDAD ACUMULADA</t>
  </si>
  <si>
    <t xml:space="preserve"> -DEP. ACUM. EDIF.</t>
  </si>
  <si>
    <t>TOTAL PATRIMONIO</t>
  </si>
  <si>
    <t>TOTAL ACTIVO FIJO</t>
  </si>
  <si>
    <t>TOTAL PASIVO Y PATRIMONIO</t>
  </si>
  <si>
    <t xml:space="preserve">TOTAL ACTIVO </t>
  </si>
  <si>
    <t>CORRIENTE</t>
  </si>
  <si>
    <t>TOTAL ACTIVO CORRIENTE</t>
  </si>
  <si>
    <t>MAQUINARIA Y EQUIPO</t>
  </si>
  <si>
    <t xml:space="preserve"> - DEP ACUM. M. Y EQ.</t>
  </si>
  <si>
    <t>ACTIVO FIJO</t>
  </si>
  <si>
    <t>MUEBLES Y ENSERES</t>
  </si>
  <si>
    <t xml:space="preserve"> -DEP. ACUM. M. Y ENS.</t>
  </si>
  <si>
    <t>TERRENOS</t>
  </si>
  <si>
    <t>TOTAL PASIVO CORRIENTE</t>
  </si>
  <si>
    <t>PASIVO LARGO PLAZO</t>
  </si>
  <si>
    <t>TOTAL PASIVO LARGO PLAZO</t>
  </si>
  <si>
    <t>UTILIDAD DEL PERIODO</t>
  </si>
  <si>
    <t>IMPUESTOS POR PAGAR</t>
  </si>
  <si>
    <t>TOTAL PASIVO</t>
  </si>
  <si>
    <t>FLUJO DE EFECTIVO</t>
  </si>
  <si>
    <t>INGRESOS</t>
  </si>
  <si>
    <t>TOTAL INGRESOS</t>
  </si>
  <si>
    <t>EGRESOS</t>
  </si>
  <si>
    <t>TOTAL EGRESOS</t>
  </si>
  <si>
    <t>SALDO FLUJO DE EFECTIVO</t>
  </si>
  <si>
    <t>SALDO INICIAL</t>
  </si>
  <si>
    <t>COSTO UNITARIO</t>
  </si>
  <si>
    <t>CONSOLIDADO DE INVENTARIOS FINALES DE M.P.</t>
  </si>
  <si>
    <t>UNIDAD</t>
  </si>
  <si>
    <t>CANT./UNIDAD</t>
  </si>
  <si>
    <t>DEPRECIACIÓN ACUMULADA</t>
  </si>
  <si>
    <t xml:space="preserve">VALOR </t>
  </si>
  <si>
    <t>EDIFICIOS ( 20 AÑOS)</t>
  </si>
  <si>
    <t>DEPRECIACION ANUAL</t>
  </si>
  <si>
    <t>VEHICULOS ( 5 AÑOS)</t>
  </si>
  <si>
    <t>MAQUINARIA Y EQUIPO ( 10 AÑOS)</t>
  </si>
  <si>
    <t>MUEBLES Y ENSERES ( 5 AÑOS)</t>
  </si>
  <si>
    <t>COMPUTADORES</t>
  </si>
  <si>
    <t xml:space="preserve"> - DEP ACUM. COMP.</t>
  </si>
  <si>
    <t>COMPUTADORES ( 3 AÑOS)</t>
  </si>
  <si>
    <t>PRESUPUESTO DE GASTOS DE VENTAS</t>
  </si>
  <si>
    <t>DEP. ACUMULADA</t>
  </si>
  <si>
    <t xml:space="preserve">IMPUESTOS </t>
  </si>
  <si>
    <t>COMPRA DE MATERIAS PRIMAS</t>
  </si>
  <si>
    <t>COSTOS FIJOS</t>
  </si>
  <si>
    <t>COSTOS VARIABLES</t>
  </si>
  <si>
    <t>COSTOS TOTALES</t>
  </si>
  <si>
    <t>VENTAS TOTALES</t>
  </si>
  <si>
    <t>FORMULAS</t>
  </si>
  <si>
    <t>MARGEN DE CONTRIBUCIÓN EN UNIDADES</t>
  </si>
  <si>
    <t>MC1= PRECIO DE VENTA UNITARIO - COSTO VARIABLE UNITARIO</t>
  </si>
  <si>
    <t xml:space="preserve">MC1= </t>
  </si>
  <si>
    <t>PUNTO DE EQUILIBRIO EN UNIDADES</t>
  </si>
  <si>
    <t>PE1=</t>
  </si>
  <si>
    <t>PE1= COSTOS FIJOS TOTALES / MC1</t>
  </si>
  <si>
    <t>MARGEN DE CONTRIBUCIÓN EN PESOS</t>
  </si>
  <si>
    <t>MC2= (VENTAS TOTALES - COSTO VARIABLE TOTAL) / VENTAS TOTALES</t>
  </si>
  <si>
    <t>PE2= COSTOS FIJOS TOTALES / MC2</t>
  </si>
  <si>
    <t>PE2=</t>
  </si>
  <si>
    <t>PUNTO DE EQUILIBRIO EN PESOS</t>
  </si>
  <si>
    <t>PRUEBA</t>
  </si>
  <si>
    <t>PE2/PE1= PVU</t>
  </si>
  <si>
    <t>TOTAL UNIDADES</t>
  </si>
  <si>
    <t>TOTAL EN PESOS</t>
  </si>
  <si>
    <t>CONDICIONES FINANCIERAS</t>
  </si>
  <si>
    <t>MONTO:</t>
  </si>
  <si>
    <t>SALDO</t>
  </si>
  <si>
    <t>INTERESES</t>
  </si>
  <si>
    <t>MESES</t>
  </si>
  <si>
    <t>MENSUAL</t>
  </si>
  <si>
    <t xml:space="preserve">AMORTIZACION: </t>
  </si>
  <si>
    <t>CUOTAS</t>
  </si>
  <si>
    <t>NOMBRE DE LA EMPRESA:</t>
  </si>
  <si>
    <t>NOMBRE DEL PRODUCTO</t>
  </si>
  <si>
    <t>MAXIMO 10 ARTICULOS</t>
  </si>
  <si>
    <t>UND. MEDIDA</t>
  </si>
  <si>
    <t>CANTIDAD</t>
  </si>
  <si>
    <t>1 TONELADA = 1000 KILOS</t>
  </si>
  <si>
    <t>1 KILO           = 1000 GRAMOS</t>
  </si>
  <si>
    <t>1 LIBRA         =   500 GRAMOS</t>
  </si>
  <si>
    <t>1 ARROBA    =     25 LIBRAS</t>
  </si>
  <si>
    <t>1 BULTO        =      5 ARROBAS</t>
  </si>
  <si>
    <t>PREST. SOC.</t>
  </si>
  <si>
    <t>SUB. TRANSP.</t>
  </si>
  <si>
    <t xml:space="preserve"> TOTAL</t>
  </si>
  <si>
    <t>SI SON VARIOS OPERARIOS QUE REALIZAN LA MISMA TAREA , SUME EL VALOR DE SUS SALARIOS</t>
  </si>
  <si>
    <t>PRECIO DE VENTA UNITARIO</t>
  </si>
  <si>
    <t>UTILIDAD O PERDIDA OPERACIONAL</t>
  </si>
  <si>
    <t>PASAR DE UNIDADES COMERCIALES EJ: KILO, A GRAMOS; GALÓN= 3785 C.C.A, LITROS= 1000 C.C., ETC.</t>
  </si>
  <si>
    <t>1 METRO       =  100 CMS</t>
  </si>
  <si>
    <t>1 GALON = 3785 C.C.</t>
  </si>
  <si>
    <t xml:space="preserve">EQUIPOS </t>
  </si>
  <si>
    <t>DE</t>
  </si>
  <si>
    <t>COMPUTO</t>
  </si>
  <si>
    <t>O</t>
  </si>
  <si>
    <t>PLANTA</t>
  </si>
  <si>
    <t>EDIFICIO</t>
  </si>
  <si>
    <t>MAQUINAS</t>
  </si>
  <si>
    <t>EQUIPOS</t>
  </si>
  <si>
    <t xml:space="preserve">MUEBLES </t>
  </si>
  <si>
    <t>Y</t>
  </si>
  <si>
    <t>INTERESES FINANCIEROS</t>
  </si>
  <si>
    <t>COSTO UNIT.</t>
  </si>
  <si>
    <t>COSTO TOTAL</t>
  </si>
  <si>
    <t>INSTALACIÓN</t>
  </si>
  <si>
    <t>FLUJO NETO DEL PROYECTO</t>
  </si>
  <si>
    <t>TASA INTERNA DE RETORNO TIR</t>
  </si>
  <si>
    <t>INVERSIÓN</t>
  </si>
  <si>
    <t>VALOR PRESENTE NETO</t>
  </si>
  <si>
    <t>TABLA DE AMORTIZACION DEL PRESTAMO</t>
  </si>
  <si>
    <t>NOMINAL ANUAL</t>
  </si>
  <si>
    <t>N° DE CUOTAS</t>
  </si>
  <si>
    <t>TASA  INTERÉS</t>
  </si>
  <si>
    <t>AMORTIZACIÓN PRESTAMO</t>
  </si>
  <si>
    <t>PLAZO:</t>
  </si>
  <si>
    <t>INTERES:</t>
  </si>
  <si>
    <t xml:space="preserve">   NOTA:</t>
  </si>
  <si>
    <t xml:space="preserve">  EL TRABAJO DE CONVERSIONES DEBE REALIZARLO</t>
  </si>
  <si>
    <t xml:space="preserve">  USTED EN FORMA MANUAL Y REGISTRARLO EN EL</t>
  </si>
  <si>
    <t>AÑO 1</t>
  </si>
  <si>
    <t>AÑO 2</t>
  </si>
  <si>
    <t>AÑO 3</t>
  </si>
  <si>
    <t>AÑO 4</t>
  </si>
  <si>
    <t>AÑO 5</t>
  </si>
  <si>
    <t>SUELDO ANUAL</t>
  </si>
  <si>
    <t>AÑO1</t>
  </si>
  <si>
    <t>AÑO2</t>
  </si>
  <si>
    <t>AÑO3</t>
  </si>
  <si>
    <t>AÑO4</t>
  </si>
  <si>
    <t>AÑO5</t>
  </si>
  <si>
    <t>PRESUPUESTO DE PRODUCCIÓN DEL AÑO1</t>
  </si>
  <si>
    <t>PRESUPUESTO DE PRODUCCIÓN DEL AÑO2</t>
  </si>
  <si>
    <t>PRESUPUESTO DE PRODUCCIÓN DEL AÑO3</t>
  </si>
  <si>
    <t>PRESUPUESTO DE PRODUCCIÓN DEL AÑO4</t>
  </si>
  <si>
    <t>PRESUPUESTO DE PRODUCCIÓN DEL AÑO5</t>
  </si>
  <si>
    <t>PRESUPUESTO DE REQUERIMIENTO DE MATERIAS PRIMAS DEL AÑO 1</t>
  </si>
  <si>
    <t>PRESUPUESTO DE REQUERIMIENTO DE MATERIAS PRIMAS DEL AÑO 5</t>
  </si>
  <si>
    <t>PRESUPUESTO DE REQUERIMIENTO DE MATERIAS PRIMAS DEL AÑO 4</t>
  </si>
  <si>
    <t>PRESUPUESTO DE REQUERIMIENTO DE MATERIAS PRIMAS DEL AÑO 3</t>
  </si>
  <si>
    <t>PRESUPUESTO DE REQUERIMIENTO DE MATERIAS PRIMAS DEL AÑO 2</t>
  </si>
  <si>
    <t>BALANCE INICIAL AL    DE  200</t>
  </si>
  <si>
    <t>PERIODO:  DEL                AL  DE   200</t>
  </si>
  <si>
    <t>VALOR ANUAL</t>
  </si>
  <si>
    <t>DATOS PARA EL CALCULO DE LA TIR Y EL VNA</t>
  </si>
  <si>
    <t>ESTE DATO DEBE ESTAR EXPRESADO EN LAS UNIDADES QUE MANEJA EL MERCADO, EJ: METROS, CMS, LITROS, GRS, ETC.</t>
  </si>
  <si>
    <t>EL PRECIO ES EL QUE FIJA EL MERCADO: 1 METRO DE TELA  $ 3.000</t>
  </si>
  <si>
    <t>EN LAS CELDAS DE ESTE COLOR NO DIGITE NADA</t>
  </si>
  <si>
    <t xml:space="preserve"> TABLA DE CONVERSIONES DE UNIDADES COMERCIALES A CANTIDADES, QUE UTILIZA CADA PRODUCTO</t>
  </si>
  <si>
    <t>SIGA LA FLECHA</t>
  </si>
  <si>
    <t xml:space="preserve">  ESTE CUADRO ES DE CARACTER INFORMATIVO.</t>
  </si>
  <si>
    <t xml:space="preserve">  CUADRO ANTERIOR  PUNTO (4).</t>
  </si>
  <si>
    <t>1 LIBRA = 16 ONZAS</t>
  </si>
  <si>
    <t>1 ONZA = 28.349523 GRAMOS</t>
  </si>
  <si>
    <t>1 MILLA = 1.6093 KILOMETROS</t>
  </si>
  <si>
    <t>1 YARDA = 0.914402 METROS</t>
  </si>
  <si>
    <t>1 METRO = 39.37008 PULGADAS</t>
  </si>
  <si>
    <t>1 METRO = 3.28084 PIES</t>
  </si>
  <si>
    <t>1 LEGUA = 5 KILOMETROS</t>
  </si>
  <si>
    <t>1 KILOMETRO = 1000 MTS</t>
  </si>
  <si>
    <t>1 ACRE = 0.40 HECTAREAS</t>
  </si>
  <si>
    <t>1 VARA = 80 CENTIMETROS</t>
  </si>
  <si>
    <t>CANTIDAD PARA</t>
  </si>
  <si>
    <t>UNA UNIDAD</t>
  </si>
  <si>
    <t>UNIDAD DE MEDIDA</t>
  </si>
  <si>
    <t>NOMBRE DEL INSUMO</t>
  </si>
  <si>
    <t>COSTO TOTAL M. P. POR UNIDAD</t>
  </si>
  <si>
    <t>EJ: 2 ASEADORES ($ 320.000*2)= $ 640.000 SUELDO MENSUAL * 12 MESES = $ 7.680.000</t>
  </si>
  <si>
    <t>CAJA - BANCOS</t>
  </si>
  <si>
    <t>EJEMPLO</t>
  </si>
  <si>
    <t xml:space="preserve"> 1 TONELADA CUESTA $ 1.000.000,00.  Y UNA TONELADA = A 1000 KILOS. UN KILO = A 1000 GRAMOS</t>
  </si>
  <si>
    <t>1 TONELADA = 1.000 KILOS * 1.000 GRS = 1.000.000GRS ==&gt; 1.000.000GRS /$1.000.000=$ 1,00 GR.</t>
  </si>
  <si>
    <t xml:space="preserve">  TABLA DE CONVERSIONES   -   EJEMPLOS</t>
  </si>
  <si>
    <t>EQUIPOS DE COMPUTO</t>
  </si>
  <si>
    <t>EDIFICIO O PLANTA</t>
  </si>
  <si>
    <t>(COLOMBIA), PARA CADA PAIS SE DEBE CAMBIAR EL PORCENTAJE</t>
  </si>
  <si>
    <t xml:space="preserve">   EL SUBSIDIO DE TRANSPORTE SE MULTIPLICA POR 12 MESES</t>
  </si>
  <si>
    <t>CARGOS O ACTIVIDADES</t>
  </si>
  <si>
    <t>SUELDO DEL GERENTE, PAPELERIA, IMPREVISTOS</t>
  </si>
  <si>
    <t>SUELDO DEL MENSAJERO, SERVICIOS PÚBLICOS</t>
  </si>
  <si>
    <t>ARRENDAMIENTOS, SALARIO ASEADORA, ETC.</t>
  </si>
  <si>
    <t>TODOS EXPRESADOS EN FORMA ANUAL</t>
  </si>
  <si>
    <t>RECUERDE QUE LOS C. I. F. INTERVIENEN EN EL DESARROLLO DEL PROCESO DE PRODUCCIÓN O DE SERVICIO</t>
  </si>
  <si>
    <t>EN FORMA INDIRECTA.</t>
  </si>
  <si>
    <t>SERVICIOS PUBLICOS, SALARIOS DE ASEADORAS</t>
  </si>
  <si>
    <t xml:space="preserve">SERV. VIGILANCIA, MANTENIMIENTO, IMPREVISTOS </t>
  </si>
  <si>
    <t>SALARIOS DE SUPERVISORES, PAPELERÍA, ETC.</t>
  </si>
  <si>
    <t xml:space="preserve">     1 - (( % UTILIDAD DESEADO) - (IMPUESTOS))</t>
  </si>
  <si>
    <t>NOMBRE DEL PRODUCTO O SERVICIO</t>
  </si>
  <si>
    <t>ARRENDAMIENTOS, PUBLICIDAD, ETC.</t>
  </si>
  <si>
    <t>CONDUCTOR, SERVICIOS PÚBLICOS, SECRETARIA</t>
  </si>
  <si>
    <t>ESTOS SON LOS GRUPOS MÁS REPRESENTATIVOS, EL PROGRAMA CALCULA EN FORMA  AUTOMATICA LA DEPRECIACIÓN.</t>
  </si>
  <si>
    <t xml:space="preserve"> POR LO TANTO UN GRAMO CUESTA $ 1,00</t>
  </si>
  <si>
    <t>EJEMPLO :</t>
  </si>
  <si>
    <t xml:space="preserve">ESCRIBA EL PORCENTAJE DE INCREMENTO DE LOS SUELDOS DE </t>
  </si>
  <si>
    <t>LOS OPERARIOS PARA LOS CUATRO AÑOS SIGUIENTES:</t>
  </si>
  <si>
    <t xml:space="preserve">ESCRIBA EL PORCENTAJE DE INCREMENTO DE LOS COSTOS INDIRECTOS </t>
  </si>
  <si>
    <t>DE FABRICACION PARA LOS CUATRO AÑOS SIGUIENTES:</t>
  </si>
  <si>
    <t>ADMINISTRACION PARA LOS CUATRO AÑOS SIGUIENTES:</t>
  </si>
  <si>
    <t>VENTAS PARA LOS CUATRO AÑOS SIGUIENTES:</t>
  </si>
  <si>
    <t xml:space="preserve">ESCRIBA EL PORCENTAJE DE INCREMENTO EN EL COSTO DE LA </t>
  </si>
  <si>
    <t>MATERIA PRIMA PARA LOS CUATRO AÑOS SIGUIENTES:</t>
  </si>
  <si>
    <t>AQUÍ PUEDE REGISTRAR LOS COSTOS DE ASESORIAS CONTABLES, ADMINISTRATIVAS, FINANCIERAS, LEGALES, TRIBUTARIAS,</t>
  </si>
  <si>
    <t>OBRAS CIVILES, CONSTRUCCIONES, INSTALACIONES DE EQUIPOS, PUESTA EN MARCHA, ETC.</t>
  </si>
  <si>
    <t>ESTE TIPO DE GASTOS SE ORIGINAN ANTES DE</t>
  </si>
  <si>
    <t xml:space="preserve">QUE EMPIECE EL PROCESO DE OPERACIÓN </t>
  </si>
  <si>
    <t>DEL PROYECTO, ESTOS GASTOS PREOPERATIVOS</t>
  </si>
  <si>
    <t>SE AMORTIZARAN EN LOS CINCO AÑOS.</t>
  </si>
  <si>
    <t>GASTOS PREOPERATIVOS</t>
  </si>
  <si>
    <t>GASTOS PROPERATIVOS</t>
  </si>
  <si>
    <t>AMORTIZACION  ANUAL</t>
  </si>
  <si>
    <t>SALDO AMORTIZACION</t>
  </si>
  <si>
    <t>TOTAL ANUAL</t>
  </si>
  <si>
    <t>DESCRIPCIÓN AMORTIZACION</t>
  </si>
  <si>
    <t>COSTO UNITARIO POR PRODUCTO O SERVICIO</t>
  </si>
  <si>
    <t xml:space="preserve"> DIGITE EL VALOR DEL PRESTAMO FINANCIERO EJ: ( 5.000.000), # DE CU0TAS (12), Y EL INTERÉS QUE VA A PAGAR ( 20%). SI NO DESEA HACER PRESTAMO ESCRIBA UNO (1) EN CADA CASILLA</t>
  </si>
  <si>
    <t>PRECIO POTENCIAL  DE VENTA =&gt;</t>
  </si>
  <si>
    <t>AÑO 1               =</t>
  </si>
  <si>
    <t>AÑO 2               =</t>
  </si>
  <si>
    <t>AÑO 3               =</t>
  </si>
  <si>
    <t>AÑO 4               =</t>
  </si>
  <si>
    <t>AÑO 5               =</t>
  </si>
  <si>
    <r>
      <t>COSTOS TOTALES - (COSTOS TOTALES * IMPUESTOS)</t>
    </r>
    <r>
      <rPr>
        <sz val="10"/>
        <rFont val="Arial"/>
        <family val="2"/>
      </rPr>
      <t xml:space="preserve">  =</t>
    </r>
  </si>
  <si>
    <t xml:space="preserve"> ESCRIBA SUS GASTOS ADMINISTRATIVOS ANUALES. (B194:C203)</t>
  </si>
  <si>
    <t>C</t>
  </si>
  <si>
    <t>INDICADORES ECONOMICOS</t>
  </si>
  <si>
    <t>ES LA TASA QUE HACE QUE EL VALOR PRESENTE NETO SEA IGUAL A CERO, ES DECIR QUE REDUCE A CERO LOS INGRESOS Y LOS</t>
  </si>
  <si>
    <t>EGRESOS DEL PROYECTO, INCLUYENDOSE LA INVERSIÓN INICIAL QUE REALIZARON LOS SOCIOS EN EL PROYECTO.</t>
  </si>
  <si>
    <t>TIR DEL</t>
  </si>
  <si>
    <t xml:space="preserve">COMO LA TASA RESULTANTE ES SUPERIOR A LA DEL MERCADO </t>
  </si>
  <si>
    <t>PROYECTO</t>
  </si>
  <si>
    <t>QUIERE DECIR QUE NUESTRO PROYECTO ES MAS RENTABLE</t>
  </si>
  <si>
    <t xml:space="preserve">PERMITE ESTABLECER LA EQUIVALENCIA ENTRE LOS INGRESOS Y EGRESOS DEL FLUJO DE EFECTIVO DE UN PROYECTO, LOS QUE  </t>
  </si>
  <si>
    <t>SON COMPARADOS CON LA INVERSIÓN INICIAL DE LOS SOCIOS, A UNA TASA DETERMINADA. SE SUMAN LOS FLUJOS DE EFECTIVO</t>
  </si>
  <si>
    <t>VPN DEL</t>
  </si>
  <si>
    <t xml:space="preserve">DEL PROYECTO Y SE LE DESCUENTA LA INVERSIÓN INICIAL, SI ES </t>
  </si>
  <si>
    <t>POSITIVO EL RESULTADO (VPN) SE ACEPTA EL PROYECTO.</t>
  </si>
  <si>
    <t>COSTO VARIABLE UNITARIO PRODUCTO O SERVICIO</t>
  </si>
  <si>
    <t>COSTO FIJO UNITARIO POR PRODUCTO O SERVICIO</t>
  </si>
  <si>
    <t>EQ. DE OFICINA</t>
  </si>
  <si>
    <t>FORMULA PARA EL CALCULO DEL PRECIO DE VENTA</t>
  </si>
  <si>
    <t xml:space="preserve">   =======&gt;&gt;</t>
  </si>
  <si>
    <t>AL CONSUMO POR UNIDAD DE PRODUCCIÓN EJ: GRS., CM2</t>
  </si>
  <si>
    <t xml:space="preserve"> - </t>
  </si>
  <si>
    <t>UTILIDAD O PERDIDA ANTES DE IMP.</t>
  </si>
  <si>
    <t>COSTO DE OPORTUNIDAD =&gt;</t>
  </si>
  <si>
    <t xml:space="preserve">                   ( M. P. +  M. O. D. +  C. I. F. )                    </t>
  </si>
  <si>
    <t>CUOTA</t>
  </si>
  <si>
    <t>CONSULTE AQUÍ EL COSTO DE LA MATERIA PRIMA POR UNIDAD</t>
  </si>
  <si>
    <t>Total de control</t>
  </si>
  <si>
    <t>CUADRO DE CONSULTA,DEL COSTO DE LA MATERIA PRIMA. EN ESTE CUADRO NO DIGITE NADA</t>
  </si>
  <si>
    <t>Año 1</t>
  </si>
  <si>
    <t>Año 2</t>
  </si>
  <si>
    <t>Año 3</t>
  </si>
  <si>
    <t>Año 4</t>
  </si>
  <si>
    <t>Año 5</t>
  </si>
  <si>
    <t xml:space="preserve"> i =</t>
  </si>
  <si>
    <t>EFECTIVO ANUAL</t>
  </si>
  <si>
    <t>TABLA DE CALCULOS</t>
  </si>
  <si>
    <t>PERIODO DE RECUPERACIÓN DE LA INVERSIÓN</t>
  </si>
  <si>
    <t>PRI (años)</t>
  </si>
  <si>
    <t>AÑO</t>
  </si>
  <si>
    <t xml:space="preserve">MESES </t>
  </si>
  <si>
    <t>DÍAS</t>
  </si>
  <si>
    <t>PERIODO EN EL CUAL SE HACE  LA RECUPERACION DE LA INVERSIÓN</t>
  </si>
  <si>
    <t>EFEC. MENSUAL</t>
  </si>
  <si>
    <t>PAGOS/AÑO</t>
  </si>
  <si>
    <t>SALDO DEUDA</t>
  </si>
  <si>
    <t>EFECTIVA ANUAL</t>
  </si>
  <si>
    <t>Agua</t>
  </si>
  <si>
    <t>Residuos Orgánicos</t>
  </si>
  <si>
    <t>Estiercol</t>
  </si>
  <si>
    <t>Kgm</t>
  </si>
  <si>
    <r>
      <t>Mts</t>
    </r>
    <r>
      <rPr>
        <vertAlign val="superscript"/>
        <sz val="10"/>
        <rFont val="Arial"/>
        <family val="2"/>
      </rPr>
      <t>3</t>
    </r>
  </si>
  <si>
    <t>Planta Administrativa</t>
  </si>
  <si>
    <t>Muebles y enseres</t>
  </si>
  <si>
    <t>Gerente</t>
  </si>
  <si>
    <t>Ingeniero</t>
  </si>
  <si>
    <t>Auxiliar administrativo</t>
  </si>
  <si>
    <t>Auxiliares de producción</t>
  </si>
  <si>
    <t>Contabilidad</t>
  </si>
  <si>
    <t>Servicio de luz</t>
  </si>
  <si>
    <t>Papeleria</t>
  </si>
  <si>
    <t>Imprevistos</t>
  </si>
  <si>
    <t>PC e impresora</t>
  </si>
  <si>
    <t>Planta Producción</t>
  </si>
  <si>
    <t>Biodigestor</t>
  </si>
  <si>
    <t>Arriendo</t>
  </si>
  <si>
    <t>Servicio de Agua</t>
  </si>
  <si>
    <t>gas</t>
  </si>
  <si>
    <t>Ficha tecnica comparatva del costo beneficio</t>
  </si>
  <si>
    <t>NOMBRE DEL PRODUCTO Y LAS VENTAS ANUALES EN UNIDADES</t>
  </si>
  <si>
    <r>
      <t>1 MTS</t>
    </r>
    <r>
      <rPr>
        <b/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        =   10000 CMS</t>
    </r>
    <r>
      <rPr>
        <b/>
        <vertAlign val="superscript"/>
        <sz val="8"/>
        <color indexed="9"/>
        <rFont val="Arial"/>
        <family val="2"/>
      </rPr>
      <t>2</t>
    </r>
  </si>
  <si>
    <r>
      <t>1 HECTAREA = 10000 METROS</t>
    </r>
    <r>
      <rPr>
        <vertAlign val="superscript"/>
        <sz val="8"/>
        <color indexed="9"/>
        <rFont val="Arial"/>
        <family val="2"/>
      </rPr>
      <t>2</t>
    </r>
  </si>
  <si>
    <r>
      <t>1 METRO</t>
    </r>
    <r>
      <rPr>
        <vertAlign val="superscript"/>
        <sz val="8"/>
        <color indexed="9"/>
        <rFont val="Arial"/>
        <family val="2"/>
      </rPr>
      <t xml:space="preserve">3 </t>
    </r>
    <r>
      <rPr>
        <sz val="8"/>
        <color indexed="9"/>
        <rFont val="Arial"/>
        <family val="2"/>
      </rPr>
      <t>= 264.2 GALON AMER.</t>
    </r>
  </si>
  <si>
    <r>
      <t>1 PIE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= 7.48052 GALON AMER.</t>
    </r>
  </si>
  <si>
    <r>
      <t>1 LITRO         = 1000 CMS</t>
    </r>
    <r>
      <rPr>
        <vertAlign val="superscript"/>
        <sz val="8"/>
        <color indexed="9"/>
        <rFont val="Arial"/>
        <family val="2"/>
      </rPr>
      <t>3</t>
    </r>
  </si>
  <si>
    <t>COSTO DE LOS GASTOS PREOPERATIVOS DEL PROYECTO. (B109:C118)</t>
  </si>
  <si>
    <t>COSTOS INDIRECTOS DE FABRICACIÓN EN EL AÑO</t>
  </si>
  <si>
    <t xml:space="preserve">ACTIVOS FIJOS </t>
  </si>
  <si>
    <t>CAPITAL REQUERIDO</t>
  </si>
  <si>
    <t>SALDO INICIAL DE CAJA - BANCOS AL EMPEZAR EL PROYECTO</t>
  </si>
  <si>
    <t xml:space="preserve">PORCENTAJE DE IMPUESTO DE RENTA </t>
  </si>
  <si>
    <t>AÑO0</t>
  </si>
  <si>
    <t>DEPRECIACIÓN</t>
  </si>
  <si>
    <t>INVERSIÓN INICIAL</t>
  </si>
  <si>
    <t>Gas Metano en MTS3</t>
  </si>
  <si>
    <t>Compresor</t>
  </si>
  <si>
    <t>º</t>
  </si>
  <si>
    <t>PRECIO DE VENTAS</t>
  </si>
  <si>
    <t>Mt3</t>
  </si>
  <si>
    <t>Total 30Mts3
 por vivienda</t>
  </si>
  <si>
    <t>Gas Metano</t>
  </si>
  <si>
    <t>PORCENTAJE DE UTILIDAD QUE DESEA OBTENER</t>
  </si>
  <si>
    <t>INSUMOS NECESARIOS PARA PRODUCIR GAS METANO</t>
  </si>
  <si>
    <t>NUMERO DE OPERARIOS QUE INTERVIENEN EN CADA PARTE DEL PROCESO</t>
  </si>
  <si>
    <t>PORCENTAJE DE INCREMENTO DE LOS GASTOS DE</t>
  </si>
  <si>
    <t>GASTOS DE VENTAS ANUALES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</si>
</sst>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&quot;$&quot;\ \-#,##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 * #,##0_ ;_ * \-#,##0_ ;_ * &quot;-&quot;??_ ;_ @_ "/>
    <numFmt numFmtId="179" formatCode="0.0%"/>
    <numFmt numFmtId="180" formatCode="0_)"/>
    <numFmt numFmtId="181" formatCode="#,##0.00_ ;\-#,##0.00\ "/>
    <numFmt numFmtId="182" formatCode="#,##0.000000000_ ;\-#,##0.000000000\ "/>
    <numFmt numFmtId="183" formatCode="_ &quot;$&quot;\ * #,##0_ ;_ &quot;$&quot;\ * \-#,##0_ ;_ &quot;$&quot;\ * &quot;-&quot;??_ ;_ @_ "/>
    <numFmt numFmtId="184" formatCode="#,##0.00000_ ;\-#,##0.00000\ "/>
    <numFmt numFmtId="185" formatCode="#,##0.0000_ ;\-#,##0.0000\ "/>
    <numFmt numFmtId="186" formatCode="#,##0.000_ ;\-#,##0.000\ "/>
    <numFmt numFmtId="187" formatCode="#,##0.0_ ;\-#,##0.0\ "/>
    <numFmt numFmtId="188" formatCode="#,##0_ ;\-#,##0\ "/>
    <numFmt numFmtId="189" formatCode="0.000"/>
    <numFmt numFmtId="190" formatCode="0.0000"/>
    <numFmt numFmtId="191" formatCode="0.00000"/>
  </numFmts>
  <fonts count="1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2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14"/>
      <name val="Arial"/>
      <family val="2"/>
    </font>
    <font>
      <sz val="9"/>
      <color indexed="12"/>
      <name val="Arial"/>
      <family val="2"/>
    </font>
    <font>
      <b/>
      <sz val="8"/>
      <color indexed="16"/>
      <name val="Arial"/>
      <family val="2"/>
    </font>
    <font>
      <b/>
      <i/>
      <sz val="10"/>
      <color indexed="12"/>
      <name val="Arial"/>
      <family val="2"/>
    </font>
    <font>
      <sz val="10"/>
      <color indexed="18"/>
      <name val="Arial"/>
      <family val="2"/>
    </font>
    <font>
      <b/>
      <sz val="9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9"/>
      <name val="Arial"/>
      <family val="2"/>
    </font>
    <font>
      <sz val="7"/>
      <color indexed="9"/>
      <name val="Arial"/>
      <family val="2"/>
    </font>
    <font>
      <u val="single"/>
      <sz val="9"/>
      <color indexed="9"/>
      <name val="Arial"/>
      <family val="2"/>
    </font>
    <font>
      <sz val="19"/>
      <color indexed="8"/>
      <name val="Arial"/>
      <family val="0"/>
    </font>
    <font>
      <sz val="8"/>
      <color indexed="8"/>
      <name val="Arial"/>
      <family val="0"/>
    </font>
    <font>
      <b/>
      <sz val="21.5"/>
      <color indexed="8"/>
      <name val="Arial"/>
      <family val="0"/>
    </font>
    <font>
      <sz val="6.75"/>
      <color indexed="8"/>
      <name val="Arial"/>
      <family val="0"/>
    </font>
    <font>
      <sz val="24.75"/>
      <color indexed="8"/>
      <name val="Arial"/>
      <family val="0"/>
    </font>
    <font>
      <sz val="7.75"/>
      <color indexed="8"/>
      <name val="Arial"/>
      <family val="0"/>
    </font>
    <font>
      <b/>
      <sz val="24.75"/>
      <color indexed="8"/>
      <name val="Arial"/>
      <family val="0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b/>
      <sz val="2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u val="single"/>
      <sz val="9"/>
      <color theme="0"/>
      <name val="Arial"/>
      <family val="2"/>
    </font>
    <font>
      <b/>
      <i/>
      <sz val="10"/>
      <color theme="0"/>
      <name val="Arial"/>
      <family val="2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u val="single"/>
      <sz val="9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>
        <color indexed="2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38"/>
      </left>
      <right style="thick">
        <color indexed="38"/>
      </right>
      <top style="thin"/>
      <bottom style="thin"/>
    </border>
    <border>
      <left style="thick">
        <color indexed="38"/>
      </left>
      <right style="thick">
        <color indexed="38"/>
      </right>
      <top style="thin"/>
      <bottom style="thick">
        <color indexed="38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indexed="22"/>
      </bottom>
    </border>
    <border>
      <left style="thin"/>
      <right style="thick">
        <color indexed="22"/>
      </right>
      <top style="thin"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/>
      <top style="thin"/>
      <bottom style="thin"/>
    </border>
    <border>
      <left style="thin"/>
      <right style="thick">
        <color indexed="22"/>
      </right>
      <top style="thin"/>
      <bottom style="thin"/>
    </border>
    <border>
      <left style="thick">
        <color indexed="22"/>
      </left>
      <right style="thin"/>
      <top style="thin"/>
      <bottom style="thick">
        <color indexed="22"/>
      </bottom>
    </border>
    <border>
      <left style="thin"/>
      <right style="thin"/>
      <top style="thick">
        <color indexed="22"/>
      </top>
      <bottom style="thin"/>
    </border>
    <border>
      <left style="thin"/>
      <right style="thick">
        <color indexed="22"/>
      </right>
      <top style="thick">
        <color indexed="22"/>
      </top>
      <bottom style="thin"/>
    </border>
    <border>
      <left style="thick">
        <color indexed="22"/>
      </left>
      <right style="thin"/>
      <top style="thick">
        <color indexed="22"/>
      </top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n"/>
    </border>
    <border>
      <left>
        <color indexed="63"/>
      </left>
      <right style="thick">
        <color indexed="22"/>
      </right>
      <top style="thick">
        <color indexed="22"/>
      </top>
      <bottom style="thin"/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38"/>
      </left>
      <right style="thick">
        <color indexed="38"/>
      </right>
      <top>
        <color indexed="63"/>
      </top>
      <bottom style="thick">
        <color indexed="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9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3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ck">
        <color indexed="38"/>
      </right>
      <top style="thin">
        <color indexed="23"/>
      </top>
      <bottom style="thin">
        <color indexed="9"/>
      </bottom>
    </border>
    <border>
      <left style="thick">
        <color indexed="38"/>
      </left>
      <right style="thin"/>
      <top style="thin">
        <color indexed="23"/>
      </top>
      <bottom style="thick">
        <color indexed="38"/>
      </bottom>
    </border>
    <border>
      <left style="thin"/>
      <right>
        <color indexed="63"/>
      </right>
      <top style="thin">
        <color indexed="23"/>
      </top>
      <bottom style="thick">
        <color indexed="38"/>
      </bottom>
    </border>
    <border>
      <left>
        <color indexed="63"/>
      </left>
      <right style="thick">
        <color indexed="38"/>
      </right>
      <top style="thin">
        <color indexed="23"/>
      </top>
      <bottom style="thick">
        <color indexed="38"/>
      </bottom>
    </border>
    <border>
      <left style="thick">
        <color indexed="38"/>
      </left>
      <right style="thick">
        <color indexed="38"/>
      </right>
      <top style="thick">
        <color indexed="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7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0" fillId="21" borderId="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96" fillId="0" borderId="8" applyNumberFormat="0" applyFill="0" applyAlignment="0" applyProtection="0"/>
    <xf numFmtId="0" fontId="106" fillId="0" borderId="9" applyNumberFormat="0" applyFill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177" fontId="5" fillId="33" borderId="14" xfId="48" applyFont="1" applyFill="1" applyBorder="1" applyAlignment="1">
      <alignment/>
    </xf>
    <xf numFmtId="177" fontId="5" fillId="33" borderId="10" xfId="48" applyFont="1" applyFill="1" applyBorder="1" applyAlignment="1">
      <alignment/>
    </xf>
    <xf numFmtId="177" fontId="5" fillId="33" borderId="26" xfId="48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5" fillId="33" borderId="27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7" fontId="7" fillId="33" borderId="0" xfId="48" applyFont="1" applyFill="1" applyBorder="1" applyAlignment="1">
      <alignment horizontal="center"/>
    </xf>
    <xf numFmtId="177" fontId="5" fillId="33" borderId="15" xfId="48" applyFont="1" applyFill="1" applyBorder="1" applyAlignment="1">
      <alignment/>
    </xf>
    <xf numFmtId="177" fontId="7" fillId="33" borderId="25" xfId="48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178" fontId="5" fillId="33" borderId="18" xfId="0" applyNumberFormat="1" applyFont="1" applyFill="1" applyBorder="1" applyAlignment="1">
      <alignment/>
    </xf>
    <xf numFmtId="178" fontId="5" fillId="33" borderId="14" xfId="0" applyNumberFormat="1" applyFont="1" applyFill="1" applyBorder="1" applyAlignment="1">
      <alignment/>
    </xf>
    <xf numFmtId="178" fontId="5" fillId="33" borderId="15" xfId="0" applyNumberFormat="1" applyFont="1" applyFill="1" applyBorder="1" applyAlignment="1">
      <alignment/>
    </xf>
    <xf numFmtId="0" fontId="7" fillId="33" borderId="28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7" fillId="33" borderId="13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177" fontId="5" fillId="33" borderId="13" xfId="48" applyFont="1" applyFill="1" applyBorder="1" applyAlignment="1">
      <alignment horizontal="left"/>
    </xf>
    <xf numFmtId="177" fontId="5" fillId="33" borderId="28" xfId="48" applyFont="1" applyFill="1" applyBorder="1" applyAlignment="1">
      <alignment/>
    </xf>
    <xf numFmtId="177" fontId="7" fillId="33" borderId="28" xfId="48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3" fontId="7" fillId="33" borderId="0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7" fillId="33" borderId="30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3" fontId="7" fillId="33" borderId="31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33" borderId="22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78" fontId="5" fillId="33" borderId="17" xfId="48" applyNumberFormat="1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77" fontId="5" fillId="33" borderId="17" xfId="0" applyNumberFormat="1" applyFont="1" applyFill="1" applyBorder="1" applyAlignment="1">
      <alignment/>
    </xf>
    <xf numFmtId="0" fontId="15" fillId="33" borderId="23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77" fontId="7" fillId="33" borderId="10" xfId="48" applyFont="1" applyFill="1" applyBorder="1" applyAlignment="1">
      <alignment/>
    </xf>
    <xf numFmtId="177" fontId="5" fillId="33" borderId="26" xfId="48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5" fillId="33" borderId="34" xfId="0" applyNumberFormat="1" applyFont="1" applyFill="1" applyBorder="1" applyAlignment="1">
      <alignment/>
    </xf>
    <xf numFmtId="177" fontId="5" fillId="33" borderId="35" xfId="48" applyFont="1" applyFill="1" applyBorder="1" applyAlignment="1">
      <alignment/>
    </xf>
    <xf numFmtId="177" fontId="5" fillId="33" borderId="34" xfId="48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9" fillId="33" borderId="23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7" fillId="33" borderId="37" xfId="0" applyNumberFormat="1" applyFont="1" applyFill="1" applyBorder="1" applyAlignment="1">
      <alignment/>
    </xf>
    <xf numFmtId="0" fontId="7" fillId="33" borderId="37" xfId="0" applyFont="1" applyFill="1" applyBorder="1" applyAlignment="1">
      <alignment/>
    </xf>
    <xf numFmtId="177" fontId="5" fillId="33" borderId="37" xfId="48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7" fillId="33" borderId="30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177" fontId="5" fillId="33" borderId="30" xfId="48" applyFont="1" applyFill="1" applyBorder="1" applyAlignment="1">
      <alignment/>
    </xf>
    <xf numFmtId="177" fontId="7" fillId="33" borderId="28" xfId="48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177" fontId="5" fillId="33" borderId="0" xfId="48" applyFont="1" applyFill="1" applyBorder="1" applyAlignment="1" applyProtection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78" fontId="7" fillId="33" borderId="0" xfId="48" applyNumberFormat="1" applyFont="1" applyFill="1" applyBorder="1" applyAlignment="1" applyProtection="1">
      <alignment/>
      <protection/>
    </xf>
    <xf numFmtId="0" fontId="7" fillId="33" borderId="28" xfId="0" applyFont="1" applyFill="1" applyBorder="1" applyAlignment="1">
      <alignment/>
    </xf>
    <xf numFmtId="180" fontId="5" fillId="33" borderId="41" xfId="0" applyNumberFormat="1" applyFont="1" applyFill="1" applyBorder="1" applyAlignment="1" applyProtection="1">
      <alignment/>
      <protection/>
    </xf>
    <xf numFmtId="177" fontId="5" fillId="33" borderId="41" xfId="48" applyFont="1" applyFill="1" applyBorder="1" applyAlignment="1" applyProtection="1">
      <alignment/>
      <protection/>
    </xf>
    <xf numFmtId="177" fontId="5" fillId="33" borderId="29" xfId="48" applyFont="1" applyFill="1" applyBorder="1" applyAlignment="1" applyProtection="1">
      <alignment/>
      <protection/>
    </xf>
    <xf numFmtId="180" fontId="5" fillId="33" borderId="37" xfId="0" applyNumberFormat="1" applyFont="1" applyFill="1" applyBorder="1" applyAlignment="1" applyProtection="1">
      <alignment/>
      <protection/>
    </xf>
    <xf numFmtId="177" fontId="5" fillId="33" borderId="37" xfId="48" applyFont="1" applyFill="1" applyBorder="1" applyAlignment="1" applyProtection="1">
      <alignment/>
      <protection/>
    </xf>
    <xf numFmtId="177" fontId="7" fillId="33" borderId="43" xfId="0" applyNumberFormat="1" applyFont="1" applyFill="1" applyBorder="1" applyAlignment="1">
      <alignment/>
    </xf>
    <xf numFmtId="177" fontId="5" fillId="33" borderId="44" xfId="0" applyNumberFormat="1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3" fontId="7" fillId="33" borderId="45" xfId="0" applyNumberFormat="1" applyFont="1" applyFill="1" applyBorder="1" applyAlignment="1">
      <alignment/>
    </xf>
    <xf numFmtId="177" fontId="7" fillId="33" borderId="28" xfId="48" applyFont="1" applyFill="1" applyBorder="1" applyAlignment="1">
      <alignment horizontal="center"/>
    </xf>
    <xf numFmtId="180" fontId="5" fillId="0" borderId="0" xfId="0" applyNumberFormat="1" applyFont="1" applyFill="1" applyBorder="1" applyAlignment="1" applyProtection="1">
      <alignment/>
      <protection/>
    </xf>
    <xf numFmtId="177" fontId="5" fillId="0" borderId="0" xfId="48" applyFont="1" applyFill="1" applyBorder="1" applyAlignment="1" applyProtection="1">
      <alignment/>
      <protection/>
    </xf>
    <xf numFmtId="177" fontId="7" fillId="0" borderId="0" xfId="48" applyFont="1" applyFill="1" applyBorder="1" applyAlignment="1">
      <alignment/>
    </xf>
    <xf numFmtId="173" fontId="5" fillId="33" borderId="31" xfId="0" applyNumberFormat="1" applyFont="1" applyFill="1" applyBorder="1" applyAlignment="1">
      <alignment/>
    </xf>
    <xf numFmtId="180" fontId="7" fillId="33" borderId="30" xfId="0" applyNumberFormat="1" applyFont="1" applyFill="1" applyBorder="1" applyAlignment="1" applyProtection="1">
      <alignment/>
      <protection/>
    </xf>
    <xf numFmtId="9" fontId="5" fillId="33" borderId="31" xfId="0" applyNumberFormat="1" applyFont="1" applyFill="1" applyBorder="1" applyAlignment="1">
      <alignment/>
    </xf>
    <xf numFmtId="9" fontId="5" fillId="33" borderId="30" xfId="0" applyNumberFormat="1" applyFont="1" applyFill="1" applyBorder="1" applyAlignment="1">
      <alignment/>
    </xf>
    <xf numFmtId="180" fontId="7" fillId="33" borderId="0" xfId="0" applyNumberFormat="1" applyFont="1" applyFill="1" applyBorder="1" applyAlignment="1" applyProtection="1">
      <alignment horizontal="center"/>
      <protection/>
    </xf>
    <xf numFmtId="180" fontId="7" fillId="33" borderId="46" xfId="0" applyNumberFormat="1" applyFont="1" applyFill="1" applyBorder="1" applyAlignment="1" applyProtection="1" quotePrefix="1">
      <alignment horizontal="left"/>
      <protection/>
    </xf>
    <xf numFmtId="180" fontId="7" fillId="33" borderId="47" xfId="0" applyNumberFormat="1" applyFont="1" applyFill="1" applyBorder="1" applyAlignment="1" applyProtection="1">
      <alignment horizontal="center"/>
      <protection/>
    </xf>
    <xf numFmtId="180" fontId="7" fillId="33" borderId="33" xfId="0" applyNumberFormat="1" applyFont="1" applyFill="1" applyBorder="1" applyAlignment="1" applyProtection="1">
      <alignment horizontal="center"/>
      <protection/>
    </xf>
    <xf numFmtId="0" fontId="7" fillId="33" borderId="47" xfId="0" applyFont="1" applyFill="1" applyBorder="1" applyAlignment="1">
      <alignment horizontal="center"/>
    </xf>
    <xf numFmtId="178" fontId="0" fillId="34" borderId="28" xfId="0" applyNumberFormat="1" applyFill="1" applyBorder="1" applyAlignment="1">
      <alignment/>
    </xf>
    <xf numFmtId="177" fontId="0" fillId="34" borderId="28" xfId="0" applyNumberFormat="1" applyFill="1" applyBorder="1" applyAlignment="1">
      <alignment/>
    </xf>
    <xf numFmtId="0" fontId="1" fillId="34" borderId="46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1" xfId="0" applyFill="1" applyBorder="1" applyAlignment="1">
      <alignment/>
    </xf>
    <xf numFmtId="0" fontId="1" fillId="34" borderId="30" xfId="0" applyFont="1" applyFill="1" applyBorder="1" applyAlignment="1">
      <alignment horizontal="right"/>
    </xf>
    <xf numFmtId="178" fontId="0" fillId="34" borderId="31" xfId="0" applyNumberFormat="1" applyFill="1" applyBorder="1" applyAlignment="1">
      <alignment/>
    </xf>
    <xf numFmtId="0" fontId="1" fillId="34" borderId="30" xfId="0" applyFont="1" applyFill="1" applyBorder="1" applyAlignment="1">
      <alignment/>
    </xf>
    <xf numFmtId="178" fontId="0" fillId="34" borderId="0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45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6" fillId="33" borderId="49" xfId="0" applyFont="1" applyFill="1" applyBorder="1" applyAlignment="1">
      <alignment horizontal="left"/>
    </xf>
    <xf numFmtId="177" fontId="0" fillId="0" borderId="0" xfId="48" applyFont="1" applyAlignment="1">
      <alignment/>
    </xf>
    <xf numFmtId="177" fontId="5" fillId="33" borderId="0" xfId="48" applyNumberFormat="1" applyFont="1" applyFill="1" applyBorder="1" applyAlignment="1" applyProtection="1">
      <alignment/>
      <protection/>
    </xf>
    <xf numFmtId="0" fontId="7" fillId="33" borderId="46" xfId="0" applyFont="1" applyFill="1" applyBorder="1" applyAlignment="1">
      <alignment horizontal="left"/>
    </xf>
    <xf numFmtId="0" fontId="5" fillId="33" borderId="45" xfId="0" applyFont="1" applyFill="1" applyBorder="1" applyAlignment="1">
      <alignment/>
    </xf>
    <xf numFmtId="3" fontId="5" fillId="33" borderId="50" xfId="0" applyNumberFormat="1" applyFont="1" applyFill="1" applyBorder="1" applyAlignment="1">
      <alignment/>
    </xf>
    <xf numFmtId="0" fontId="21" fillId="35" borderId="28" xfId="0" applyFont="1" applyFill="1" applyBorder="1" applyAlignment="1">
      <alignment/>
    </xf>
    <xf numFmtId="0" fontId="14" fillId="35" borderId="28" xfId="0" applyFont="1" applyFill="1" applyBorder="1" applyAlignment="1">
      <alignment/>
    </xf>
    <xf numFmtId="4" fontId="23" fillId="36" borderId="28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16" fillId="33" borderId="30" xfId="0" applyFont="1" applyFill="1" applyBorder="1" applyAlignment="1">
      <alignment horizontal="left"/>
    </xf>
    <xf numFmtId="4" fontId="5" fillId="33" borderId="28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77" fontId="5" fillId="33" borderId="40" xfId="48" applyFont="1" applyFill="1" applyBorder="1" applyAlignment="1">
      <alignment/>
    </xf>
    <xf numFmtId="177" fontId="5" fillId="33" borderId="39" xfId="48" applyFont="1" applyFill="1" applyBorder="1" applyAlignment="1">
      <alignment/>
    </xf>
    <xf numFmtId="177" fontId="5" fillId="33" borderId="30" xfId="48" applyFont="1" applyFill="1" applyBorder="1" applyAlignment="1">
      <alignment/>
    </xf>
    <xf numFmtId="0" fontId="30" fillId="0" borderId="0" xfId="0" applyFont="1" applyAlignment="1">
      <alignment/>
    </xf>
    <xf numFmtId="0" fontId="5" fillId="0" borderId="14" xfId="0" applyFont="1" applyFill="1" applyBorder="1" applyAlignment="1">
      <alignment/>
    </xf>
    <xf numFmtId="178" fontId="7" fillId="33" borderId="28" xfId="48" applyNumberFormat="1" applyFont="1" applyFill="1" applyBorder="1" applyAlignment="1">
      <alignment horizontal="left"/>
    </xf>
    <xf numFmtId="178" fontId="5" fillId="33" borderId="49" xfId="48" applyNumberFormat="1" applyFont="1" applyFill="1" applyBorder="1" applyAlignment="1">
      <alignment horizontal="center"/>
    </xf>
    <xf numFmtId="178" fontId="5" fillId="33" borderId="51" xfId="48" applyNumberFormat="1" applyFont="1" applyFill="1" applyBorder="1" applyAlignment="1">
      <alignment horizontal="center"/>
    </xf>
    <xf numFmtId="178" fontId="7" fillId="33" borderId="25" xfId="48" applyNumberFormat="1" applyFont="1" applyFill="1" applyBorder="1" applyAlignment="1">
      <alignment horizontal="center"/>
    </xf>
    <xf numFmtId="178" fontId="7" fillId="33" borderId="0" xfId="48" applyNumberFormat="1" applyFont="1" applyFill="1" applyBorder="1" applyAlignment="1">
      <alignment horizontal="center"/>
    </xf>
    <xf numFmtId="178" fontId="5" fillId="33" borderId="14" xfId="48" applyNumberFormat="1" applyFont="1" applyFill="1" applyBorder="1" applyAlignment="1">
      <alignment/>
    </xf>
    <xf numFmtId="0" fontId="21" fillId="0" borderId="0" xfId="0" applyFont="1" applyFill="1" applyAlignment="1">
      <alignment/>
    </xf>
    <xf numFmtId="178" fontId="5" fillId="33" borderId="52" xfId="0" applyNumberFormat="1" applyFont="1" applyFill="1" applyBorder="1" applyAlignment="1">
      <alignment/>
    </xf>
    <xf numFmtId="178" fontId="7" fillId="33" borderId="53" xfId="48" applyNumberFormat="1" applyFont="1" applyFill="1" applyBorder="1" applyAlignment="1">
      <alignment horizontal="center"/>
    </xf>
    <xf numFmtId="178" fontId="5" fillId="33" borderId="54" xfId="48" applyNumberFormat="1" applyFont="1" applyFill="1" applyBorder="1" applyAlignment="1">
      <alignment/>
    </xf>
    <xf numFmtId="0" fontId="8" fillId="33" borderId="42" xfId="0" applyFont="1" applyFill="1" applyBorder="1" applyAlignment="1">
      <alignment horizontal="left"/>
    </xf>
    <xf numFmtId="178" fontId="7" fillId="33" borderId="29" xfId="48" applyNumberFormat="1" applyFont="1" applyFill="1" applyBorder="1" applyAlignment="1">
      <alignment/>
    </xf>
    <xf numFmtId="178" fontId="7" fillId="33" borderId="45" xfId="48" applyNumberFormat="1" applyFont="1" applyFill="1" applyBorder="1" applyAlignment="1">
      <alignment/>
    </xf>
    <xf numFmtId="0" fontId="5" fillId="33" borderId="52" xfId="0" applyFont="1" applyFill="1" applyBorder="1" applyAlignment="1">
      <alignment/>
    </xf>
    <xf numFmtId="177" fontId="7" fillId="33" borderId="53" xfId="48" applyFont="1" applyFill="1" applyBorder="1" applyAlignment="1">
      <alignment horizontal="center"/>
    </xf>
    <xf numFmtId="177" fontId="5" fillId="33" borderId="50" xfId="48" applyFont="1" applyFill="1" applyBorder="1" applyAlignment="1">
      <alignment/>
    </xf>
    <xf numFmtId="177" fontId="7" fillId="33" borderId="29" xfId="48" applyFont="1" applyFill="1" applyBorder="1" applyAlignment="1">
      <alignment/>
    </xf>
    <xf numFmtId="177" fontId="7" fillId="33" borderId="45" xfId="48" applyFont="1" applyFill="1" applyBorder="1" applyAlignment="1">
      <alignment/>
    </xf>
    <xf numFmtId="177" fontId="5" fillId="33" borderId="54" xfId="48" applyFont="1" applyFill="1" applyBorder="1" applyAlignment="1">
      <alignment/>
    </xf>
    <xf numFmtId="177" fontId="5" fillId="33" borderId="31" xfId="48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9" fillId="33" borderId="48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center"/>
    </xf>
    <xf numFmtId="177" fontId="5" fillId="33" borderId="56" xfId="0" applyNumberFormat="1" applyFont="1" applyFill="1" applyBorder="1" applyAlignment="1">
      <alignment/>
    </xf>
    <xf numFmtId="177" fontId="5" fillId="33" borderId="53" xfId="48" applyFont="1" applyFill="1" applyBorder="1" applyAlignment="1">
      <alignment/>
    </xf>
    <xf numFmtId="177" fontId="5" fillId="33" borderId="54" xfId="48" applyFont="1" applyFill="1" applyBorder="1" applyAlignment="1">
      <alignment/>
    </xf>
    <xf numFmtId="0" fontId="8" fillId="33" borderId="30" xfId="0" applyFont="1" applyFill="1" applyBorder="1" applyAlignment="1">
      <alignment horizontal="left"/>
    </xf>
    <xf numFmtId="177" fontId="7" fillId="33" borderId="31" xfId="48" applyFont="1" applyFill="1" applyBorder="1" applyAlignment="1">
      <alignment/>
    </xf>
    <xf numFmtId="0" fontId="8" fillId="33" borderId="30" xfId="0" applyFont="1" applyFill="1" applyBorder="1" applyAlignment="1">
      <alignment horizontal="left"/>
    </xf>
    <xf numFmtId="177" fontId="5" fillId="33" borderId="56" xfId="48" applyFont="1" applyFill="1" applyBorder="1" applyAlignment="1">
      <alignment/>
    </xf>
    <xf numFmtId="177" fontId="5" fillId="33" borderId="30" xfId="48" applyFont="1" applyFill="1" applyBorder="1" applyAlignment="1">
      <alignment horizontal="left"/>
    </xf>
    <xf numFmtId="177" fontId="5" fillId="33" borderId="57" xfId="48" applyFont="1" applyFill="1" applyBorder="1" applyAlignment="1">
      <alignment horizontal="left"/>
    </xf>
    <xf numFmtId="177" fontId="5" fillId="33" borderId="58" xfId="48" applyFont="1" applyFill="1" applyBorder="1" applyAlignment="1">
      <alignment/>
    </xf>
    <xf numFmtId="0" fontId="10" fillId="33" borderId="42" xfId="0" applyFont="1" applyFill="1" applyBorder="1" applyAlignment="1">
      <alignment horizontal="left"/>
    </xf>
    <xf numFmtId="177" fontId="7" fillId="33" borderId="59" xfId="48" applyFont="1" applyFill="1" applyBorder="1" applyAlignment="1">
      <alignment/>
    </xf>
    <xf numFmtId="0" fontId="6" fillId="33" borderId="46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/>
    </xf>
    <xf numFmtId="0" fontId="12" fillId="33" borderId="30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42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8" fillId="33" borderId="42" xfId="0" applyFont="1" applyFill="1" applyBorder="1" applyAlignment="1">
      <alignment horizontal="left"/>
    </xf>
    <xf numFmtId="177" fontId="7" fillId="33" borderId="59" xfId="0" applyNumberFormat="1" applyFont="1" applyFill="1" applyBorder="1" applyAlignment="1">
      <alignment/>
    </xf>
    <xf numFmtId="177" fontId="7" fillId="33" borderId="45" xfId="0" applyNumberFormat="1" applyFont="1" applyFill="1" applyBorder="1" applyAlignment="1">
      <alignment/>
    </xf>
    <xf numFmtId="0" fontId="6" fillId="33" borderId="49" xfId="0" applyFont="1" applyFill="1" applyBorder="1" applyAlignment="1">
      <alignment horizontal="left"/>
    </xf>
    <xf numFmtId="0" fontId="9" fillId="33" borderId="60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7" fontId="5" fillId="33" borderId="53" xfId="48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left"/>
    </xf>
    <xf numFmtId="177" fontId="7" fillId="33" borderId="29" xfId="0" applyNumberFormat="1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0" fontId="9" fillId="33" borderId="46" xfId="0" applyFont="1" applyFill="1" applyBorder="1" applyAlignment="1">
      <alignment horizontal="center"/>
    </xf>
    <xf numFmtId="0" fontId="7" fillId="33" borderId="42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4" fontId="7" fillId="33" borderId="29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4" fontId="7" fillId="33" borderId="45" xfId="0" applyNumberFormat="1" applyFont="1" applyFill="1" applyBorder="1" applyAlignment="1">
      <alignment/>
    </xf>
    <xf numFmtId="0" fontId="9" fillId="33" borderId="46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5" fillId="33" borderId="61" xfId="0" applyFont="1" applyFill="1" applyBorder="1" applyAlignment="1">
      <alignment/>
    </xf>
    <xf numFmtId="2" fontId="5" fillId="33" borderId="56" xfId="0" applyNumberFormat="1" applyFont="1" applyFill="1" applyBorder="1" applyAlignment="1">
      <alignment/>
    </xf>
    <xf numFmtId="0" fontId="5" fillId="33" borderId="62" xfId="0" applyFont="1" applyFill="1" applyBorder="1" applyAlignment="1">
      <alignment horizontal="center"/>
    </xf>
    <xf numFmtId="2" fontId="5" fillId="33" borderId="63" xfId="0" applyNumberFormat="1" applyFont="1" applyFill="1" applyBorder="1" applyAlignment="1">
      <alignment/>
    </xf>
    <xf numFmtId="0" fontId="15" fillId="33" borderId="46" xfId="0" applyFont="1" applyFill="1" applyBorder="1" applyAlignment="1">
      <alignment horizontal="left"/>
    </xf>
    <xf numFmtId="0" fontId="15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left"/>
    </xf>
    <xf numFmtId="3" fontId="5" fillId="33" borderId="52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/>
    </xf>
    <xf numFmtId="3" fontId="5" fillId="33" borderId="45" xfId="0" applyNumberFormat="1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178" fontId="7" fillId="33" borderId="31" xfId="48" applyNumberFormat="1" applyFont="1" applyFill="1" applyBorder="1" applyAlignment="1">
      <alignment horizontal="right"/>
    </xf>
    <xf numFmtId="0" fontId="8" fillId="33" borderId="30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left"/>
    </xf>
    <xf numFmtId="0" fontId="10" fillId="33" borderId="49" xfId="0" applyFont="1" applyFill="1" applyBorder="1" applyAlignment="1">
      <alignment horizontal="left"/>
    </xf>
    <xf numFmtId="0" fontId="0" fillId="34" borderId="43" xfId="0" applyFill="1" applyBorder="1" applyAlignment="1">
      <alignment/>
    </xf>
    <xf numFmtId="177" fontId="10" fillId="33" borderId="60" xfId="48" applyFont="1" applyFill="1" applyBorder="1" applyAlignment="1">
      <alignment/>
    </xf>
    <xf numFmtId="0" fontId="0" fillId="0" borderId="0" xfId="0" applyBorder="1" applyAlignment="1">
      <alignment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177" fontId="0" fillId="34" borderId="0" xfId="48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 horizontal="center"/>
    </xf>
    <xf numFmtId="0" fontId="0" fillId="34" borderId="68" xfId="0" applyFill="1" applyBorder="1" applyAlignment="1">
      <alignment/>
    </xf>
    <xf numFmtId="0" fontId="0" fillId="34" borderId="69" xfId="0" applyFill="1" applyBorder="1" applyAlignment="1">
      <alignment/>
    </xf>
    <xf numFmtId="4" fontId="0" fillId="34" borderId="69" xfId="0" applyNumberFormat="1" applyFill="1" applyBorder="1" applyAlignment="1">
      <alignment horizontal="center"/>
    </xf>
    <xf numFmtId="0" fontId="0" fillId="34" borderId="70" xfId="0" applyFill="1" applyBorder="1" applyAlignment="1">
      <alignment/>
    </xf>
    <xf numFmtId="0" fontId="31" fillId="34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177" fontId="1" fillId="34" borderId="0" xfId="0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vertical="center" wrapText="1"/>
    </xf>
    <xf numFmtId="178" fontId="1" fillId="34" borderId="0" xfId="48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right" vertical="center" wrapText="1"/>
    </xf>
    <xf numFmtId="0" fontId="1" fillId="34" borderId="30" xfId="0" applyFont="1" applyFill="1" applyBorder="1" applyAlignment="1">
      <alignment wrapText="1"/>
    </xf>
    <xf numFmtId="0" fontId="0" fillId="34" borderId="0" xfId="0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left"/>
    </xf>
    <xf numFmtId="0" fontId="31" fillId="34" borderId="43" xfId="0" applyFont="1" applyFill="1" applyBorder="1" applyAlignment="1">
      <alignment/>
    </xf>
    <xf numFmtId="177" fontId="8" fillId="33" borderId="60" xfId="48" applyFont="1" applyFill="1" applyBorder="1" applyAlignment="1">
      <alignment/>
    </xf>
    <xf numFmtId="177" fontId="8" fillId="33" borderId="51" xfId="48" applyFont="1" applyFill="1" applyBorder="1" applyAlignment="1">
      <alignment/>
    </xf>
    <xf numFmtId="0" fontId="33" fillId="33" borderId="49" xfId="0" applyFont="1" applyFill="1" applyBorder="1" applyAlignment="1">
      <alignment horizontal="left"/>
    </xf>
    <xf numFmtId="0" fontId="34" fillId="34" borderId="43" xfId="0" applyFont="1" applyFill="1" applyBorder="1" applyAlignment="1">
      <alignment/>
    </xf>
    <xf numFmtId="177" fontId="33" fillId="33" borderId="60" xfId="48" applyFont="1" applyFill="1" applyBorder="1" applyAlignment="1">
      <alignment/>
    </xf>
    <xf numFmtId="0" fontId="2" fillId="0" borderId="0" xfId="0" applyFont="1" applyAlignment="1">
      <alignment horizontal="center"/>
    </xf>
    <xf numFmtId="0" fontId="35" fillId="34" borderId="30" xfId="0" applyFont="1" applyFill="1" applyBorder="1" applyAlignment="1">
      <alignment horizontal="center" wrapText="1"/>
    </xf>
    <xf numFmtId="0" fontId="23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24" fillId="37" borderId="0" xfId="0" applyFont="1" applyFill="1" applyAlignment="1">
      <alignment/>
    </xf>
    <xf numFmtId="0" fontId="22" fillId="37" borderId="0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left"/>
    </xf>
    <xf numFmtId="0" fontId="25" fillId="37" borderId="0" xfId="0" applyFont="1" applyFill="1" applyAlignment="1">
      <alignment/>
    </xf>
    <xf numFmtId="0" fontId="23" fillId="0" borderId="0" xfId="0" applyFont="1" applyFill="1" applyAlignment="1">
      <alignment/>
    </xf>
    <xf numFmtId="0" fontId="36" fillId="37" borderId="0" xfId="0" applyFont="1" applyFill="1" applyAlignment="1">
      <alignment/>
    </xf>
    <xf numFmtId="0" fontId="23" fillId="37" borderId="0" xfId="0" applyFont="1" applyFill="1" applyAlignment="1">
      <alignment horizontal="center"/>
    </xf>
    <xf numFmtId="177" fontId="23" fillId="35" borderId="0" xfId="0" applyNumberFormat="1" applyFont="1" applyFill="1" applyAlignment="1">
      <alignment horizontal="center"/>
    </xf>
    <xf numFmtId="0" fontId="22" fillId="38" borderId="33" xfId="0" applyFont="1" applyFill="1" applyBorder="1" applyAlignment="1">
      <alignment/>
    </xf>
    <xf numFmtId="0" fontId="23" fillId="38" borderId="48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177" fontId="3" fillId="34" borderId="0" xfId="0" applyNumberFormat="1" applyFont="1" applyFill="1" applyBorder="1" applyAlignment="1">
      <alignment horizontal="center"/>
    </xf>
    <xf numFmtId="177" fontId="8" fillId="34" borderId="71" xfId="48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77" fontId="23" fillId="37" borderId="72" xfId="48" applyFont="1" applyFill="1" applyBorder="1" applyAlignment="1">
      <alignment horizontal="center"/>
    </xf>
    <xf numFmtId="0" fontId="20" fillId="34" borderId="73" xfId="0" applyFont="1" applyFill="1" applyBorder="1" applyAlignment="1">
      <alignment/>
    </xf>
    <xf numFmtId="0" fontId="22" fillId="38" borderId="47" xfId="0" applyFont="1" applyFill="1" applyBorder="1" applyAlignment="1">
      <alignment horizontal="center"/>
    </xf>
    <xf numFmtId="0" fontId="22" fillId="38" borderId="46" xfId="0" applyFont="1" applyFill="1" applyBorder="1" applyAlignment="1">
      <alignment horizontal="center"/>
    </xf>
    <xf numFmtId="0" fontId="22" fillId="38" borderId="46" xfId="0" applyFont="1" applyFill="1" applyBorder="1" applyAlignment="1">
      <alignment horizontal="left"/>
    </xf>
    <xf numFmtId="0" fontId="23" fillId="38" borderId="33" xfId="0" applyFont="1" applyFill="1" applyBorder="1" applyAlignment="1">
      <alignment/>
    </xf>
    <xf numFmtId="0" fontId="22" fillId="38" borderId="28" xfId="0" applyFont="1" applyFill="1" applyBorder="1" applyAlignment="1">
      <alignment horizontal="center"/>
    </xf>
    <xf numFmtId="0" fontId="22" fillId="38" borderId="49" xfId="0" applyFont="1" applyFill="1" applyBorder="1" applyAlignment="1">
      <alignment horizontal="left"/>
    </xf>
    <xf numFmtId="0" fontId="22" fillId="38" borderId="51" xfId="0" applyFont="1" applyFill="1" applyBorder="1" applyAlignment="1">
      <alignment horizontal="right"/>
    </xf>
    <xf numFmtId="178" fontId="22" fillId="37" borderId="28" xfId="0" applyNumberFormat="1" applyFont="1" applyFill="1" applyBorder="1" applyAlignment="1">
      <alignment/>
    </xf>
    <xf numFmtId="177" fontId="22" fillId="37" borderId="28" xfId="0" applyNumberFormat="1" applyFont="1" applyFill="1" applyBorder="1" applyAlignment="1">
      <alignment/>
    </xf>
    <xf numFmtId="0" fontId="26" fillId="37" borderId="46" xfId="0" applyFont="1" applyFill="1" applyBorder="1" applyAlignment="1">
      <alignment/>
    </xf>
    <xf numFmtId="0" fontId="26" fillId="37" borderId="42" xfId="0" applyFont="1" applyFill="1" applyBorder="1" applyAlignment="1">
      <alignment/>
    </xf>
    <xf numFmtId="0" fontId="24" fillId="37" borderId="46" xfId="0" applyFont="1" applyFill="1" applyBorder="1" applyAlignment="1">
      <alignment horizontal="center"/>
    </xf>
    <xf numFmtId="0" fontId="24" fillId="37" borderId="30" xfId="0" applyFont="1" applyFill="1" applyBorder="1" applyAlignment="1">
      <alignment horizontal="center"/>
    </xf>
    <xf numFmtId="0" fontId="24" fillId="37" borderId="42" xfId="0" applyFont="1" applyFill="1" applyBorder="1" applyAlignment="1">
      <alignment horizontal="center"/>
    </xf>
    <xf numFmtId="0" fontId="37" fillId="37" borderId="46" xfId="0" applyFont="1" applyFill="1" applyBorder="1" applyAlignment="1">
      <alignment horizontal="center"/>
    </xf>
    <xf numFmtId="0" fontId="37" fillId="37" borderId="42" xfId="0" applyFont="1" applyFill="1" applyBorder="1" applyAlignment="1">
      <alignment horizontal="center"/>
    </xf>
    <xf numFmtId="178" fontId="0" fillId="33" borderId="28" xfId="48" applyNumberFormat="1" applyFont="1" applyFill="1" applyBorder="1" applyAlignment="1">
      <alignment/>
    </xf>
    <xf numFmtId="181" fontId="0" fillId="33" borderId="28" xfId="5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9" fontId="0" fillId="34" borderId="74" xfId="54" applyNumberFormat="1" applyFont="1" applyFill="1" applyBorder="1" applyAlignment="1">
      <alignment horizontal="center"/>
    </xf>
    <xf numFmtId="179" fontId="0" fillId="34" borderId="75" xfId="54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29" fillId="33" borderId="76" xfId="0" applyFont="1" applyFill="1" applyBorder="1" applyAlignment="1">
      <alignment horizontal="left"/>
    </xf>
    <xf numFmtId="0" fontId="32" fillId="33" borderId="77" xfId="0" applyFont="1" applyFill="1" applyBorder="1" applyAlignment="1">
      <alignment horizontal="center"/>
    </xf>
    <xf numFmtId="178" fontId="5" fillId="33" borderId="78" xfId="48" applyNumberFormat="1" applyFont="1" applyFill="1" applyBorder="1" applyAlignment="1">
      <alignment horizontal="center"/>
    </xf>
    <xf numFmtId="178" fontId="22" fillId="36" borderId="79" xfId="48" applyNumberFormat="1" applyFont="1" applyFill="1" applyBorder="1" applyAlignment="1">
      <alignment horizontal="center"/>
    </xf>
    <xf numFmtId="177" fontId="1" fillId="33" borderId="80" xfId="48" applyFont="1" applyFill="1" applyBorder="1" applyAlignment="1">
      <alignment horizontal="center"/>
    </xf>
    <xf numFmtId="0" fontId="7" fillId="33" borderId="81" xfId="0" applyFont="1" applyFill="1" applyBorder="1" applyAlignment="1">
      <alignment horizontal="left"/>
    </xf>
    <xf numFmtId="177" fontId="5" fillId="33" borderId="82" xfId="48" applyFont="1" applyFill="1" applyBorder="1" applyAlignment="1">
      <alignment/>
    </xf>
    <xf numFmtId="0" fontId="22" fillId="36" borderId="83" xfId="0" applyFont="1" applyFill="1" applyBorder="1" applyAlignment="1">
      <alignment horizontal="left"/>
    </xf>
    <xf numFmtId="177" fontId="22" fillId="36" borderId="79" xfId="0" applyNumberFormat="1" applyFont="1" applyFill="1" applyBorder="1" applyAlignment="1">
      <alignment/>
    </xf>
    <xf numFmtId="0" fontId="1" fillId="33" borderId="84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left"/>
    </xf>
    <xf numFmtId="0" fontId="5" fillId="33" borderId="81" xfId="0" applyFont="1" applyFill="1" applyBorder="1" applyAlignment="1">
      <alignment horizontal="left"/>
    </xf>
    <xf numFmtId="4" fontId="23" fillId="36" borderId="82" xfId="0" applyNumberFormat="1" applyFont="1" applyFill="1" applyBorder="1" applyAlignment="1">
      <alignment/>
    </xf>
    <xf numFmtId="177" fontId="22" fillId="36" borderId="78" xfId="0" applyNumberFormat="1" applyFont="1" applyFill="1" applyBorder="1" applyAlignment="1">
      <alignment/>
    </xf>
    <xf numFmtId="177" fontId="23" fillId="36" borderId="79" xfId="0" applyNumberFormat="1" applyFont="1" applyFill="1" applyBorder="1" applyAlignment="1">
      <alignment/>
    </xf>
    <xf numFmtId="0" fontId="22" fillId="36" borderId="81" xfId="0" applyFont="1" applyFill="1" applyBorder="1" applyAlignment="1">
      <alignment horizontal="left"/>
    </xf>
    <xf numFmtId="177" fontId="23" fillId="36" borderId="82" xfId="48" applyFont="1" applyFill="1" applyBorder="1" applyAlignment="1">
      <alignment/>
    </xf>
    <xf numFmtId="0" fontId="43" fillId="33" borderId="87" xfId="0" applyFont="1" applyFill="1" applyBorder="1" applyAlignment="1">
      <alignment horizontal="left"/>
    </xf>
    <xf numFmtId="0" fontId="17" fillId="33" borderId="88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left"/>
    </xf>
    <xf numFmtId="177" fontId="1" fillId="33" borderId="79" xfId="48" applyFont="1" applyFill="1" applyBorder="1" applyAlignment="1">
      <alignment/>
    </xf>
    <xf numFmtId="0" fontId="17" fillId="33" borderId="81" xfId="0" applyFont="1" applyFill="1" applyBorder="1" applyAlignment="1">
      <alignment horizontal="left"/>
    </xf>
    <xf numFmtId="178" fontId="16" fillId="33" borderId="82" xfId="48" applyNumberFormat="1" applyFont="1" applyFill="1" applyBorder="1" applyAlignment="1">
      <alignment/>
    </xf>
    <xf numFmtId="0" fontId="24" fillId="36" borderId="83" xfId="0" applyFont="1" applyFill="1" applyBorder="1" applyAlignment="1">
      <alignment horizontal="left"/>
    </xf>
    <xf numFmtId="178" fontId="24" fillId="36" borderId="79" xfId="48" applyNumberFormat="1" applyFont="1" applyFill="1" applyBorder="1" applyAlignment="1">
      <alignment/>
    </xf>
    <xf numFmtId="0" fontId="17" fillId="33" borderId="87" xfId="0" applyFont="1" applyFill="1" applyBorder="1" applyAlignment="1">
      <alignment horizontal="left"/>
    </xf>
    <xf numFmtId="176" fontId="1" fillId="34" borderId="89" xfId="50" applyFont="1" applyFill="1" applyBorder="1" applyAlignment="1">
      <alignment horizontal="center"/>
    </xf>
    <xf numFmtId="178" fontId="1" fillId="34" borderId="89" xfId="48" applyNumberFormat="1" applyFont="1" applyFill="1" applyBorder="1" applyAlignment="1">
      <alignment horizontal="center"/>
    </xf>
    <xf numFmtId="179" fontId="1" fillId="34" borderId="89" xfId="54" applyNumberFormat="1" applyFont="1" applyFill="1" applyBorder="1" applyAlignment="1">
      <alignment horizontal="center"/>
    </xf>
    <xf numFmtId="179" fontId="22" fillId="35" borderId="89" xfId="54" applyNumberFormat="1" applyFont="1" applyFill="1" applyBorder="1" applyAlignment="1">
      <alignment horizontal="center"/>
    </xf>
    <xf numFmtId="0" fontId="43" fillId="33" borderId="86" xfId="0" applyFont="1" applyFill="1" applyBorder="1" applyAlignment="1">
      <alignment horizontal="left"/>
    </xf>
    <xf numFmtId="0" fontId="43" fillId="33" borderId="90" xfId="0" applyFont="1" applyFill="1" applyBorder="1" applyAlignment="1">
      <alignment horizontal="left"/>
    </xf>
    <xf numFmtId="0" fontId="17" fillId="33" borderId="91" xfId="0" applyFont="1" applyFill="1" applyBorder="1" applyAlignment="1">
      <alignment horizontal="center"/>
    </xf>
    <xf numFmtId="0" fontId="17" fillId="34" borderId="89" xfId="0" applyFont="1" applyFill="1" applyBorder="1" applyAlignment="1">
      <alignment/>
    </xf>
    <xf numFmtId="0" fontId="44" fillId="34" borderId="92" xfId="0" applyFont="1" applyFill="1" applyBorder="1" applyAlignment="1">
      <alignment horizontal="center"/>
    </xf>
    <xf numFmtId="0" fontId="19" fillId="0" borderId="0" xfId="0" applyFont="1" applyAlignment="1">
      <alignment/>
    </xf>
    <xf numFmtId="177" fontId="20" fillId="34" borderId="93" xfId="0" applyNumberFormat="1" applyFont="1" applyFill="1" applyBorder="1" applyAlignment="1">
      <alignment/>
    </xf>
    <xf numFmtId="178" fontId="19" fillId="33" borderId="0" xfId="48" applyNumberFormat="1" applyFont="1" applyFill="1" applyBorder="1" applyAlignment="1">
      <alignment/>
    </xf>
    <xf numFmtId="177" fontId="19" fillId="33" borderId="0" xfId="48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9" fontId="9" fillId="33" borderId="23" xfId="0" applyNumberFormat="1" applyFont="1" applyFill="1" applyBorder="1" applyAlignment="1">
      <alignment horizontal="left"/>
    </xf>
    <xf numFmtId="3" fontId="5" fillId="33" borderId="37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7" fillId="33" borderId="41" xfId="0" applyNumberFormat="1" applyFont="1" applyFill="1" applyBorder="1" applyAlignment="1">
      <alignment/>
    </xf>
    <xf numFmtId="3" fontId="7" fillId="33" borderId="4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77" fontId="5" fillId="33" borderId="0" xfId="48" applyFont="1" applyFill="1" applyBorder="1" applyAlignment="1">
      <alignment/>
    </xf>
    <xf numFmtId="177" fontId="7" fillId="33" borderId="0" xfId="48" applyFont="1" applyFill="1" applyBorder="1" applyAlignment="1">
      <alignment/>
    </xf>
    <xf numFmtId="178" fontId="8" fillId="33" borderId="0" xfId="48" applyNumberFormat="1" applyFont="1" applyFill="1" applyBorder="1" applyAlignment="1">
      <alignment/>
    </xf>
    <xf numFmtId="0" fontId="1" fillId="34" borderId="23" xfId="0" applyFont="1" applyFill="1" applyBorder="1" applyAlignment="1">
      <alignment horizontal="center" wrapText="1"/>
    </xf>
    <xf numFmtId="172" fontId="22" fillId="37" borderId="94" xfId="0" applyNumberFormat="1" applyFont="1" applyFill="1" applyBorder="1" applyAlignment="1">
      <alignment horizontal="center" wrapText="1"/>
    </xf>
    <xf numFmtId="0" fontId="0" fillId="34" borderId="57" xfId="0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9" fontId="22" fillId="37" borderId="95" xfId="0" applyNumberFormat="1" applyFont="1" applyFill="1" applyBorder="1" applyAlignment="1">
      <alignment horizontal="center" wrapText="1"/>
    </xf>
    <xf numFmtId="0" fontId="0" fillId="0" borderId="96" xfId="0" applyBorder="1" applyAlignment="1">
      <alignment/>
    </xf>
    <xf numFmtId="0" fontId="24" fillId="37" borderId="94" xfId="0" applyFont="1" applyFill="1" applyBorder="1" applyAlignment="1">
      <alignment horizontal="right" wrapText="1"/>
    </xf>
    <xf numFmtId="0" fontId="22" fillId="34" borderId="97" xfId="0" applyFont="1" applyFill="1" applyBorder="1" applyAlignment="1">
      <alignment wrapText="1"/>
    </xf>
    <xf numFmtId="0" fontId="0" fillId="0" borderId="13" xfId="0" applyBorder="1" applyAlignment="1">
      <alignment/>
    </xf>
    <xf numFmtId="0" fontId="1" fillId="34" borderId="49" xfId="0" applyFont="1" applyFill="1" applyBorder="1" applyAlignment="1">
      <alignment horizontal="center" wrapText="1"/>
    </xf>
    <xf numFmtId="178" fontId="0" fillId="34" borderId="51" xfId="48" applyNumberFormat="1" applyFont="1" applyFill="1" applyBorder="1" applyAlignment="1">
      <alignment horizontal="center" wrapText="1"/>
    </xf>
    <xf numFmtId="0" fontId="22" fillId="37" borderId="49" xfId="0" applyFont="1" applyFill="1" applyBorder="1" applyAlignment="1">
      <alignment horizontal="center" wrapText="1"/>
    </xf>
    <xf numFmtId="178" fontId="23" fillId="37" borderId="51" xfId="48" applyNumberFormat="1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180" fontId="22" fillId="38" borderId="38" xfId="0" applyNumberFormat="1" applyFont="1" applyFill="1" applyBorder="1" applyAlignment="1" applyProtection="1">
      <alignment/>
      <protection/>
    </xf>
    <xf numFmtId="180" fontId="22" fillId="38" borderId="44" xfId="0" applyNumberFormat="1" applyFont="1" applyFill="1" applyBorder="1" applyAlignment="1" applyProtection="1">
      <alignment/>
      <protection/>
    </xf>
    <xf numFmtId="0" fontId="23" fillId="38" borderId="0" xfId="0" applyFont="1" applyFill="1" applyBorder="1" applyAlignment="1">
      <alignment/>
    </xf>
    <xf numFmtId="0" fontId="0" fillId="34" borderId="98" xfId="0" applyFill="1" applyBorder="1" applyAlignment="1">
      <alignment/>
    </xf>
    <xf numFmtId="0" fontId="0" fillId="34" borderId="99" xfId="0" applyFill="1" applyBorder="1" applyAlignment="1">
      <alignment/>
    </xf>
    <xf numFmtId="177" fontId="8" fillId="34" borderId="100" xfId="48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177" fontId="8" fillId="34" borderId="101" xfId="48" applyFont="1" applyFill="1" applyBorder="1" applyAlignment="1">
      <alignment horizontal="center"/>
    </xf>
    <xf numFmtId="0" fontId="0" fillId="34" borderId="102" xfId="0" applyFont="1" applyFill="1" applyBorder="1" applyAlignment="1">
      <alignment/>
    </xf>
    <xf numFmtId="177" fontId="46" fillId="34" borderId="103" xfId="48" applyFont="1" applyFill="1" applyBorder="1" applyAlignment="1">
      <alignment/>
    </xf>
    <xf numFmtId="177" fontId="46" fillId="34" borderId="22" xfId="48" applyFont="1" applyFill="1" applyBorder="1" applyAlignment="1">
      <alignment/>
    </xf>
    <xf numFmtId="178" fontId="23" fillId="35" borderId="0" xfId="48" applyNumberFormat="1" applyFont="1" applyFill="1" applyAlignment="1">
      <alignment horizontal="center"/>
    </xf>
    <xf numFmtId="10" fontId="22" fillId="38" borderId="44" xfId="0" applyNumberFormat="1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177" fontId="5" fillId="33" borderId="17" xfId="48" applyFont="1" applyFill="1" applyBorder="1" applyAlignment="1">
      <alignment/>
    </xf>
    <xf numFmtId="177" fontId="5" fillId="33" borderId="47" xfId="48" applyFont="1" applyFill="1" applyBorder="1" applyAlignment="1">
      <alignment/>
    </xf>
    <xf numFmtId="177" fontId="7" fillId="33" borderId="37" xfId="48" applyFont="1" applyFill="1" applyBorder="1" applyAlignment="1">
      <alignment/>
    </xf>
    <xf numFmtId="177" fontId="7" fillId="33" borderId="41" xfId="48" applyFont="1" applyFill="1" applyBorder="1" applyAlignment="1">
      <alignment/>
    </xf>
    <xf numFmtId="177" fontId="5" fillId="33" borderId="18" xfId="48" applyFont="1" applyFill="1" applyBorder="1" applyAlignment="1">
      <alignment/>
    </xf>
    <xf numFmtId="177" fontId="5" fillId="33" borderId="52" xfId="48" applyFont="1" applyFill="1" applyBorder="1" applyAlignment="1">
      <alignment/>
    </xf>
    <xf numFmtId="0" fontId="0" fillId="34" borderId="0" xfId="0" applyFill="1" applyAlignment="1">
      <alignment/>
    </xf>
    <xf numFmtId="0" fontId="20" fillId="33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27" fillId="34" borderId="93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176" fontId="0" fillId="33" borderId="28" xfId="50" applyNumberFormat="1" applyFont="1" applyFill="1" applyBorder="1" applyAlignment="1">
      <alignment/>
    </xf>
    <xf numFmtId="0" fontId="1" fillId="33" borderId="104" xfId="0" applyFont="1" applyFill="1" applyBorder="1" applyAlignment="1">
      <alignment horizontal="center"/>
    </xf>
    <xf numFmtId="0" fontId="42" fillId="33" borderId="87" xfId="0" applyFont="1" applyFill="1" applyBorder="1" applyAlignment="1">
      <alignment horizontal="center"/>
    </xf>
    <xf numFmtId="0" fontId="42" fillId="33" borderId="104" xfId="0" applyFont="1" applyFill="1" applyBorder="1" applyAlignment="1">
      <alignment horizontal="center"/>
    </xf>
    <xf numFmtId="0" fontId="42" fillId="33" borderId="92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176" fontId="5" fillId="33" borderId="28" xfId="50" applyFont="1" applyFill="1" applyBorder="1" applyAlignment="1">
      <alignment horizontal="right"/>
    </xf>
    <xf numFmtId="0" fontId="23" fillId="35" borderId="0" xfId="0" applyFont="1" applyFill="1" applyAlignment="1">
      <alignment/>
    </xf>
    <xf numFmtId="3" fontId="23" fillId="35" borderId="0" xfId="0" applyNumberFormat="1" applyFont="1" applyFill="1" applyAlignment="1">
      <alignment/>
    </xf>
    <xf numFmtId="178" fontId="0" fillId="34" borderId="28" xfId="48" applyNumberFormat="1" applyFont="1" applyFill="1" applyBorder="1" applyAlignment="1">
      <alignment horizontal="center"/>
    </xf>
    <xf numFmtId="178" fontId="0" fillId="34" borderId="28" xfId="0" applyNumberFormat="1" applyFill="1" applyBorder="1" applyAlignment="1">
      <alignment horizontal="center"/>
    </xf>
    <xf numFmtId="0" fontId="1" fillId="39" borderId="30" xfId="0" applyFont="1" applyFill="1" applyBorder="1" applyAlignment="1">
      <alignment/>
    </xf>
    <xf numFmtId="178" fontId="0" fillId="39" borderId="0" xfId="0" applyNumberFormat="1" applyFill="1" applyBorder="1" applyAlignment="1">
      <alignment/>
    </xf>
    <xf numFmtId="2" fontId="0" fillId="34" borderId="28" xfId="0" applyNumberFormat="1" applyFill="1" applyBorder="1" applyAlignment="1">
      <alignment horizontal="center"/>
    </xf>
    <xf numFmtId="183" fontId="22" fillId="37" borderId="28" xfId="50" applyNumberFormat="1" applyFont="1" applyFill="1" applyBorder="1" applyAlignment="1">
      <alignment/>
    </xf>
    <xf numFmtId="0" fontId="50" fillId="33" borderId="46" xfId="0" applyFont="1" applyFill="1" applyBorder="1" applyAlignment="1">
      <alignment/>
    </xf>
    <xf numFmtId="0" fontId="50" fillId="33" borderId="33" xfId="0" applyFont="1" applyFill="1" applyBorder="1" applyAlignment="1">
      <alignment/>
    </xf>
    <xf numFmtId="0" fontId="50" fillId="33" borderId="48" xfId="0" applyFont="1" applyFill="1" applyBorder="1" applyAlignment="1">
      <alignment/>
    </xf>
    <xf numFmtId="0" fontId="50" fillId="33" borderId="3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31" xfId="0" applyFont="1" applyFill="1" applyBorder="1" applyAlignment="1">
      <alignment/>
    </xf>
    <xf numFmtId="177" fontId="50" fillId="33" borderId="0" xfId="48" applyFont="1" applyFill="1" applyBorder="1" applyAlignment="1">
      <alignment/>
    </xf>
    <xf numFmtId="0" fontId="50" fillId="33" borderId="38" xfId="0" applyFont="1" applyFill="1" applyBorder="1" applyAlignment="1">
      <alignment/>
    </xf>
    <xf numFmtId="10" fontId="49" fillId="38" borderId="28" xfId="54" applyNumberFormat="1" applyFont="1" applyFill="1" applyBorder="1" applyAlignment="1">
      <alignment/>
    </xf>
    <xf numFmtId="0" fontId="49" fillId="38" borderId="28" xfId="0" applyFont="1" applyFill="1" applyBorder="1" applyAlignment="1">
      <alignment/>
    </xf>
    <xf numFmtId="182" fontId="50" fillId="33" borderId="0" xfId="50" applyNumberFormat="1" applyFont="1" applyFill="1" applyBorder="1" applyAlignment="1">
      <alignment/>
    </xf>
    <xf numFmtId="182" fontId="50" fillId="33" borderId="0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 horizontal="right"/>
    </xf>
    <xf numFmtId="0" fontId="23" fillId="37" borderId="0" xfId="0" applyFont="1" applyFill="1" applyAlignment="1">
      <alignment horizontal="center"/>
    </xf>
    <xf numFmtId="0" fontId="23" fillId="37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1" fillId="34" borderId="33" xfId="0" applyFont="1" applyFill="1" applyBorder="1" applyAlignment="1">
      <alignment/>
    </xf>
    <xf numFmtId="0" fontId="22" fillId="37" borderId="28" xfId="0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/>
    </xf>
    <xf numFmtId="0" fontId="0" fillId="34" borderId="28" xfId="0" applyFill="1" applyBorder="1" applyAlignment="1">
      <alignment/>
    </xf>
    <xf numFmtId="2" fontId="0" fillId="34" borderId="28" xfId="0" applyNumberFormat="1" applyFill="1" applyBorder="1" applyAlignment="1">
      <alignment/>
    </xf>
    <xf numFmtId="1" fontId="0" fillId="34" borderId="28" xfId="0" applyNumberFormat="1" applyFill="1" applyBorder="1" applyAlignment="1">
      <alignment/>
    </xf>
    <xf numFmtId="0" fontId="22" fillId="37" borderId="28" xfId="0" applyFont="1" applyFill="1" applyBorder="1" applyAlignment="1">
      <alignment/>
    </xf>
    <xf numFmtId="2" fontId="22" fillId="37" borderId="28" xfId="0" applyNumberFormat="1" applyFont="1" applyFill="1" applyBorder="1" applyAlignment="1">
      <alignment/>
    </xf>
    <xf numFmtId="0" fontId="1" fillId="40" borderId="28" xfId="0" applyFont="1" applyFill="1" applyBorder="1" applyAlignment="1">
      <alignment horizontal="center" vertical="center" wrapText="1"/>
    </xf>
    <xf numFmtId="0" fontId="51" fillId="37" borderId="28" xfId="0" applyFont="1" applyFill="1" applyBorder="1" applyAlignment="1">
      <alignment horizontal="center"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0" fontId="50" fillId="33" borderId="49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3" fillId="37" borderId="28" xfId="0" applyFont="1" applyFill="1" applyBorder="1" applyAlignment="1">
      <alignment/>
    </xf>
    <xf numFmtId="0" fontId="51" fillId="37" borderId="28" xfId="0" applyFont="1" applyFill="1" applyBorder="1" applyAlignment="1">
      <alignment horizontal="center"/>
    </xf>
    <xf numFmtId="0" fontId="51" fillId="37" borderId="28" xfId="0" applyFont="1" applyFill="1" applyBorder="1" applyAlignment="1">
      <alignment/>
    </xf>
    <xf numFmtId="178" fontId="54" fillId="34" borderId="28" xfId="0" applyNumberFormat="1" applyFont="1" applyFill="1" applyBorder="1" applyAlignment="1">
      <alignment horizontal="right"/>
    </xf>
    <xf numFmtId="178" fontId="51" fillId="41" borderId="28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7" fillId="33" borderId="83" xfId="0" applyFont="1" applyFill="1" applyBorder="1" applyAlignment="1">
      <alignment horizontal="left"/>
    </xf>
    <xf numFmtId="0" fontId="7" fillId="33" borderId="81" xfId="0" applyFont="1" applyFill="1" applyBorder="1" applyAlignment="1">
      <alignment horizontal="left"/>
    </xf>
    <xf numFmtId="177" fontId="0" fillId="0" borderId="0" xfId="0" applyNumberFormat="1" applyFont="1" applyAlignment="1">
      <alignment/>
    </xf>
    <xf numFmtId="0" fontId="0" fillId="42" borderId="0" xfId="0" applyFont="1" applyFill="1" applyAlignment="1">
      <alignment/>
    </xf>
    <xf numFmtId="0" fontId="107" fillId="43" borderId="0" xfId="0" applyFont="1" applyFill="1" applyAlignment="1">
      <alignment/>
    </xf>
    <xf numFmtId="0" fontId="108" fillId="43" borderId="0" xfId="0" applyFont="1" applyFill="1" applyAlignment="1">
      <alignment/>
    </xf>
    <xf numFmtId="0" fontId="109" fillId="44" borderId="105" xfId="0" applyFont="1" applyFill="1" applyBorder="1" applyAlignment="1">
      <alignment/>
    </xf>
    <xf numFmtId="0" fontId="109" fillId="44" borderId="30" xfId="0" applyFont="1" applyFill="1" applyBorder="1" applyAlignment="1">
      <alignment/>
    </xf>
    <xf numFmtId="0" fontId="109" fillId="44" borderId="106" xfId="0" applyFont="1" applyFill="1" applyBorder="1" applyAlignment="1">
      <alignment/>
    </xf>
    <xf numFmtId="0" fontId="109" fillId="44" borderId="107" xfId="0" applyFont="1" applyFill="1" applyBorder="1" applyAlignment="1">
      <alignment/>
    </xf>
    <xf numFmtId="0" fontId="109" fillId="44" borderId="38" xfId="0" applyFont="1" applyFill="1" applyBorder="1" applyAlignment="1">
      <alignment/>
    </xf>
    <xf numFmtId="0" fontId="109" fillId="44" borderId="108" xfId="0" applyFont="1" applyFill="1" applyBorder="1" applyAlignment="1">
      <alignment/>
    </xf>
    <xf numFmtId="0" fontId="110" fillId="43" borderId="0" xfId="0" applyFont="1" applyFill="1" applyAlignment="1">
      <alignment/>
    </xf>
    <xf numFmtId="0" fontId="109" fillId="44" borderId="109" xfId="0" applyFont="1" applyFill="1" applyBorder="1" applyAlignment="1">
      <alignment/>
    </xf>
    <xf numFmtId="0" fontId="109" fillId="44" borderId="110" xfId="0" applyFont="1" applyFill="1" applyBorder="1" applyAlignment="1">
      <alignment/>
    </xf>
    <xf numFmtId="0" fontId="109" fillId="44" borderId="111" xfId="0" applyFont="1" applyFill="1" applyBorder="1" applyAlignment="1">
      <alignment/>
    </xf>
    <xf numFmtId="0" fontId="111" fillId="43" borderId="0" xfId="0" applyFont="1" applyFill="1" applyAlignment="1">
      <alignment horizontal="left"/>
    </xf>
    <xf numFmtId="0" fontId="112" fillId="43" borderId="0" xfId="0" applyFont="1" applyFill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07" fillId="0" borderId="0" xfId="0" applyFont="1" applyAlignment="1">
      <alignment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179" fontId="114" fillId="43" borderId="112" xfId="0" applyNumberFormat="1" applyFont="1" applyFill="1" applyBorder="1" applyAlignment="1">
      <alignment horizontal="center"/>
    </xf>
    <xf numFmtId="0" fontId="115" fillId="43" borderId="0" xfId="0" applyFont="1" applyFill="1" applyAlignment="1">
      <alignment/>
    </xf>
    <xf numFmtId="0" fontId="114" fillId="44" borderId="0" xfId="0" applyFont="1" applyFill="1" applyBorder="1" applyAlignment="1">
      <alignment horizontal="left"/>
    </xf>
    <xf numFmtId="0" fontId="114" fillId="44" borderId="0" xfId="0" applyFont="1" applyFill="1" applyBorder="1" applyAlignment="1">
      <alignment horizontal="center"/>
    </xf>
    <xf numFmtId="0" fontId="109" fillId="44" borderId="0" xfId="0" applyFont="1" applyFill="1" applyBorder="1" applyAlignment="1">
      <alignment/>
    </xf>
    <xf numFmtId="0" fontId="113" fillId="43" borderId="0" xfId="0" applyFont="1" applyFill="1" applyAlignment="1">
      <alignment horizontal="center"/>
    </xf>
    <xf numFmtId="0" fontId="110" fillId="43" borderId="0" xfId="0" applyFont="1" applyFill="1" applyAlignment="1">
      <alignment horizontal="center"/>
    </xf>
    <xf numFmtId="0" fontId="114" fillId="43" borderId="0" xfId="0" applyFont="1" applyFill="1" applyAlignment="1">
      <alignment/>
    </xf>
    <xf numFmtId="10" fontId="22" fillId="37" borderId="94" xfId="54" applyNumberFormat="1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/>
    </xf>
    <xf numFmtId="177" fontId="5" fillId="33" borderId="58" xfId="48" applyFont="1" applyFill="1" applyBorder="1" applyAlignment="1">
      <alignment/>
    </xf>
    <xf numFmtId="0" fontId="5" fillId="33" borderId="3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center" wrapText="1"/>
    </xf>
    <xf numFmtId="10" fontId="22" fillId="37" borderId="113" xfId="54" applyNumberFormat="1" applyFont="1" applyFill="1" applyBorder="1" applyAlignment="1">
      <alignment horizontal="center" wrapText="1"/>
    </xf>
    <xf numFmtId="186" fontId="0" fillId="33" borderId="28" xfId="50" applyNumberFormat="1" applyFont="1" applyFill="1" applyBorder="1" applyAlignment="1">
      <alignment/>
    </xf>
    <xf numFmtId="0" fontId="59" fillId="0" borderId="0" xfId="0" applyFont="1" applyAlignment="1">
      <alignment horizontal="center"/>
    </xf>
    <xf numFmtId="189" fontId="5" fillId="33" borderId="56" xfId="0" applyNumberFormat="1" applyFont="1" applyFill="1" applyBorder="1" applyAlignment="1">
      <alignment/>
    </xf>
    <xf numFmtId="0" fontId="8" fillId="34" borderId="69" xfId="0" applyFont="1" applyFill="1" applyBorder="1" applyAlignment="1">
      <alignment horizontal="right"/>
    </xf>
    <xf numFmtId="177" fontId="46" fillId="34" borderId="0" xfId="48" applyFont="1" applyFill="1" applyBorder="1" applyAlignment="1">
      <alignment/>
    </xf>
    <xf numFmtId="177" fontId="46" fillId="34" borderId="67" xfId="48" applyFont="1" applyFill="1" applyBorder="1" applyAlignment="1">
      <alignment/>
    </xf>
    <xf numFmtId="177" fontId="46" fillId="34" borderId="70" xfId="48" applyFont="1" applyFill="1" applyBorder="1" applyAlignment="1">
      <alignment/>
    </xf>
    <xf numFmtId="0" fontId="20" fillId="34" borderId="66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67" xfId="0" applyFont="1" applyFill="1" applyBorder="1" applyAlignment="1">
      <alignment horizontal="center" wrapText="1"/>
    </xf>
    <xf numFmtId="177" fontId="46" fillId="34" borderId="69" xfId="48" applyFont="1" applyFill="1" applyBorder="1" applyAlignment="1">
      <alignment/>
    </xf>
    <xf numFmtId="177" fontId="107" fillId="0" borderId="0" xfId="48" applyFont="1" applyAlignment="1">
      <alignment/>
    </xf>
    <xf numFmtId="172" fontId="1" fillId="34" borderId="0" xfId="0" applyNumberFormat="1" applyFont="1" applyFill="1" applyBorder="1" applyAlignment="1">
      <alignment horizontal="center" wrapText="1"/>
    </xf>
    <xf numFmtId="0" fontId="26" fillId="43" borderId="0" xfId="0" applyFont="1" applyFill="1" applyAlignment="1">
      <alignment/>
    </xf>
    <xf numFmtId="0" fontId="23" fillId="43" borderId="0" xfId="0" applyFont="1" applyFill="1" applyAlignment="1">
      <alignment/>
    </xf>
    <xf numFmtId="179" fontId="114" fillId="37" borderId="112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" fillId="34" borderId="114" xfId="0" applyFont="1" applyFill="1" applyBorder="1" applyAlignment="1">
      <alignment horizontal="center"/>
    </xf>
    <xf numFmtId="0" fontId="1" fillId="34" borderId="115" xfId="0" applyFont="1" applyFill="1" applyBorder="1" applyAlignment="1">
      <alignment horizontal="center"/>
    </xf>
    <xf numFmtId="0" fontId="1" fillId="34" borderId="116" xfId="0" applyFont="1" applyFill="1" applyBorder="1" applyAlignment="1">
      <alignment horizontal="center"/>
    </xf>
    <xf numFmtId="0" fontId="38" fillId="38" borderId="87" xfId="0" applyFont="1" applyFill="1" applyBorder="1" applyAlignment="1">
      <alignment horizontal="center"/>
    </xf>
    <xf numFmtId="0" fontId="38" fillId="38" borderId="117" xfId="0" applyFont="1" applyFill="1" applyBorder="1" applyAlignment="1">
      <alignment horizontal="center"/>
    </xf>
    <xf numFmtId="0" fontId="38" fillId="38" borderId="88" xfId="0" applyFont="1" applyFill="1" applyBorder="1" applyAlignment="1">
      <alignment horizontal="center"/>
    </xf>
    <xf numFmtId="0" fontId="19" fillId="33" borderId="76" xfId="0" applyFont="1" applyFill="1" applyBorder="1" applyAlignment="1">
      <alignment horizontal="center"/>
    </xf>
    <xf numFmtId="0" fontId="20" fillId="34" borderId="73" xfId="0" applyFont="1" applyFill="1" applyBorder="1" applyAlignment="1">
      <alignment horizontal="center"/>
    </xf>
    <xf numFmtId="0" fontId="20" fillId="34" borderId="64" xfId="0" applyFont="1" applyFill="1" applyBorder="1" applyAlignment="1">
      <alignment horizontal="center"/>
    </xf>
    <xf numFmtId="0" fontId="20" fillId="34" borderId="65" xfId="0" applyFont="1" applyFill="1" applyBorder="1" applyAlignment="1">
      <alignment horizontal="center"/>
    </xf>
    <xf numFmtId="0" fontId="36" fillId="37" borderId="0" xfId="0" applyFont="1" applyFill="1" applyAlignment="1">
      <alignment horizontal="center"/>
    </xf>
    <xf numFmtId="0" fontId="23" fillId="37" borderId="23" xfId="0" applyFont="1" applyFill="1" applyBorder="1" applyAlignment="1">
      <alignment horizontal="center" vertical="center"/>
    </xf>
    <xf numFmtId="0" fontId="23" fillId="37" borderId="95" xfId="0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3" fillId="37" borderId="94" xfId="0" applyFont="1" applyFill="1" applyBorder="1" applyAlignment="1">
      <alignment horizontal="center" vertical="center"/>
    </xf>
    <xf numFmtId="0" fontId="23" fillId="37" borderId="102" xfId="0" applyFont="1" applyFill="1" applyBorder="1" applyAlignment="1">
      <alignment horizontal="center" vertical="center"/>
    </xf>
    <xf numFmtId="0" fontId="23" fillId="37" borderId="103" xfId="0" applyFont="1" applyFill="1" applyBorder="1" applyAlignment="1">
      <alignment horizontal="center" vertical="center"/>
    </xf>
    <xf numFmtId="0" fontId="22" fillId="37" borderId="0" xfId="0" applyFont="1" applyFill="1" applyAlignment="1">
      <alignment horizontal="left"/>
    </xf>
    <xf numFmtId="0" fontId="22" fillId="38" borderId="49" xfId="0" applyFont="1" applyFill="1" applyBorder="1" applyAlignment="1">
      <alignment horizontal="right"/>
    </xf>
    <xf numFmtId="0" fontId="22" fillId="38" borderId="51" xfId="0" applyFont="1" applyFill="1" applyBorder="1" applyAlignment="1">
      <alignment horizontal="right"/>
    </xf>
    <xf numFmtId="177" fontId="5" fillId="33" borderId="49" xfId="48" applyFont="1" applyFill="1" applyBorder="1" applyAlignment="1">
      <alignment horizontal="center"/>
    </xf>
    <xf numFmtId="177" fontId="5" fillId="33" borderId="51" xfId="48" applyFont="1" applyFill="1" applyBorder="1" applyAlignment="1">
      <alignment horizontal="center"/>
    </xf>
    <xf numFmtId="177" fontId="5" fillId="33" borderId="49" xfId="48" applyFont="1" applyFill="1" applyBorder="1" applyAlignment="1">
      <alignment/>
    </xf>
    <xf numFmtId="177" fontId="5" fillId="33" borderId="51" xfId="48" applyFont="1" applyFill="1" applyBorder="1" applyAlignment="1">
      <alignment/>
    </xf>
    <xf numFmtId="0" fontId="22" fillId="37" borderId="0" xfId="0" applyFont="1" applyFill="1" applyAlignment="1">
      <alignment horizontal="center"/>
    </xf>
    <xf numFmtId="180" fontId="22" fillId="38" borderId="30" xfId="0" applyNumberFormat="1" applyFont="1" applyFill="1" applyBorder="1" applyAlignment="1" applyProtection="1">
      <alignment horizontal="center"/>
      <protection/>
    </xf>
    <xf numFmtId="180" fontId="22" fillId="38" borderId="0" xfId="0" applyNumberFormat="1" applyFont="1" applyFill="1" applyBorder="1" applyAlignment="1" applyProtection="1">
      <alignment horizontal="center"/>
      <protection/>
    </xf>
    <xf numFmtId="180" fontId="22" fillId="38" borderId="31" xfId="0" applyNumberFormat="1" applyFont="1" applyFill="1" applyBorder="1" applyAlignment="1" applyProtection="1">
      <alignment horizontal="center"/>
      <protection/>
    </xf>
    <xf numFmtId="0" fontId="49" fillId="37" borderId="49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9" fillId="37" borderId="51" xfId="0" applyFont="1" applyFill="1" applyBorder="1" applyAlignment="1">
      <alignment horizontal="center"/>
    </xf>
    <xf numFmtId="9" fontId="22" fillId="37" borderId="33" xfId="54" applyFont="1" applyFill="1" applyBorder="1" applyAlignment="1">
      <alignment horizontal="left" wrapText="1"/>
    </xf>
    <xf numFmtId="9" fontId="22" fillId="37" borderId="118" xfId="54" applyFont="1" applyFill="1" applyBorder="1" applyAlignment="1">
      <alignment horizontal="left" wrapText="1"/>
    </xf>
    <xf numFmtId="0" fontId="22" fillId="37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PUNTO DE EQUILIBRIO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8825"/>
          <c:w val="0.851"/>
          <c:h val="0.684"/>
        </c:manualLayout>
      </c:layout>
      <c:lineChart>
        <c:grouping val="standard"/>
        <c:varyColors val="0"/>
        <c:ser>
          <c:idx val="0"/>
          <c:order val="0"/>
          <c:tx>
            <c:strRef>
              <c:f>'PUNTO DE EQUILIBRIO'!$B$5</c:f>
              <c:strCache>
                <c:ptCount val="1"/>
                <c:pt idx="0">
                  <c:v>COSTOS FIJOS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EQUILIBRIO'!$C$5:$H$5</c:f>
              <c:numCache/>
            </c:numRef>
          </c:val>
          <c:smooth val="0"/>
        </c:ser>
        <c:ser>
          <c:idx val="1"/>
          <c:order val="1"/>
          <c:tx>
            <c:strRef>
              <c:f>'PUNTO DE EQUILIBRIO'!$B$6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EQUILIBRIO'!$C$6:$H$6</c:f>
              <c:numCache/>
            </c:numRef>
          </c:val>
          <c:smooth val="0"/>
        </c:ser>
        <c:ser>
          <c:idx val="2"/>
          <c:order val="2"/>
          <c:tx>
            <c:strRef>
              <c:f>'PUNTO DE EQUILIBRIO'!$B$7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EQUILIBRIO'!$C$7:$H$7</c:f>
              <c:numCache/>
            </c:numRef>
          </c:val>
          <c:smooth val="0"/>
        </c:ser>
        <c:ser>
          <c:idx val="3"/>
          <c:order val="3"/>
          <c:tx>
            <c:strRef>
              <c:f>'PUNTO DE EQUILIBRIO'!$B$8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EQUILIBRIO'!$C$8:$H$8</c:f>
              <c:numCache/>
            </c:numRef>
          </c:val>
          <c:smooth val="0"/>
        </c:ser>
        <c:marker val="1"/>
        <c:axId val="40488005"/>
        <c:axId val="28847726"/>
      </c:lineChart>
      <c:catAx>
        <c:axId val="4048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AÑOS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PESOS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88005"/>
        <c:crossesAt val="1"/>
        <c:crossBetween val="between"/>
        <c:dispUnits/>
      </c:valAx>
      <c:spPr>
        <a:gradFill rotWithShape="1">
          <a:gsLst>
            <a:gs pos="0">
              <a:srgbClr val="33CCCC"/>
            </a:gs>
            <a:gs pos="100000">
              <a:srgbClr val="185E5E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5"/>
          <c:y val="0.8105"/>
          <c:w val="0.198"/>
          <c:h val="0.1895"/>
        </c:manualLayout>
      </c:layout>
      <c:overlay val="0"/>
      <c:spPr>
        <a:gradFill rotWithShape="1">
          <a:gsLst>
            <a:gs pos="0">
              <a:srgbClr val="767676"/>
            </a:gs>
            <a:gs pos="50000">
              <a:srgbClr val="FFFFFF"/>
            </a:gs>
            <a:gs pos="100000">
              <a:srgbClr val="7676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FLUJO NETO DEL PROYECTO</a:t>
            </a:r>
          </a:p>
        </c:rich>
      </c:tx>
      <c:layout>
        <c:manualLayout>
          <c:xMode val="factor"/>
          <c:yMode val="factor"/>
          <c:x val="-0.07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095"/>
          <c:w val="0.956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'PERIODO DE RECUPERACIÓN'!$B$5:$G$5</c:f>
              <c:strCache/>
            </c:strRef>
          </c:cat>
          <c:val>
            <c:numRef>
              <c:f>'PERIODO DE RECUPERACIÓN'!$B$6:$G$6</c:f>
              <c:numCache/>
            </c:numRef>
          </c:val>
        </c:ser>
        <c:axId val="58302943"/>
        <c:axId val="54964440"/>
      </c:barChart>
      <c:catAx>
        <c:axId val="5830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AÑOS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 * #,##0_ ;_ * \-#,##0_ ;_ * &quot;-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2943"/>
        <c:crossesAt val="1"/>
        <c:crossBetween val="between"/>
        <c:dispUnits/>
      </c:valAx>
      <c:spPr>
        <a:gradFill rotWithShape="1">
          <a:gsLst>
            <a:gs pos="0">
              <a:srgbClr val="33CCCC"/>
            </a:gs>
            <a:gs pos="100000">
              <a:srgbClr val="185E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7F7F7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92</xdr:row>
      <xdr:rowOff>76200</xdr:rowOff>
    </xdr:from>
    <xdr:to>
      <xdr:col>3</xdr:col>
      <xdr:colOff>542925</xdr:colOff>
      <xdr:row>92</xdr:row>
      <xdr:rowOff>76200</xdr:rowOff>
    </xdr:to>
    <xdr:sp>
      <xdr:nvSpPr>
        <xdr:cNvPr id="1" name="Line 1"/>
        <xdr:cNvSpPr>
          <a:spLocks/>
        </xdr:cNvSpPr>
      </xdr:nvSpPr>
      <xdr:spPr>
        <a:xfrm>
          <a:off x="3990975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92</xdr:row>
      <xdr:rowOff>76200</xdr:rowOff>
    </xdr:from>
    <xdr:to>
      <xdr:col>7</xdr:col>
      <xdr:colOff>542925</xdr:colOff>
      <xdr:row>92</xdr:row>
      <xdr:rowOff>76200</xdr:rowOff>
    </xdr:to>
    <xdr:sp>
      <xdr:nvSpPr>
        <xdr:cNvPr id="2" name="Line 2"/>
        <xdr:cNvSpPr>
          <a:spLocks/>
        </xdr:cNvSpPr>
      </xdr:nvSpPr>
      <xdr:spPr>
        <a:xfrm>
          <a:off x="8362950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92</xdr:row>
      <xdr:rowOff>76200</xdr:rowOff>
    </xdr:from>
    <xdr:to>
      <xdr:col>11</xdr:col>
      <xdr:colOff>542925</xdr:colOff>
      <xdr:row>92</xdr:row>
      <xdr:rowOff>76200</xdr:rowOff>
    </xdr:to>
    <xdr:sp>
      <xdr:nvSpPr>
        <xdr:cNvPr id="3" name="Line 3"/>
        <xdr:cNvSpPr>
          <a:spLocks/>
        </xdr:cNvSpPr>
      </xdr:nvSpPr>
      <xdr:spPr>
        <a:xfrm>
          <a:off x="13687425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92</xdr:row>
      <xdr:rowOff>76200</xdr:rowOff>
    </xdr:from>
    <xdr:to>
      <xdr:col>15</xdr:col>
      <xdr:colOff>542925</xdr:colOff>
      <xdr:row>92</xdr:row>
      <xdr:rowOff>76200</xdr:rowOff>
    </xdr:to>
    <xdr:sp>
      <xdr:nvSpPr>
        <xdr:cNvPr id="4" name="Line 4"/>
        <xdr:cNvSpPr>
          <a:spLocks/>
        </xdr:cNvSpPr>
      </xdr:nvSpPr>
      <xdr:spPr>
        <a:xfrm>
          <a:off x="17545050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92</xdr:row>
      <xdr:rowOff>76200</xdr:rowOff>
    </xdr:from>
    <xdr:to>
      <xdr:col>19</xdr:col>
      <xdr:colOff>542925</xdr:colOff>
      <xdr:row>92</xdr:row>
      <xdr:rowOff>76200</xdr:rowOff>
    </xdr:to>
    <xdr:sp>
      <xdr:nvSpPr>
        <xdr:cNvPr id="5" name="Line 5"/>
        <xdr:cNvSpPr>
          <a:spLocks/>
        </xdr:cNvSpPr>
      </xdr:nvSpPr>
      <xdr:spPr>
        <a:xfrm>
          <a:off x="21659850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92</xdr:row>
      <xdr:rowOff>76200</xdr:rowOff>
    </xdr:from>
    <xdr:to>
      <xdr:col>23</xdr:col>
      <xdr:colOff>542925</xdr:colOff>
      <xdr:row>92</xdr:row>
      <xdr:rowOff>76200</xdr:rowOff>
    </xdr:to>
    <xdr:sp>
      <xdr:nvSpPr>
        <xdr:cNvPr id="6" name="Line 6"/>
        <xdr:cNvSpPr>
          <a:spLocks/>
        </xdr:cNvSpPr>
      </xdr:nvSpPr>
      <xdr:spPr>
        <a:xfrm>
          <a:off x="25117425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142875</xdr:rowOff>
    </xdr:from>
    <xdr:to>
      <xdr:col>13</xdr:col>
      <xdr:colOff>476250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6962775" y="1438275"/>
        <a:ext cx="6819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9</xdr:row>
      <xdr:rowOff>0</xdr:rowOff>
    </xdr:from>
    <xdr:to>
      <xdr:col>10</xdr:col>
      <xdr:colOff>19050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047750" y="1457325"/>
        <a:ext cx="12344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A143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3.57421875" style="0" customWidth="1"/>
    <col min="2" max="2" width="35.28125" style="0" customWidth="1"/>
    <col min="3" max="3" width="19.140625" style="0" customWidth="1"/>
    <col min="4" max="4" width="17.140625" style="0" customWidth="1"/>
    <col min="5" max="5" width="16.00390625" style="0" customWidth="1"/>
    <col min="6" max="6" width="17.421875" style="0" customWidth="1"/>
    <col min="7" max="7" width="15.00390625" style="0" customWidth="1"/>
    <col min="8" max="8" width="15.421875" style="0" customWidth="1"/>
    <col min="9" max="9" width="23.7109375" style="0" customWidth="1"/>
    <col min="10" max="10" width="27.28125" style="0" customWidth="1"/>
    <col min="11" max="11" width="13.421875" style="0" customWidth="1"/>
    <col min="12" max="12" width="12.7109375" style="0" customWidth="1"/>
    <col min="13" max="13" width="15.57421875" style="0" customWidth="1"/>
    <col min="14" max="14" width="14.421875" style="0" customWidth="1"/>
    <col min="15" max="15" width="15.140625" style="0" customWidth="1"/>
    <col min="16" max="16" width="13.00390625" style="0" customWidth="1"/>
    <col min="17" max="17" width="17.57421875" style="0" customWidth="1"/>
    <col min="18" max="18" width="18.140625" style="0" customWidth="1"/>
    <col min="19" max="19" width="13.00390625" style="0" customWidth="1"/>
    <col min="21" max="21" width="14.140625" style="0" customWidth="1"/>
    <col min="22" max="22" width="13.7109375" style="0" customWidth="1"/>
    <col min="23" max="23" width="12.57421875" style="0" customWidth="1"/>
    <col min="26" max="26" width="13.140625" style="0" customWidth="1"/>
  </cols>
  <sheetData>
    <row r="1" spans="2:7" ht="15" customHeight="1" thickBot="1" thickTop="1">
      <c r="B1" s="71" t="s">
        <v>123</v>
      </c>
      <c r="C1" s="566" t="s">
        <v>362</v>
      </c>
      <c r="D1" s="567"/>
      <c r="E1" s="567"/>
      <c r="F1" s="567"/>
      <c r="G1" s="568"/>
    </row>
    <row r="2" ht="13.5" thickTop="1"/>
    <row r="4" spans="1:17" ht="12.75" hidden="1">
      <c r="A4" s="328"/>
      <c r="B4" s="329" t="s">
        <v>341</v>
      </c>
      <c r="C4" s="327"/>
      <c r="D4" s="327"/>
      <c r="E4" s="327"/>
      <c r="F4" s="327"/>
      <c r="G4" s="327"/>
      <c r="H4" s="327"/>
      <c r="I4" s="370"/>
      <c r="J4" s="329" t="s">
        <v>198</v>
      </c>
      <c r="K4" s="327"/>
      <c r="L4" s="327"/>
      <c r="M4" s="327"/>
      <c r="N4" s="327"/>
      <c r="O4" s="327"/>
      <c r="P4" s="327"/>
      <c r="Q4" s="61"/>
    </row>
    <row r="5" spans="10:17" ht="13.5" thickBot="1">
      <c r="J5" s="517" t="s">
        <v>139</v>
      </c>
      <c r="K5" s="516"/>
      <c r="L5" s="516"/>
      <c r="M5" s="516"/>
      <c r="N5" s="516"/>
      <c r="O5" s="516"/>
      <c r="P5" s="516"/>
      <c r="Q5" s="516"/>
    </row>
    <row r="6" spans="2:17" ht="15.75" thickTop="1">
      <c r="B6" s="569" t="s">
        <v>6</v>
      </c>
      <c r="C6" s="570"/>
      <c r="D6" s="570"/>
      <c r="E6" s="570"/>
      <c r="F6" s="570"/>
      <c r="G6" s="570"/>
      <c r="H6" s="571"/>
      <c r="I6" t="s">
        <v>0</v>
      </c>
      <c r="J6" s="517" t="s">
        <v>292</v>
      </c>
      <c r="K6" s="516"/>
      <c r="L6" s="516"/>
      <c r="M6" s="516"/>
      <c r="N6" s="516"/>
      <c r="O6" s="516"/>
      <c r="P6" s="516"/>
      <c r="Q6" s="516"/>
    </row>
    <row r="7" spans="2:17" ht="12.75">
      <c r="B7" s="371" t="s">
        <v>238</v>
      </c>
      <c r="C7" s="309" t="s">
        <v>170</v>
      </c>
      <c r="D7" s="309" t="s">
        <v>171</v>
      </c>
      <c r="E7" s="309" t="s">
        <v>172</v>
      </c>
      <c r="F7" s="309" t="s">
        <v>173</v>
      </c>
      <c r="G7" s="309" t="s">
        <v>174</v>
      </c>
      <c r="H7" s="372" t="s">
        <v>2</v>
      </c>
      <c r="J7" s="537" t="s">
        <v>222</v>
      </c>
      <c r="K7" s="538"/>
      <c r="L7" s="538"/>
      <c r="M7" s="516"/>
      <c r="N7" s="516"/>
      <c r="O7" s="516"/>
      <c r="P7" s="516"/>
      <c r="Q7" s="516"/>
    </row>
    <row r="8" spans="2:17" ht="14.25" customHeight="1" thickBot="1">
      <c r="B8" s="512" t="s">
        <v>356</v>
      </c>
      <c r="C8" s="373">
        <v>266400</v>
      </c>
      <c r="D8" s="373">
        <v>283050</v>
      </c>
      <c r="E8" s="373">
        <v>299700</v>
      </c>
      <c r="F8" s="373">
        <v>316350</v>
      </c>
      <c r="G8" s="373">
        <v>333000</v>
      </c>
      <c r="H8" s="374">
        <f>SUM(C8:G8)</f>
        <v>1498500</v>
      </c>
      <c r="J8" s="539" t="s">
        <v>128</v>
      </c>
      <c r="K8" s="539" t="s">
        <v>141</v>
      </c>
      <c r="L8" s="539"/>
      <c r="M8" s="516"/>
      <c r="N8" s="516"/>
      <c r="O8" s="516"/>
      <c r="P8" s="516"/>
      <c r="Q8" s="516"/>
    </row>
    <row r="9" spans="2:17" ht="13.5" thickTop="1">
      <c r="B9" s="180" t="s">
        <v>0</v>
      </c>
      <c r="C9" s="146" t="s">
        <v>0</v>
      </c>
      <c r="D9" s="181" t="s">
        <v>0</v>
      </c>
      <c r="E9" s="181" t="s">
        <v>0</v>
      </c>
      <c r="F9" s="181" t="s">
        <v>0</v>
      </c>
      <c r="G9" s="181" t="s">
        <v>0</v>
      </c>
      <c r="H9" s="181" t="s">
        <v>0</v>
      </c>
      <c r="I9" s="146" t="s">
        <v>0</v>
      </c>
      <c r="J9" s="539" t="s">
        <v>129</v>
      </c>
      <c r="K9" s="539" t="s">
        <v>203</v>
      </c>
      <c r="L9" s="539"/>
      <c r="M9" s="536" t="s">
        <v>167</v>
      </c>
      <c r="N9" s="516"/>
      <c r="O9" s="516"/>
      <c r="P9" s="516"/>
      <c r="Q9" s="516"/>
    </row>
    <row r="10" spans="3:17" ht="12.75">
      <c r="C10" t="s">
        <v>0</v>
      </c>
      <c r="D10" t="s">
        <v>0</v>
      </c>
      <c r="J10" s="539" t="s">
        <v>130</v>
      </c>
      <c r="K10" s="539" t="s">
        <v>204</v>
      </c>
      <c r="L10" s="539"/>
      <c r="M10" s="517" t="s">
        <v>200</v>
      </c>
      <c r="N10" s="516"/>
      <c r="O10" s="516"/>
      <c r="P10" s="516"/>
      <c r="Q10" s="516"/>
    </row>
    <row r="11" spans="1:17" ht="12.75">
      <c r="A11" s="330"/>
      <c r="B11" s="331" t="s">
        <v>363</v>
      </c>
      <c r="C11" s="327"/>
      <c r="D11" s="327"/>
      <c r="E11" s="327"/>
      <c r="F11" s="327"/>
      <c r="G11" s="327"/>
      <c r="H11" s="327"/>
      <c r="J11" s="539" t="s">
        <v>140</v>
      </c>
      <c r="K11" s="539" t="s">
        <v>205</v>
      </c>
      <c r="L11" s="539"/>
      <c r="M11" s="517" t="s">
        <v>168</v>
      </c>
      <c r="N11" s="516"/>
      <c r="O11" s="516"/>
      <c r="P11" s="516"/>
      <c r="Q11" s="516"/>
    </row>
    <row r="12" spans="1:17" ht="12.75">
      <c r="A12" s="202"/>
      <c r="B12" s="375">
        <v>0.13</v>
      </c>
      <c r="C12" s="365"/>
      <c r="I12" t="s">
        <v>0</v>
      </c>
      <c r="J12" s="539" t="s">
        <v>346</v>
      </c>
      <c r="K12" s="539" t="s">
        <v>206</v>
      </c>
      <c r="L12" s="539"/>
      <c r="M12" s="517" t="s">
        <v>169</v>
      </c>
      <c r="N12" s="516"/>
      <c r="O12" s="516"/>
      <c r="P12" s="516"/>
      <c r="Q12" s="516"/>
    </row>
    <row r="13" spans="2:17" ht="12.75">
      <c r="B13" t="s">
        <v>0</v>
      </c>
      <c r="J13" s="539" t="s">
        <v>131</v>
      </c>
      <c r="K13" s="539" t="s">
        <v>207</v>
      </c>
      <c r="L13" s="539"/>
      <c r="M13" s="517" t="s">
        <v>201</v>
      </c>
      <c r="N13" s="516"/>
      <c r="O13" s="516"/>
      <c r="P13" s="516"/>
      <c r="Q13" s="516"/>
    </row>
    <row r="14" spans="1:17" s="1" customFormat="1" ht="12.75">
      <c r="A14" s="328"/>
      <c r="B14" s="329" t="s">
        <v>364</v>
      </c>
      <c r="C14" s="327"/>
      <c r="D14" s="327"/>
      <c r="E14" s="327"/>
      <c r="F14" s="327"/>
      <c r="G14" s="327"/>
      <c r="H14" s="327"/>
      <c r="J14" s="539" t="s">
        <v>132</v>
      </c>
      <c r="K14" s="539" t="s">
        <v>208</v>
      </c>
      <c r="L14" s="539"/>
      <c r="M14" s="516"/>
      <c r="N14" s="516"/>
      <c r="O14" s="516"/>
      <c r="P14" s="516"/>
      <c r="Q14" s="516"/>
    </row>
    <row r="15" spans="2:12" s="516" customFormat="1" ht="12.75" hidden="1">
      <c r="B15" s="517" t="s">
        <v>195</v>
      </c>
      <c r="J15" s="518" t="s">
        <v>342</v>
      </c>
      <c r="K15" s="519" t="s">
        <v>343</v>
      </c>
      <c r="L15" s="520"/>
    </row>
    <row r="16" spans="2:12" s="516" customFormat="1" ht="12.75" hidden="1">
      <c r="B16" s="517" t="s">
        <v>196</v>
      </c>
      <c r="J16" s="521" t="s">
        <v>209</v>
      </c>
      <c r="K16" s="522" t="s">
        <v>210</v>
      </c>
      <c r="L16" s="523"/>
    </row>
    <row r="17" spans="2:12" s="516" customFormat="1" ht="12.75" hidden="1">
      <c r="B17" s="524" t="s">
        <v>219</v>
      </c>
      <c r="J17" s="518" t="s">
        <v>344</v>
      </c>
      <c r="K17" s="519" t="s">
        <v>345</v>
      </c>
      <c r="L17" s="520"/>
    </row>
    <row r="18" spans="2:12" s="516" customFormat="1" ht="13.5" hidden="1" thickBot="1">
      <c r="B18" s="517" t="s">
        <v>220</v>
      </c>
      <c r="J18" s="525" t="s">
        <v>202</v>
      </c>
      <c r="K18" s="526" t="s">
        <v>211</v>
      </c>
      <c r="L18" s="527"/>
    </row>
    <row r="19" spans="2:12" s="516" customFormat="1" ht="13.5" hidden="1" thickTop="1">
      <c r="B19" s="517" t="s">
        <v>221</v>
      </c>
      <c r="G19" s="516" t="s">
        <v>298</v>
      </c>
      <c r="L19" s="528" t="s">
        <v>300</v>
      </c>
    </row>
    <row r="20" spans="2:13" s="516" customFormat="1" ht="12.75" hidden="1">
      <c r="B20" s="524" t="s">
        <v>242</v>
      </c>
      <c r="G20" s="516" t="s">
        <v>0</v>
      </c>
      <c r="H20" s="529" t="s">
        <v>291</v>
      </c>
      <c r="I20" s="529" t="s">
        <v>291</v>
      </c>
      <c r="J20" s="529" t="s">
        <v>291</v>
      </c>
      <c r="M20" s="516" t="s">
        <v>0</v>
      </c>
    </row>
    <row r="21" spans="7:18" ht="13.5" thickBot="1">
      <c r="G21" s="532"/>
      <c r="H21" s="531" t="s">
        <v>199</v>
      </c>
      <c r="I21" s="532"/>
      <c r="M21" s="457" t="s">
        <v>124</v>
      </c>
      <c r="N21" s="458"/>
      <c r="O21" s="411" t="s">
        <v>126</v>
      </c>
      <c r="P21" s="411" t="s">
        <v>127</v>
      </c>
      <c r="Q21" s="411" t="s">
        <v>153</v>
      </c>
      <c r="R21" s="411" t="s">
        <v>154</v>
      </c>
    </row>
    <row r="22" spans="2:18" ht="14.25" thickBot="1" thickTop="1">
      <c r="B22" s="405" t="s">
        <v>125</v>
      </c>
      <c r="D22" s="406" t="s">
        <v>212</v>
      </c>
      <c r="E22" s="516" t="str">
        <f>+B8</f>
        <v>Gas Metano en MTS3</v>
      </c>
      <c r="F22" s="516"/>
      <c r="G22" s="532"/>
      <c r="H22" s="532"/>
      <c r="I22" s="532"/>
      <c r="L22">
        <v>1</v>
      </c>
      <c r="M22" s="565" t="str">
        <f aca="true" t="shared" si="0" ref="M22:M31">+B24</f>
        <v>Agua</v>
      </c>
      <c r="N22" s="565"/>
      <c r="O22" s="409" t="str">
        <f aca="true" t="shared" si="1" ref="O22:O31">+C24</f>
        <v>Mts3</v>
      </c>
      <c r="P22" s="410">
        <f aca="true" t="shared" si="2" ref="P22:P31">+D24</f>
        <v>0.011</v>
      </c>
      <c r="Q22" s="410">
        <f aca="true" t="shared" si="3" ref="Q22:Q31">+E24</f>
        <v>949.42</v>
      </c>
      <c r="R22" s="410">
        <f>+Q22*P22</f>
        <v>10.44362</v>
      </c>
    </row>
    <row r="23" spans="2:18" ht="13.5" thickTop="1">
      <c r="B23" s="462" t="s">
        <v>215</v>
      </c>
      <c r="C23" s="463" t="s">
        <v>214</v>
      </c>
      <c r="D23" s="464" t="s">
        <v>213</v>
      </c>
      <c r="E23" s="465" t="s">
        <v>77</v>
      </c>
      <c r="F23" s="530" t="s">
        <v>291</v>
      </c>
      <c r="G23" s="533" t="s">
        <v>250</v>
      </c>
      <c r="H23" s="532"/>
      <c r="I23" s="532"/>
      <c r="L23">
        <v>2</v>
      </c>
      <c r="M23" s="565" t="str">
        <f t="shared" si="0"/>
        <v>Residuos Orgánicos</v>
      </c>
      <c r="N23" s="565"/>
      <c r="O23" s="409" t="str">
        <f t="shared" si="1"/>
        <v>Kgm</v>
      </c>
      <c r="P23" s="410">
        <f t="shared" si="2"/>
        <v>1.2</v>
      </c>
      <c r="Q23" s="410">
        <f t="shared" si="3"/>
        <v>0</v>
      </c>
      <c r="R23" s="410">
        <f aca="true" t="shared" si="4" ref="R23:R31">+Q23*P23</f>
        <v>0</v>
      </c>
    </row>
    <row r="24" spans="1:18" ht="15" thickBot="1">
      <c r="A24">
        <v>1</v>
      </c>
      <c r="B24" s="466" t="s">
        <v>319</v>
      </c>
      <c r="C24" s="361" t="s">
        <v>323</v>
      </c>
      <c r="D24" s="549">
        <v>0.011</v>
      </c>
      <c r="E24" s="461">
        <v>949.42</v>
      </c>
      <c r="F24" s="550"/>
      <c r="G24" s="533" t="s">
        <v>251</v>
      </c>
      <c r="H24" s="532"/>
      <c r="I24" s="532"/>
      <c r="L24">
        <v>3</v>
      </c>
      <c r="M24" s="565" t="str">
        <f t="shared" si="0"/>
        <v>Estiercol</v>
      </c>
      <c r="N24" s="565"/>
      <c r="O24" s="409" t="str">
        <f t="shared" si="1"/>
        <v>Kgm</v>
      </c>
      <c r="P24" s="410">
        <f t="shared" si="2"/>
        <v>2.5</v>
      </c>
      <c r="Q24" s="410">
        <f t="shared" si="3"/>
        <v>0</v>
      </c>
      <c r="R24" s="410">
        <f t="shared" si="4"/>
        <v>0</v>
      </c>
    </row>
    <row r="25" spans="1:18" ht="13.5" thickTop="1">
      <c r="A25">
        <v>2</v>
      </c>
      <c r="B25" s="466" t="s">
        <v>320</v>
      </c>
      <c r="C25" s="361" t="s">
        <v>322</v>
      </c>
      <c r="D25" s="362">
        <v>1.2</v>
      </c>
      <c r="E25" s="461">
        <v>0</v>
      </c>
      <c r="F25" t="s">
        <v>0</v>
      </c>
      <c r="G25" s="534" t="s">
        <v>243</v>
      </c>
      <c r="H25" s="535">
        <v>0.02</v>
      </c>
      <c r="L25">
        <v>4</v>
      </c>
      <c r="M25" s="565">
        <f t="shared" si="0"/>
        <v>0</v>
      </c>
      <c r="N25" s="565"/>
      <c r="O25" s="409">
        <f t="shared" si="1"/>
        <v>0</v>
      </c>
      <c r="P25" s="410">
        <f t="shared" si="2"/>
        <v>0</v>
      </c>
      <c r="Q25" s="410">
        <f t="shared" si="3"/>
        <v>0</v>
      </c>
      <c r="R25" s="410">
        <f t="shared" si="4"/>
        <v>0</v>
      </c>
    </row>
    <row r="26" spans="1:18" ht="12.75">
      <c r="A26">
        <v>3</v>
      </c>
      <c r="B26" s="466" t="s">
        <v>321</v>
      </c>
      <c r="C26" s="361" t="s">
        <v>322</v>
      </c>
      <c r="D26" s="362">
        <v>2.5</v>
      </c>
      <c r="E26" s="461">
        <v>0</v>
      </c>
      <c r="G26" s="197" t="s">
        <v>171</v>
      </c>
      <c r="H26" s="368">
        <v>0.05</v>
      </c>
      <c r="L26">
        <v>5</v>
      </c>
      <c r="M26" s="565">
        <f t="shared" si="0"/>
        <v>0</v>
      </c>
      <c r="N26" s="565"/>
      <c r="O26" s="409">
        <f t="shared" si="1"/>
        <v>0</v>
      </c>
      <c r="P26" s="410">
        <f t="shared" si="2"/>
        <v>0</v>
      </c>
      <c r="Q26" s="410">
        <f t="shared" si="3"/>
        <v>0</v>
      </c>
      <c r="R26" s="410">
        <f t="shared" si="4"/>
        <v>0</v>
      </c>
    </row>
    <row r="27" spans="2:18" ht="12.75">
      <c r="B27" s="466"/>
      <c r="C27" s="361"/>
      <c r="D27" s="362"/>
      <c r="E27" s="461"/>
      <c r="F27" t="s">
        <v>0</v>
      </c>
      <c r="G27" s="197" t="s">
        <v>172</v>
      </c>
      <c r="H27" s="368">
        <v>0.05</v>
      </c>
      <c r="L27">
        <v>6</v>
      </c>
      <c r="M27" s="565">
        <f t="shared" si="0"/>
        <v>0</v>
      </c>
      <c r="N27" s="565"/>
      <c r="O27" s="409">
        <f t="shared" si="1"/>
        <v>0</v>
      </c>
      <c r="P27" s="410">
        <f t="shared" si="2"/>
        <v>0</v>
      </c>
      <c r="Q27" s="410">
        <f t="shared" si="3"/>
        <v>0</v>
      </c>
      <c r="R27" s="410">
        <f t="shared" si="4"/>
        <v>0</v>
      </c>
    </row>
    <row r="28" spans="2:18" ht="12.75">
      <c r="B28" s="466"/>
      <c r="C28" s="361"/>
      <c r="D28" s="362"/>
      <c r="E28" s="461"/>
      <c r="F28" t="s">
        <v>0</v>
      </c>
      <c r="G28" s="197" t="s">
        <v>173</v>
      </c>
      <c r="H28" s="368">
        <v>0.055</v>
      </c>
      <c r="L28">
        <v>7</v>
      </c>
      <c r="M28" s="565">
        <f t="shared" si="0"/>
        <v>0</v>
      </c>
      <c r="N28" s="565"/>
      <c r="O28" s="409">
        <f t="shared" si="1"/>
        <v>0</v>
      </c>
      <c r="P28" s="410">
        <f t="shared" si="2"/>
        <v>0</v>
      </c>
      <c r="Q28" s="410">
        <f t="shared" si="3"/>
        <v>0</v>
      </c>
      <c r="R28" s="410">
        <f t="shared" si="4"/>
        <v>0</v>
      </c>
    </row>
    <row r="29" spans="2:18" ht="13.5" thickBot="1">
      <c r="B29" s="466"/>
      <c r="C29" s="361"/>
      <c r="D29" s="362"/>
      <c r="E29" s="461"/>
      <c r="G29" s="197" t="s">
        <v>174</v>
      </c>
      <c r="H29" s="369">
        <v>0.055</v>
      </c>
      <c r="L29">
        <v>8</v>
      </c>
      <c r="M29" s="565">
        <f t="shared" si="0"/>
        <v>0</v>
      </c>
      <c r="N29" s="565"/>
      <c r="O29" s="409">
        <f t="shared" si="1"/>
        <v>0</v>
      </c>
      <c r="P29" s="410">
        <f t="shared" si="2"/>
        <v>0</v>
      </c>
      <c r="Q29" s="410">
        <f t="shared" si="3"/>
        <v>0</v>
      </c>
      <c r="R29" s="410">
        <f t="shared" si="4"/>
        <v>0</v>
      </c>
    </row>
    <row r="30" spans="2:18" ht="13.5" thickTop="1">
      <c r="B30" s="466"/>
      <c r="C30" s="361"/>
      <c r="D30" s="362"/>
      <c r="E30" s="461"/>
      <c r="I30" t="s">
        <v>0</v>
      </c>
      <c r="L30">
        <v>9</v>
      </c>
      <c r="M30" s="565">
        <f t="shared" si="0"/>
        <v>0</v>
      </c>
      <c r="N30" s="565"/>
      <c r="O30" s="409">
        <f t="shared" si="1"/>
        <v>0</v>
      </c>
      <c r="P30" s="410">
        <f t="shared" si="2"/>
        <v>0</v>
      </c>
      <c r="Q30" s="410">
        <f t="shared" si="3"/>
        <v>0</v>
      </c>
      <c r="R30" s="410">
        <f t="shared" si="4"/>
        <v>0</v>
      </c>
    </row>
    <row r="31" spans="2:18" ht="12.75">
      <c r="B31" s="466"/>
      <c r="C31" s="361"/>
      <c r="D31" s="362"/>
      <c r="E31" s="461"/>
      <c r="L31">
        <v>10</v>
      </c>
      <c r="M31" s="572">
        <f t="shared" si="0"/>
        <v>0</v>
      </c>
      <c r="N31" s="565"/>
      <c r="O31" s="409">
        <f t="shared" si="1"/>
        <v>0</v>
      </c>
      <c r="P31" s="410">
        <f t="shared" si="2"/>
        <v>0</v>
      </c>
      <c r="Q31" s="410">
        <f t="shared" si="3"/>
        <v>0</v>
      </c>
      <c r="R31" s="410">
        <f t="shared" si="4"/>
        <v>0</v>
      </c>
    </row>
    <row r="32" spans="2:18" ht="13.5" thickBot="1">
      <c r="B32" s="466"/>
      <c r="C32" s="361"/>
      <c r="D32" s="362"/>
      <c r="E32" s="461"/>
      <c r="M32" s="459" t="s">
        <v>216</v>
      </c>
      <c r="N32" s="456"/>
      <c r="O32" s="460"/>
      <c r="P32" s="407"/>
      <c r="Q32" s="407"/>
      <c r="R32" s="408">
        <f>SUM(R22:R31)</f>
        <v>10.44362</v>
      </c>
    </row>
    <row r="33" spans="2:5" ht="13.5" thickTop="1">
      <c r="B33" s="466"/>
      <c r="C33" s="361"/>
      <c r="D33" s="362"/>
      <c r="E33" s="461"/>
    </row>
    <row r="37" spans="1:6" ht="12.75" hidden="1">
      <c r="A37" s="328">
        <v>4</v>
      </c>
      <c r="B37" s="329" t="s">
        <v>347</v>
      </c>
      <c r="C37" s="327"/>
      <c r="D37" s="327"/>
      <c r="E37" s="327"/>
      <c r="F37" s="370"/>
    </row>
    <row r="38" ht="12.75" hidden="1">
      <c r="B38" s="366" t="s">
        <v>252</v>
      </c>
    </row>
    <row r="39" ht="12.75" hidden="1">
      <c r="B39" s="366" t="s">
        <v>253</v>
      </c>
    </row>
    <row r="40" ht="13.5" hidden="1" thickBot="1"/>
    <row r="41" spans="2:3" ht="15.75" hidden="1" thickTop="1">
      <c r="B41" s="403" t="s">
        <v>3</v>
      </c>
      <c r="C41" s="404" t="s">
        <v>5</v>
      </c>
    </row>
    <row r="42" spans="1:3" ht="12.75" hidden="1">
      <c r="A42">
        <v>1</v>
      </c>
      <c r="B42" s="513"/>
      <c r="C42" s="377"/>
    </row>
    <row r="43" spans="1:3" ht="12.75" hidden="1">
      <c r="A43">
        <v>2</v>
      </c>
      <c r="B43" s="513"/>
      <c r="C43" s="377"/>
    </row>
    <row r="44" spans="1:6" ht="12.75" hidden="1">
      <c r="A44">
        <v>3</v>
      </c>
      <c r="B44" s="513"/>
      <c r="C44" s="377"/>
      <c r="D44" s="363" t="s">
        <v>254</v>
      </c>
      <c r="E44" s="327"/>
      <c r="F44" s="327"/>
    </row>
    <row r="45" spans="1:6" ht="12.75" hidden="1">
      <c r="A45">
        <v>4</v>
      </c>
      <c r="B45" s="376">
        <v>0</v>
      </c>
      <c r="C45" s="377">
        <v>0</v>
      </c>
      <c r="D45" s="363" t="s">
        <v>255</v>
      </c>
      <c r="E45" s="327"/>
      <c r="F45" s="327"/>
    </row>
    <row r="46" spans="1:6" ht="12.75" hidden="1">
      <c r="A46">
        <v>5</v>
      </c>
      <c r="B46" s="376">
        <v>0</v>
      </c>
      <c r="C46" s="377">
        <v>0</v>
      </c>
      <c r="D46" s="363" t="s">
        <v>256</v>
      </c>
      <c r="E46" s="327"/>
      <c r="F46" s="327"/>
    </row>
    <row r="47" spans="1:6" ht="12.75" hidden="1">
      <c r="A47">
        <v>6</v>
      </c>
      <c r="B47" s="376">
        <v>0</v>
      </c>
      <c r="C47" s="377">
        <v>0</v>
      </c>
      <c r="D47" s="363" t="s">
        <v>257</v>
      </c>
      <c r="E47" s="327"/>
      <c r="F47" s="327"/>
    </row>
    <row r="48" spans="1:3" ht="12.75" hidden="1">
      <c r="A48">
        <v>7</v>
      </c>
      <c r="B48" s="376">
        <v>0</v>
      </c>
      <c r="C48" s="377">
        <v>0</v>
      </c>
    </row>
    <row r="49" spans="1:3" ht="12.75" hidden="1">
      <c r="A49">
        <v>8</v>
      </c>
      <c r="B49" s="376">
        <v>0</v>
      </c>
      <c r="C49" s="377">
        <v>0</v>
      </c>
    </row>
    <row r="50" spans="1:3" ht="12.75" hidden="1">
      <c r="A50">
        <v>9</v>
      </c>
      <c r="B50" s="376">
        <v>0</v>
      </c>
      <c r="C50" s="377">
        <v>0</v>
      </c>
    </row>
    <row r="51" spans="1:3" ht="12.75" hidden="1">
      <c r="A51">
        <v>10</v>
      </c>
      <c r="B51" s="376">
        <v>0</v>
      </c>
      <c r="C51" s="377">
        <v>0</v>
      </c>
    </row>
    <row r="52" spans="2:3" ht="13.5" hidden="1" thickBot="1">
      <c r="B52" s="378" t="s">
        <v>2</v>
      </c>
      <c r="C52" s="379">
        <f>SUM(C42:C51)</f>
        <v>0</v>
      </c>
    </row>
    <row r="53" ht="13.5" hidden="1" thickTop="1"/>
    <row r="55" spans="1:9" ht="12.75">
      <c r="A55" s="328"/>
      <c r="B55" s="329" t="s">
        <v>365</v>
      </c>
      <c r="C55" s="327"/>
      <c r="D55" s="327"/>
      <c r="E55" s="327"/>
      <c r="F55" s="327"/>
      <c r="G55" s="327"/>
      <c r="H55" s="327"/>
      <c r="I55" s="370"/>
    </row>
    <row r="56" ht="12.75" hidden="1">
      <c r="B56" s="366" t="s">
        <v>136</v>
      </c>
    </row>
    <row r="57" ht="12.75" hidden="1">
      <c r="B57" s="366" t="s">
        <v>217</v>
      </c>
    </row>
    <row r="58" ht="12.75" hidden="1">
      <c r="B58" s="366" t="s">
        <v>226</v>
      </c>
    </row>
    <row r="59" spans="2:8" ht="12.75" hidden="1">
      <c r="B59" s="189"/>
      <c r="C59" s="209" t="s">
        <v>197</v>
      </c>
      <c r="H59" s="333"/>
    </row>
    <row r="60" ht="13.5" thickBot="1">
      <c r="C60" s="62"/>
    </row>
    <row r="61" spans="2:10" ht="13.5" thickTop="1">
      <c r="B61" s="382" t="s">
        <v>227</v>
      </c>
      <c r="C61" s="380" t="s">
        <v>175</v>
      </c>
      <c r="D61" s="380" t="s">
        <v>133</v>
      </c>
      <c r="E61" s="380" t="s">
        <v>134</v>
      </c>
      <c r="F61" s="381" t="s">
        <v>135</v>
      </c>
      <c r="G61" s="529" t="s">
        <v>291</v>
      </c>
      <c r="H61" s="524" t="s">
        <v>244</v>
      </c>
      <c r="I61" s="516"/>
      <c r="J61" s="516"/>
    </row>
    <row r="62" spans="2:10" ht="13.5" thickBot="1">
      <c r="B62" s="383" t="s">
        <v>327</v>
      </c>
      <c r="C62" s="68">
        <f>1800000*12</f>
        <v>21600000</v>
      </c>
      <c r="D62" s="191">
        <f>+C62*0.52</f>
        <v>11232000</v>
      </c>
      <c r="E62" s="196">
        <v>0</v>
      </c>
      <c r="F62" s="384">
        <f>+E62+D62+C62</f>
        <v>32832000</v>
      </c>
      <c r="G62" s="540" t="s">
        <v>199</v>
      </c>
      <c r="H62" s="524" t="s">
        <v>245</v>
      </c>
      <c r="I62" s="516"/>
      <c r="J62" s="516"/>
    </row>
    <row r="63" spans="2:10" ht="13.5" thickTop="1">
      <c r="B63" s="383" t="s">
        <v>329</v>
      </c>
      <c r="C63" s="68">
        <f>(781242*2)*12</f>
        <v>18749808</v>
      </c>
      <c r="D63" s="191">
        <f>+C63*0.52</f>
        <v>9749900.16</v>
      </c>
      <c r="E63" s="196">
        <f>(88211*2)*12</f>
        <v>2117064</v>
      </c>
      <c r="F63" s="384">
        <f>+E63+D63+C63</f>
        <v>30616772.16</v>
      </c>
      <c r="H63" s="541" t="s">
        <v>243</v>
      </c>
      <c r="I63" s="535">
        <v>0.02</v>
      </c>
      <c r="J63" s="516"/>
    </row>
    <row r="64" spans="2:9" ht="12.75">
      <c r="B64" s="383"/>
      <c r="C64" s="68"/>
      <c r="D64" s="191">
        <f>+C64*0.52</f>
        <v>0</v>
      </c>
      <c r="E64" s="196">
        <v>0</v>
      </c>
      <c r="F64" s="384">
        <f>+E64+D64+C64</f>
        <v>0</v>
      </c>
      <c r="H64" s="197" t="s">
        <v>171</v>
      </c>
      <c r="I64" s="368">
        <v>0.055</v>
      </c>
    </row>
    <row r="65" spans="2:9" ht="12.75">
      <c r="B65" s="383"/>
      <c r="C65" s="68"/>
      <c r="D65" s="191">
        <f>+C65*0.52</f>
        <v>0</v>
      </c>
      <c r="E65" s="196">
        <v>0</v>
      </c>
      <c r="F65" s="384">
        <f>+E65+D65+C65</f>
        <v>0</v>
      </c>
      <c r="H65" s="197" t="s">
        <v>172</v>
      </c>
      <c r="I65" s="368">
        <v>0.06</v>
      </c>
    </row>
    <row r="66" spans="2:9" ht="12.75">
      <c r="B66" s="383"/>
      <c r="C66" s="68"/>
      <c r="D66" s="191">
        <f>+C66*0.52</f>
        <v>0</v>
      </c>
      <c r="E66" s="196">
        <v>0</v>
      </c>
      <c r="F66" s="384">
        <f>+E66+D66+C66</f>
        <v>0</v>
      </c>
      <c r="H66" s="197" t="s">
        <v>173</v>
      </c>
      <c r="I66" s="368">
        <v>0.06</v>
      </c>
    </row>
    <row r="67" spans="2:9" ht="13.5" thickBot="1">
      <c r="B67" s="378" t="s">
        <v>2</v>
      </c>
      <c r="C67" s="385">
        <f>SUM(C62:C66)</f>
        <v>40349808</v>
      </c>
      <c r="D67" s="385">
        <f>SUM(D62:D66)</f>
        <v>20981900.16</v>
      </c>
      <c r="E67" s="385">
        <f>SUM(E62:E66)</f>
        <v>2117064</v>
      </c>
      <c r="F67" s="379">
        <f>SUM(F62:F66)</f>
        <v>63448772.16</v>
      </c>
      <c r="H67" s="197" t="s">
        <v>174</v>
      </c>
      <c r="I67" s="369">
        <v>0.06</v>
      </c>
    </row>
    <row r="68" ht="13.5" thickTop="1"/>
    <row r="70" spans="1:8" ht="12.75" hidden="1">
      <c r="A70" s="328"/>
      <c r="B70" s="329" t="s">
        <v>348</v>
      </c>
      <c r="C70" s="327"/>
      <c r="D70" s="327"/>
      <c r="E70" s="327"/>
      <c r="F70" s="327"/>
      <c r="G70" s="327"/>
      <c r="H70" s="327"/>
    </row>
    <row r="71" ht="12.75" hidden="1">
      <c r="B71" s="60" t="s">
        <v>232</v>
      </c>
    </row>
    <row r="72" ht="12.75" hidden="1">
      <c r="B72" s="60" t="s">
        <v>233</v>
      </c>
    </row>
    <row r="73" ht="13.5" hidden="1" thickBot="1"/>
    <row r="74" spans="2:10" ht="15.75" hidden="1" thickTop="1">
      <c r="B74" s="402" t="s">
        <v>3</v>
      </c>
      <c r="C74" s="381" t="s">
        <v>193</v>
      </c>
      <c r="G74" s="529" t="s">
        <v>291</v>
      </c>
      <c r="H74" s="524" t="s">
        <v>246</v>
      </c>
      <c r="I74" s="516"/>
      <c r="J74" s="516"/>
    </row>
    <row r="75" spans="1:10" ht="13.5" hidden="1" thickBot="1">
      <c r="A75">
        <v>1</v>
      </c>
      <c r="B75" s="383"/>
      <c r="C75" s="377"/>
      <c r="D75" t="s">
        <v>0</v>
      </c>
      <c r="G75" s="540" t="s">
        <v>199</v>
      </c>
      <c r="H75" s="524" t="s">
        <v>247</v>
      </c>
      <c r="I75" s="516"/>
      <c r="J75" s="516"/>
    </row>
    <row r="76" spans="1:10" ht="13.5" hidden="1" thickTop="1">
      <c r="A76">
        <v>2</v>
      </c>
      <c r="B76" s="383"/>
      <c r="C76" s="377"/>
      <c r="D76" s="516"/>
      <c r="E76" s="516"/>
      <c r="F76" s="516"/>
      <c r="G76" s="516"/>
      <c r="H76" s="541" t="s">
        <v>243</v>
      </c>
      <c r="I76" s="535">
        <v>0.02</v>
      </c>
      <c r="J76" s="516"/>
    </row>
    <row r="77" spans="1:9" ht="12.75" hidden="1">
      <c r="A77">
        <v>3</v>
      </c>
      <c r="B77" s="383"/>
      <c r="C77" s="377"/>
      <c r="D77" s="517" t="s">
        <v>234</v>
      </c>
      <c r="E77" s="516"/>
      <c r="F77" s="516"/>
      <c r="H77" s="197" t="s">
        <v>171</v>
      </c>
      <c r="I77" s="368">
        <v>0.04</v>
      </c>
    </row>
    <row r="78" spans="1:9" ht="12.75" hidden="1">
      <c r="A78">
        <v>4</v>
      </c>
      <c r="B78" s="383"/>
      <c r="C78" s="377"/>
      <c r="D78" s="517" t="s">
        <v>235</v>
      </c>
      <c r="E78" s="516"/>
      <c r="F78" s="516"/>
      <c r="H78" s="197" t="s">
        <v>172</v>
      </c>
      <c r="I78" s="368">
        <v>0.045</v>
      </c>
    </row>
    <row r="79" spans="1:9" ht="12.75" hidden="1">
      <c r="A79">
        <v>5</v>
      </c>
      <c r="B79" s="383"/>
      <c r="C79" s="377"/>
      <c r="D79" s="517" t="s">
        <v>236</v>
      </c>
      <c r="E79" s="516"/>
      <c r="F79" s="516"/>
      <c r="H79" s="197" t="s">
        <v>173</v>
      </c>
      <c r="I79" s="368">
        <v>0.05</v>
      </c>
    </row>
    <row r="80" spans="1:9" ht="13.5" hidden="1" thickBot="1">
      <c r="A80">
        <v>6</v>
      </c>
      <c r="B80" s="383"/>
      <c r="C80" s="377"/>
      <c r="D80" s="517" t="s">
        <v>231</v>
      </c>
      <c r="E80" s="516"/>
      <c r="F80" s="516"/>
      <c r="H80" s="197" t="s">
        <v>174</v>
      </c>
      <c r="I80" s="369">
        <v>0.055</v>
      </c>
    </row>
    <row r="81" spans="1:3" ht="13.5" hidden="1" thickTop="1">
      <c r="A81">
        <v>7</v>
      </c>
      <c r="B81" s="383"/>
      <c r="C81" s="377"/>
    </row>
    <row r="82" spans="1:3" ht="12.75" hidden="1">
      <c r="A82">
        <v>8</v>
      </c>
      <c r="B82" s="383"/>
      <c r="C82" s="377"/>
    </row>
    <row r="83" spans="1:3" ht="12.75" hidden="1">
      <c r="A83">
        <v>9</v>
      </c>
      <c r="B83" s="383"/>
      <c r="C83" s="377"/>
    </row>
    <row r="84" spans="1:3" ht="12.75" hidden="1">
      <c r="A84">
        <v>10</v>
      </c>
      <c r="B84" s="383"/>
      <c r="C84" s="377"/>
    </row>
    <row r="85" spans="2:3" ht="13.5" hidden="1" thickBot="1">
      <c r="B85" s="378" t="s">
        <v>2</v>
      </c>
      <c r="C85" s="386">
        <f>SUM(C75:C84)</f>
        <v>0</v>
      </c>
    </row>
    <row r="87" spans="1:9" ht="12.75">
      <c r="A87" s="328"/>
      <c r="B87" s="329" t="s">
        <v>349</v>
      </c>
      <c r="C87" s="327"/>
      <c r="D87" s="327"/>
      <c r="E87" s="327"/>
      <c r="F87" s="327"/>
      <c r="G87" s="327"/>
      <c r="H87" s="327"/>
      <c r="I87" s="370"/>
    </row>
    <row r="88" ht="12.75" hidden="1">
      <c r="B88" s="366" t="s">
        <v>241</v>
      </c>
    </row>
    <row r="89" spans="2:3" ht="12.75" hidden="1">
      <c r="B89" s="190"/>
      <c r="C89" s="209" t="s">
        <v>197</v>
      </c>
    </row>
    <row r="90" ht="13.5" thickBot="1">
      <c r="C90" s="62"/>
    </row>
    <row r="91" spans="2:27" ht="15.75" thickTop="1">
      <c r="B91" s="389" t="s">
        <v>3</v>
      </c>
      <c r="C91" s="390" t="s">
        <v>82</v>
      </c>
      <c r="E91" s="60"/>
      <c r="F91" s="397" t="s">
        <v>3</v>
      </c>
      <c r="G91" s="390" t="s">
        <v>82</v>
      </c>
      <c r="H91" s="60"/>
      <c r="I91" s="60"/>
      <c r="J91" s="397" t="s">
        <v>3</v>
      </c>
      <c r="K91" s="390" t="s">
        <v>82</v>
      </c>
      <c r="L91" s="60"/>
      <c r="M91" s="60"/>
      <c r="N91" s="397" t="s">
        <v>3</v>
      </c>
      <c r="O91" s="390" t="s">
        <v>82</v>
      </c>
      <c r="P91" s="194"/>
      <c r="Q91" s="60"/>
      <c r="R91" s="397" t="s">
        <v>3</v>
      </c>
      <c r="S91" s="390" t="s">
        <v>82</v>
      </c>
      <c r="T91" s="60"/>
      <c r="U91" s="60"/>
      <c r="V91" s="397" t="s">
        <v>3</v>
      </c>
      <c r="W91" s="390" t="s">
        <v>82</v>
      </c>
      <c r="X91" s="60"/>
      <c r="Y91" s="60"/>
      <c r="Z91" s="397" t="s">
        <v>3</v>
      </c>
      <c r="AA91" s="390" t="s">
        <v>82</v>
      </c>
    </row>
    <row r="92" spans="1:27" ht="12.75">
      <c r="A92">
        <v>1</v>
      </c>
      <c r="B92" s="387" t="s">
        <v>223</v>
      </c>
      <c r="C92" s="388">
        <f>+G102</f>
        <v>3580000</v>
      </c>
      <c r="E92" s="356" t="s">
        <v>142</v>
      </c>
      <c r="F92" s="393" t="s">
        <v>334</v>
      </c>
      <c r="G92" s="394">
        <v>3580000</v>
      </c>
      <c r="H92" s="60"/>
      <c r="I92" s="356" t="s">
        <v>147</v>
      </c>
      <c r="J92" s="393" t="s">
        <v>324</v>
      </c>
      <c r="K92" s="394">
        <v>43200000</v>
      </c>
      <c r="L92" s="60"/>
      <c r="M92" s="359" t="s">
        <v>0</v>
      </c>
      <c r="N92" s="393">
        <v>0</v>
      </c>
      <c r="O92" s="394">
        <v>0</v>
      </c>
      <c r="P92" s="60"/>
      <c r="Q92" s="356" t="s">
        <v>148</v>
      </c>
      <c r="R92" s="393" t="s">
        <v>336</v>
      </c>
      <c r="S92" s="394">
        <v>22275500</v>
      </c>
      <c r="T92" s="60"/>
      <c r="U92" s="356" t="s">
        <v>150</v>
      </c>
      <c r="V92" s="393" t="s">
        <v>325</v>
      </c>
      <c r="W92" s="394">
        <v>12538000</v>
      </c>
      <c r="X92" s="60"/>
      <c r="Y92" s="354" t="s">
        <v>0</v>
      </c>
      <c r="Z92" s="393">
        <v>0</v>
      </c>
      <c r="AA92" s="394">
        <v>0</v>
      </c>
    </row>
    <row r="93" spans="1:27" ht="12.75">
      <c r="A93">
        <v>2</v>
      </c>
      <c r="B93" s="387" t="s">
        <v>224</v>
      </c>
      <c r="C93" s="388">
        <f>+K102</f>
        <v>65530000</v>
      </c>
      <c r="D93" s="201" t="s">
        <v>0</v>
      </c>
      <c r="E93" s="357" t="s">
        <v>143</v>
      </c>
      <c r="F93" s="393">
        <v>0</v>
      </c>
      <c r="G93" s="394">
        <v>0</v>
      </c>
      <c r="I93" s="357" t="s">
        <v>145</v>
      </c>
      <c r="J93" s="393" t="s">
        <v>335</v>
      </c>
      <c r="K93" s="394">
        <v>22330000</v>
      </c>
      <c r="M93" s="357" t="s">
        <v>45</v>
      </c>
      <c r="N93" s="393">
        <v>0</v>
      </c>
      <c r="O93" s="394">
        <v>0</v>
      </c>
      <c r="Q93" s="357" t="s">
        <v>151</v>
      </c>
      <c r="R93" s="393" t="s">
        <v>357</v>
      </c>
      <c r="S93" s="394">
        <v>15000000</v>
      </c>
      <c r="U93" s="357" t="s">
        <v>151</v>
      </c>
      <c r="V93" s="393">
        <v>0</v>
      </c>
      <c r="W93" s="394">
        <v>0</v>
      </c>
      <c r="Y93" s="357" t="s">
        <v>63</v>
      </c>
      <c r="Z93" s="393">
        <v>0</v>
      </c>
      <c r="AA93" s="394">
        <v>0</v>
      </c>
    </row>
    <row r="94" spans="1:27" ht="12.75">
      <c r="A94">
        <v>3</v>
      </c>
      <c r="B94" s="387" t="s">
        <v>45</v>
      </c>
      <c r="C94" s="388">
        <f>+O102</f>
        <v>0</v>
      </c>
      <c r="D94" s="540" t="s">
        <v>199</v>
      </c>
      <c r="E94" s="358" t="s">
        <v>144</v>
      </c>
      <c r="F94" s="393">
        <v>0</v>
      </c>
      <c r="G94" s="394">
        <v>0</v>
      </c>
      <c r="H94" s="531" t="s">
        <v>199</v>
      </c>
      <c r="I94" s="358" t="s">
        <v>146</v>
      </c>
      <c r="J94" s="393">
        <v>0</v>
      </c>
      <c r="K94" s="394">
        <v>0</v>
      </c>
      <c r="L94" s="531" t="s">
        <v>199</v>
      </c>
      <c r="M94" s="360" t="s">
        <v>0</v>
      </c>
      <c r="N94" s="393">
        <v>0</v>
      </c>
      <c r="O94" s="394">
        <v>0</v>
      </c>
      <c r="P94" s="531" t="s">
        <v>199</v>
      </c>
      <c r="Q94" s="358" t="s">
        <v>149</v>
      </c>
      <c r="R94" s="393">
        <v>0</v>
      </c>
      <c r="S94" s="394">
        <v>0</v>
      </c>
      <c r="T94" s="531" t="s">
        <v>199</v>
      </c>
      <c r="U94" s="358" t="s">
        <v>289</v>
      </c>
      <c r="V94" s="393">
        <v>0</v>
      </c>
      <c r="W94" s="394">
        <v>0</v>
      </c>
      <c r="X94" s="531" t="s">
        <v>199</v>
      </c>
      <c r="Y94" s="355" t="s">
        <v>0</v>
      </c>
      <c r="Z94" s="393">
        <v>0</v>
      </c>
      <c r="AA94" s="394">
        <v>0</v>
      </c>
    </row>
    <row r="95" spans="1:27" ht="12.75">
      <c r="A95">
        <v>4</v>
      </c>
      <c r="B95" s="387" t="s">
        <v>58</v>
      </c>
      <c r="C95" s="388">
        <f>+S102</f>
        <v>37275500</v>
      </c>
      <c r="E95" s="60"/>
      <c r="F95" s="393">
        <v>0</v>
      </c>
      <c r="G95" s="394">
        <v>0</v>
      </c>
      <c r="H95" s="60"/>
      <c r="I95" s="60"/>
      <c r="J95" s="393">
        <v>0</v>
      </c>
      <c r="K95" s="394">
        <v>0</v>
      </c>
      <c r="L95" s="60"/>
      <c r="M95" s="60"/>
      <c r="N95" s="393">
        <v>0</v>
      </c>
      <c r="O95" s="394">
        <v>0</v>
      </c>
      <c r="P95" s="60"/>
      <c r="Q95" s="60"/>
      <c r="R95" s="393">
        <v>0</v>
      </c>
      <c r="S95" s="394">
        <v>0</v>
      </c>
      <c r="T95" s="60"/>
      <c r="U95" s="60"/>
      <c r="V95" s="393">
        <v>0</v>
      </c>
      <c r="W95" s="394">
        <v>0</v>
      </c>
      <c r="X95" s="60"/>
      <c r="Y95" s="60"/>
      <c r="Z95" s="393">
        <v>0</v>
      </c>
      <c r="AA95" s="394">
        <v>0</v>
      </c>
    </row>
    <row r="96" spans="1:27" ht="12.75">
      <c r="A96">
        <v>5</v>
      </c>
      <c r="B96" s="387" t="s">
        <v>61</v>
      </c>
      <c r="C96" s="388">
        <f>+W102</f>
        <v>12538000</v>
      </c>
      <c r="E96" s="60"/>
      <c r="F96" s="393">
        <v>0</v>
      </c>
      <c r="G96" s="394">
        <v>0</v>
      </c>
      <c r="H96" s="60"/>
      <c r="I96" s="60"/>
      <c r="J96" s="393">
        <v>0</v>
      </c>
      <c r="K96" s="394">
        <v>0</v>
      </c>
      <c r="L96" s="60"/>
      <c r="M96" s="60"/>
      <c r="N96" s="393">
        <v>0</v>
      </c>
      <c r="O96" s="394">
        <v>0</v>
      </c>
      <c r="P96" s="60"/>
      <c r="Q96" s="60"/>
      <c r="R96" s="393">
        <v>0</v>
      </c>
      <c r="S96" s="394">
        <v>0</v>
      </c>
      <c r="T96" s="60"/>
      <c r="U96" s="60"/>
      <c r="V96" s="393">
        <v>0</v>
      </c>
      <c r="W96" s="394">
        <v>0</v>
      </c>
      <c r="X96" s="60"/>
      <c r="Y96" s="60"/>
      <c r="Z96" s="393">
        <v>0</v>
      </c>
      <c r="AA96" s="394">
        <v>0</v>
      </c>
    </row>
    <row r="97" spans="1:27" ht="12.75">
      <c r="A97">
        <v>6</v>
      </c>
      <c r="B97" s="387" t="s">
        <v>63</v>
      </c>
      <c r="C97" s="388">
        <f>+AA98</f>
        <v>0</v>
      </c>
      <c r="E97" s="60"/>
      <c r="F97" s="393">
        <v>0</v>
      </c>
      <c r="G97" s="394">
        <v>0</v>
      </c>
      <c r="H97" s="60"/>
      <c r="I97" s="60"/>
      <c r="J97" s="393">
        <v>0</v>
      </c>
      <c r="K97" s="394">
        <v>0</v>
      </c>
      <c r="L97" s="60"/>
      <c r="M97" s="60"/>
      <c r="N97" s="393">
        <v>0</v>
      </c>
      <c r="O97" s="394">
        <v>0</v>
      </c>
      <c r="P97" s="60"/>
      <c r="Q97" s="60"/>
      <c r="R97" s="393">
        <v>0</v>
      </c>
      <c r="S97" s="394">
        <v>0</v>
      </c>
      <c r="T97" s="60"/>
      <c r="U97" s="60"/>
      <c r="V97" s="393">
        <v>0</v>
      </c>
      <c r="W97" s="394">
        <v>0</v>
      </c>
      <c r="X97" s="60"/>
      <c r="Y97" s="60"/>
      <c r="Z97" s="393">
        <v>0</v>
      </c>
      <c r="AA97" s="394">
        <v>0</v>
      </c>
    </row>
    <row r="98" spans="2:27" ht="13.5" thickBot="1">
      <c r="B98" s="391" t="s">
        <v>2</v>
      </c>
      <c r="C98" s="392">
        <f>SUM(C92:C97)</f>
        <v>118923500</v>
      </c>
      <c r="E98" s="60"/>
      <c r="F98" s="393">
        <v>0</v>
      </c>
      <c r="G98" s="394">
        <v>0</v>
      </c>
      <c r="H98" s="60"/>
      <c r="I98" s="60"/>
      <c r="J98" s="393">
        <v>0</v>
      </c>
      <c r="K98" s="394">
        <v>0</v>
      </c>
      <c r="L98" s="60"/>
      <c r="M98" s="60"/>
      <c r="N98" s="393">
        <v>0</v>
      </c>
      <c r="O98" s="394">
        <v>0</v>
      </c>
      <c r="P98" s="60"/>
      <c r="Q98" s="60"/>
      <c r="R98" s="393">
        <v>0</v>
      </c>
      <c r="S98" s="394">
        <v>0</v>
      </c>
      <c r="T98" s="60"/>
      <c r="U98" s="60"/>
      <c r="V98" s="393">
        <v>0</v>
      </c>
      <c r="W98" s="394">
        <v>0</v>
      </c>
      <c r="X98" s="60"/>
      <c r="Y98" s="60"/>
      <c r="Z98" s="395" t="s">
        <v>2</v>
      </c>
      <c r="AA98" s="396">
        <f>SUM(AA92:AA97)</f>
        <v>0</v>
      </c>
    </row>
    <row r="99" spans="6:23" ht="13.5" thickTop="1">
      <c r="F99" s="393">
        <v>0</v>
      </c>
      <c r="G99" s="394">
        <v>0</v>
      </c>
      <c r="J99" s="393">
        <v>0</v>
      </c>
      <c r="K99" s="394">
        <v>0</v>
      </c>
      <c r="N99" s="393">
        <v>0</v>
      </c>
      <c r="O99" s="394">
        <v>0</v>
      </c>
      <c r="R99" s="393">
        <v>0</v>
      </c>
      <c r="S99" s="394">
        <v>0</v>
      </c>
      <c r="V99" s="393">
        <v>0</v>
      </c>
      <c r="W99" s="394">
        <v>0</v>
      </c>
    </row>
    <row r="100" spans="6:23" ht="12.75">
      <c r="F100" s="393">
        <v>0</v>
      </c>
      <c r="G100" s="394">
        <v>0</v>
      </c>
      <c r="J100" s="393">
        <v>0</v>
      </c>
      <c r="K100" s="394">
        <v>0</v>
      </c>
      <c r="N100" s="393">
        <v>0</v>
      </c>
      <c r="O100" s="394">
        <v>0</v>
      </c>
      <c r="R100" s="393">
        <v>0</v>
      </c>
      <c r="S100" s="394">
        <v>0</v>
      </c>
      <c r="V100" s="393">
        <v>0</v>
      </c>
      <c r="W100" s="394">
        <v>0</v>
      </c>
    </row>
    <row r="101" spans="1:23" ht="12.75">
      <c r="A101" s="542">
        <v>13</v>
      </c>
      <c r="B101" s="524" t="s">
        <v>273</v>
      </c>
      <c r="C101" s="516"/>
      <c r="D101" s="516"/>
      <c r="E101" s="516"/>
      <c r="F101" s="393">
        <v>0</v>
      </c>
      <c r="G101" s="394">
        <v>0</v>
      </c>
      <c r="J101" s="393">
        <v>0</v>
      </c>
      <c r="K101" s="394">
        <v>0</v>
      </c>
      <c r="N101" s="393">
        <v>0</v>
      </c>
      <c r="O101" s="394">
        <v>0</v>
      </c>
      <c r="R101" s="393">
        <v>0</v>
      </c>
      <c r="S101" s="394">
        <v>0</v>
      </c>
      <c r="V101" s="393">
        <v>0</v>
      </c>
      <c r="W101" s="394">
        <v>0</v>
      </c>
    </row>
    <row r="102" spans="6:23" ht="13.5" thickBot="1">
      <c r="F102" s="395" t="s">
        <v>2</v>
      </c>
      <c r="G102" s="396">
        <f>SUM(G92:G101)</f>
        <v>3580000</v>
      </c>
      <c r="J102" s="395" t="s">
        <v>2</v>
      </c>
      <c r="K102" s="396">
        <f>SUM(K92:K101)</f>
        <v>65530000</v>
      </c>
      <c r="L102" s="193"/>
      <c r="M102" s="193"/>
      <c r="N102" s="395" t="s">
        <v>2</v>
      </c>
      <c r="O102" s="396">
        <f>SUM(O92:O101)</f>
        <v>0</v>
      </c>
      <c r="P102" s="193"/>
      <c r="Q102" s="193"/>
      <c r="R102" s="395" t="s">
        <v>2</v>
      </c>
      <c r="S102" s="396">
        <f>SUM(S92:S101)</f>
        <v>37275500</v>
      </c>
      <c r="T102" s="193"/>
      <c r="U102" s="193"/>
      <c r="V102" s="395" t="s">
        <v>2</v>
      </c>
      <c r="W102" s="396">
        <f>SUM(W92:W101)</f>
        <v>12538000</v>
      </c>
    </row>
    <row r="103" spans="2:3" ht="15.75" thickTop="1">
      <c r="B103" s="403" t="s">
        <v>3</v>
      </c>
      <c r="C103" s="404" t="s">
        <v>193</v>
      </c>
    </row>
    <row r="104" spans="1:3" ht="12.75">
      <c r="A104">
        <v>1</v>
      </c>
      <c r="B104" s="383" t="s">
        <v>332</v>
      </c>
      <c r="C104" s="377">
        <v>1200000</v>
      </c>
    </row>
    <row r="105" spans="1:3" ht="12.75">
      <c r="A105">
        <v>2</v>
      </c>
      <c r="B105" s="383" t="s">
        <v>333</v>
      </c>
      <c r="C105" s="377">
        <v>1200000</v>
      </c>
    </row>
    <row r="106" spans="1:8" ht="12.75">
      <c r="A106">
        <v>3</v>
      </c>
      <c r="B106" s="383" t="s">
        <v>338</v>
      </c>
      <c r="C106" s="377">
        <v>1923600</v>
      </c>
      <c r="D106" s="562" t="s">
        <v>228</v>
      </c>
      <c r="E106" s="563"/>
      <c r="F106" s="563"/>
      <c r="G106" s="529" t="s">
        <v>291</v>
      </c>
      <c r="H106" s="364" t="s">
        <v>366</v>
      </c>
    </row>
    <row r="107" spans="1:8" ht="13.5" thickBot="1">
      <c r="A107">
        <v>4</v>
      </c>
      <c r="B107" s="383" t="s">
        <v>337</v>
      </c>
      <c r="C107" s="377">
        <f>1200000*12</f>
        <v>14400000</v>
      </c>
      <c r="D107" s="562" t="s">
        <v>229</v>
      </c>
      <c r="E107" s="563"/>
      <c r="F107" s="563"/>
      <c r="G107" s="540" t="s">
        <v>199</v>
      </c>
      <c r="H107" s="364" t="s">
        <v>248</v>
      </c>
    </row>
    <row r="108" spans="1:9" ht="13.5" thickTop="1">
      <c r="A108">
        <v>5</v>
      </c>
      <c r="B108" s="383" t="s">
        <v>331</v>
      </c>
      <c r="C108" s="377">
        <v>600000</v>
      </c>
      <c r="D108" s="562" t="s">
        <v>230</v>
      </c>
      <c r="E108" s="563"/>
      <c r="F108" s="563"/>
      <c r="H108" s="534" t="s">
        <v>243</v>
      </c>
      <c r="I108" s="564">
        <v>0.02</v>
      </c>
    </row>
    <row r="109" spans="1:9" ht="12.75">
      <c r="A109">
        <v>6</v>
      </c>
      <c r="B109" s="383" t="s">
        <v>330</v>
      </c>
      <c r="C109" s="377">
        <f>+(900000+88211)*12</f>
        <v>11858532</v>
      </c>
      <c r="D109" s="562" t="s">
        <v>231</v>
      </c>
      <c r="E109" s="563"/>
      <c r="F109" s="563"/>
      <c r="H109" s="197" t="s">
        <v>171</v>
      </c>
      <c r="I109" s="368">
        <v>0.05</v>
      </c>
    </row>
    <row r="110" spans="1:9" ht="12.75">
      <c r="A110">
        <v>7</v>
      </c>
      <c r="B110" s="383" t="s">
        <v>328</v>
      </c>
      <c r="C110" s="377">
        <f>(781242+88211)*12</f>
        <v>10433436</v>
      </c>
      <c r="H110" s="197" t="s">
        <v>172</v>
      </c>
      <c r="I110" s="368">
        <v>0.06</v>
      </c>
    </row>
    <row r="111" spans="1:9" ht="12.75">
      <c r="A111">
        <v>8</v>
      </c>
      <c r="B111" s="383"/>
      <c r="C111" s="377"/>
      <c r="H111" s="197" t="s">
        <v>173</v>
      </c>
      <c r="I111" s="368">
        <v>0.06</v>
      </c>
    </row>
    <row r="112" spans="1:9" ht="13.5" thickBot="1">
      <c r="A112">
        <v>9</v>
      </c>
      <c r="B112" s="376"/>
      <c r="C112" s="377">
        <v>0</v>
      </c>
      <c r="D112" t="s">
        <v>0</v>
      </c>
      <c r="H112" s="197" t="s">
        <v>174</v>
      </c>
      <c r="I112" s="369">
        <v>0.06</v>
      </c>
    </row>
    <row r="113" spans="1:3" ht="13.5" thickTop="1">
      <c r="A113">
        <v>10</v>
      </c>
      <c r="B113" s="376"/>
      <c r="C113" s="377">
        <v>0</v>
      </c>
    </row>
    <row r="114" spans="2:3" ht="13.5" thickBot="1">
      <c r="B114" s="378" t="s">
        <v>2</v>
      </c>
      <c r="C114" s="379">
        <f>SUM(C104:C113)</f>
        <v>41615568</v>
      </c>
    </row>
    <row r="115" ht="13.5" thickTop="1"/>
    <row r="117" spans="1:4" ht="12.75">
      <c r="A117" s="328"/>
      <c r="B117" s="329" t="s">
        <v>367</v>
      </c>
      <c r="C117" s="327"/>
      <c r="D117" s="327"/>
    </row>
    <row r="118" ht="13.5" thickBot="1"/>
    <row r="119" spans="2:3" ht="15.75" thickTop="1">
      <c r="B119" s="403" t="s">
        <v>3</v>
      </c>
      <c r="C119" s="404" t="s">
        <v>193</v>
      </c>
    </row>
    <row r="120" spans="1:3" ht="12.75">
      <c r="A120">
        <v>1</v>
      </c>
      <c r="B120" s="383" t="s">
        <v>326</v>
      </c>
      <c r="C120" s="377">
        <f>3000000*12</f>
        <v>36000000</v>
      </c>
    </row>
    <row r="121" spans="1:3" ht="12.75">
      <c r="A121">
        <v>2</v>
      </c>
      <c r="B121" s="383">
        <v>0</v>
      </c>
      <c r="C121" s="377">
        <v>0</v>
      </c>
    </row>
    <row r="122" spans="1:8" ht="12.75">
      <c r="A122">
        <v>3</v>
      </c>
      <c r="B122" s="383">
        <v>0</v>
      </c>
      <c r="C122" s="377">
        <v>0</v>
      </c>
      <c r="D122" s="562" t="s">
        <v>228</v>
      </c>
      <c r="E122" s="563"/>
      <c r="F122" s="563"/>
      <c r="G122" s="530" t="s">
        <v>291</v>
      </c>
      <c r="H122" s="364" t="s">
        <v>366</v>
      </c>
    </row>
    <row r="123" spans="1:8" ht="13.5" thickBot="1">
      <c r="A123">
        <v>4</v>
      </c>
      <c r="B123" s="383">
        <v>0</v>
      </c>
      <c r="C123" s="377">
        <v>0</v>
      </c>
      <c r="D123" s="562" t="s">
        <v>240</v>
      </c>
      <c r="E123" s="563"/>
      <c r="F123" s="563"/>
      <c r="G123" s="531" t="s">
        <v>199</v>
      </c>
      <c r="H123" s="364" t="s">
        <v>249</v>
      </c>
    </row>
    <row r="124" spans="1:9" ht="13.5" thickTop="1">
      <c r="A124">
        <v>5</v>
      </c>
      <c r="B124" s="383">
        <v>0</v>
      </c>
      <c r="C124" s="377">
        <v>0</v>
      </c>
      <c r="D124" s="562" t="s">
        <v>239</v>
      </c>
      <c r="E124" s="563"/>
      <c r="F124" s="563"/>
      <c r="H124" s="541" t="s">
        <v>243</v>
      </c>
      <c r="I124" s="535">
        <v>0.02</v>
      </c>
    </row>
    <row r="125" spans="1:9" ht="12.75">
      <c r="A125">
        <v>6</v>
      </c>
      <c r="B125" s="383">
        <v>0</v>
      </c>
      <c r="C125" s="377">
        <v>0</v>
      </c>
      <c r="D125" s="562" t="s">
        <v>231</v>
      </c>
      <c r="E125" s="563"/>
      <c r="F125" s="563"/>
      <c r="H125" s="197" t="s">
        <v>171</v>
      </c>
      <c r="I125" s="368">
        <v>0.04</v>
      </c>
    </row>
    <row r="126" spans="1:9" ht="12.75">
      <c r="A126">
        <v>7</v>
      </c>
      <c r="B126" s="376">
        <v>0</v>
      </c>
      <c r="C126" s="377">
        <v>0</v>
      </c>
      <c r="H126" s="197" t="s">
        <v>172</v>
      </c>
      <c r="I126" s="368">
        <v>0.045</v>
      </c>
    </row>
    <row r="127" spans="1:9" ht="12.75">
      <c r="A127">
        <v>8</v>
      </c>
      <c r="B127" s="376">
        <v>0</v>
      </c>
      <c r="C127" s="377">
        <v>0</v>
      </c>
      <c r="H127" s="197" t="s">
        <v>173</v>
      </c>
      <c r="I127" s="368">
        <v>0.05</v>
      </c>
    </row>
    <row r="128" spans="1:9" ht="13.5" thickBot="1">
      <c r="A128">
        <v>9</v>
      </c>
      <c r="B128" s="376">
        <v>0</v>
      </c>
      <c r="C128" s="377">
        <v>0</v>
      </c>
      <c r="H128" s="197" t="s">
        <v>174</v>
      </c>
      <c r="I128" s="369">
        <v>0.055</v>
      </c>
    </row>
    <row r="129" spans="1:3" ht="13.5" thickTop="1">
      <c r="A129">
        <v>10</v>
      </c>
      <c r="B129" s="376">
        <v>0</v>
      </c>
      <c r="C129" s="377">
        <v>0</v>
      </c>
    </row>
    <row r="130" spans="2:3" ht="13.5" thickBot="1">
      <c r="B130" s="378" t="s">
        <v>2</v>
      </c>
      <c r="C130" s="379">
        <f>SUM(C120:C129)</f>
        <v>36000000</v>
      </c>
    </row>
    <row r="133" spans="1:9" ht="13.5" thickBot="1">
      <c r="A133" s="328"/>
      <c r="B133" s="329" t="s">
        <v>350</v>
      </c>
      <c r="C133" s="327"/>
      <c r="D133" s="327"/>
      <c r="E133" s="327"/>
      <c r="F133" s="327"/>
      <c r="G133" s="370"/>
      <c r="H133" s="370"/>
      <c r="I133" s="370"/>
    </row>
    <row r="134" ht="14.25" thickBot="1" thickTop="1">
      <c r="B134" s="398">
        <v>119923500</v>
      </c>
    </row>
    <row r="135" ht="13.5" thickTop="1">
      <c r="B135" s="83"/>
    </row>
    <row r="136" spans="1:10" ht="13.5" hidden="1" thickBot="1">
      <c r="A136" s="328"/>
      <c r="B136" s="332" t="s">
        <v>265</v>
      </c>
      <c r="C136" s="327"/>
      <c r="D136" s="327"/>
      <c r="E136" s="327"/>
      <c r="F136" s="327"/>
      <c r="G136" s="327"/>
      <c r="H136" s="327"/>
      <c r="I136" s="370"/>
      <c r="J136" s="370"/>
    </row>
    <row r="137" spans="2:9" ht="14.25" hidden="1" thickBot="1" thickTop="1">
      <c r="B137" s="398">
        <v>1</v>
      </c>
      <c r="C137" s="529" t="s">
        <v>291</v>
      </c>
      <c r="D137" s="367" t="s">
        <v>162</v>
      </c>
      <c r="E137" s="399">
        <v>1</v>
      </c>
      <c r="F137" s="530" t="s">
        <v>291</v>
      </c>
      <c r="G137" s="367" t="s">
        <v>163</v>
      </c>
      <c r="H137" s="400">
        <v>0.01</v>
      </c>
      <c r="I137" s="511" t="s">
        <v>318</v>
      </c>
    </row>
    <row r="138" spans="3:8" ht="12.75" hidden="1">
      <c r="C138" s="540" t="s">
        <v>199</v>
      </c>
      <c r="F138" s="531" t="s">
        <v>199</v>
      </c>
      <c r="G138" s="490" t="s">
        <v>161</v>
      </c>
      <c r="H138" s="489"/>
    </row>
    <row r="139" spans="1:13" ht="13.5" thickBot="1">
      <c r="A139" s="328"/>
      <c r="B139" s="329" t="s">
        <v>351</v>
      </c>
      <c r="C139" s="327"/>
      <c r="D139" s="327"/>
      <c r="E139" s="327"/>
      <c r="F139" s="327"/>
      <c r="G139" s="333"/>
      <c r="H139" s="333"/>
      <c r="I139" s="333"/>
      <c r="J139" s="333"/>
      <c r="K139" s="333"/>
      <c r="L139" s="61"/>
      <c r="M139" s="61"/>
    </row>
    <row r="140" spans="2:13" ht="14.25" thickBot="1" thickTop="1">
      <c r="B140" s="398">
        <v>1000000</v>
      </c>
      <c r="F140" s="61"/>
      <c r="G140" s="61"/>
      <c r="H140" s="61"/>
      <c r="I140" s="61"/>
      <c r="J140" s="61"/>
      <c r="K140" s="61"/>
      <c r="L140" s="61"/>
      <c r="M140" s="61"/>
    </row>
    <row r="141" spans="6:13" ht="13.5" thickTop="1">
      <c r="F141" s="61"/>
      <c r="G141" s="61"/>
      <c r="H141" s="61"/>
      <c r="I141" s="61"/>
      <c r="J141" s="61"/>
      <c r="K141" s="61"/>
      <c r="L141" s="61"/>
      <c r="M141" s="61"/>
    </row>
    <row r="142" spans="1:13" ht="13.5" thickBot="1">
      <c r="A142" s="328"/>
      <c r="B142" s="329" t="s">
        <v>352</v>
      </c>
      <c r="C142" s="327"/>
      <c r="D142" s="370"/>
      <c r="F142" s="61"/>
      <c r="G142" s="61"/>
      <c r="H142" s="333"/>
      <c r="I142" s="61"/>
      <c r="J142" s="61"/>
      <c r="K142" s="61"/>
      <c r="L142" s="61"/>
      <c r="M142" s="61"/>
    </row>
    <row r="143" spans="2:13" ht="14.25" thickBot="1" thickTop="1">
      <c r="B143" s="401">
        <v>0.33</v>
      </c>
      <c r="C143" s="517" t="s">
        <v>225</v>
      </c>
      <c r="D143" s="516"/>
      <c r="E143" s="516"/>
      <c r="F143" s="516"/>
      <c r="G143" s="61"/>
      <c r="H143" s="61"/>
      <c r="I143" s="61"/>
      <c r="J143" s="61"/>
      <c r="K143" s="61"/>
      <c r="L143" s="491"/>
      <c r="M143" s="61"/>
    </row>
    <row r="144" ht="13.5" thickTop="1"/>
  </sheetData>
  <sheetProtection password="CF50" objects="1" scenarios="1"/>
  <mergeCells count="12">
    <mergeCell ref="M30:N30"/>
    <mergeCell ref="M31:N31"/>
    <mergeCell ref="M26:N26"/>
    <mergeCell ref="M27:N27"/>
    <mergeCell ref="M28:N28"/>
    <mergeCell ref="M29:N29"/>
    <mergeCell ref="M22:N22"/>
    <mergeCell ref="M23:N23"/>
    <mergeCell ref="M24:N24"/>
    <mergeCell ref="M25:N25"/>
    <mergeCell ref="C1:G1"/>
    <mergeCell ref="B6:H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2:J20"/>
  <sheetViews>
    <sheetView showGridLines="0" zoomScale="75" zoomScaleNormal="75" zoomScalePageLayoutView="0" workbookViewId="0" topLeftCell="A1">
      <selection activeCell="C7" sqref="C7"/>
    </sheetView>
  </sheetViews>
  <sheetFormatPr defaultColWidth="11.421875" defaultRowHeight="12.75"/>
  <cols>
    <col min="1" max="1" width="5.57421875" style="0" customWidth="1"/>
    <col min="2" max="2" width="28.140625" style="0" customWidth="1"/>
    <col min="3" max="3" width="19.57421875" style="0" bestFit="1" customWidth="1"/>
    <col min="4" max="5" width="17.140625" style="0" bestFit="1" customWidth="1"/>
    <col min="6" max="7" width="16.7109375" style="0" bestFit="1" customWidth="1"/>
    <col min="8" max="14" width="13.8515625" style="0" bestFit="1" customWidth="1"/>
  </cols>
  <sheetData>
    <row r="2" spans="2:7" ht="12.75">
      <c r="B2" s="4" t="str">
        <f>+'COMPRA DE MAT. PRIMAS'!$F$2</f>
        <v>NOMBRE DE LA EMPRESA:</v>
      </c>
      <c r="C2" s="328" t="str">
        <f>+'GASTOS DE ADMÓN'!C2</f>
        <v>Gas Metano</v>
      </c>
      <c r="D2" s="327"/>
      <c r="E2" s="327"/>
      <c r="F2" s="327"/>
      <c r="G2" s="327"/>
    </row>
    <row r="4" ht="12.75">
      <c r="B4" s="1" t="s">
        <v>91</v>
      </c>
    </row>
    <row r="6" spans="2:7" ht="15">
      <c r="B6" s="250" t="s">
        <v>3</v>
      </c>
      <c r="C6" s="251" t="s">
        <v>176</v>
      </c>
      <c r="D6" s="252" t="s">
        <v>177</v>
      </c>
      <c r="E6" s="251" t="s">
        <v>178</v>
      </c>
      <c r="F6" s="252" t="s">
        <v>179</v>
      </c>
      <c r="G6" s="253" t="s">
        <v>180</v>
      </c>
    </row>
    <row r="7" spans="2:7" ht="12.75">
      <c r="B7" s="246" t="str">
        <f>+'DATOS GENERALES'!$B$120</f>
        <v>Gerente</v>
      </c>
      <c r="C7" s="119">
        <f>+'DATOS GENERALES'!$C$120</f>
        <v>36000000</v>
      </c>
      <c r="D7" s="124">
        <f>+C7+C7*'DATOS GENERALES'!$I$125</f>
        <v>37440000</v>
      </c>
      <c r="E7" s="124">
        <f>+D7+D7*'DATOS GENERALES'!$I$126</f>
        <v>39124800</v>
      </c>
      <c r="F7" s="124">
        <f>+E7+E7*'DATOS GENERALES'!$I$127</f>
        <v>41081040</v>
      </c>
      <c r="G7" s="119">
        <f>+F7+F7*'DATOS GENERALES'!$I$128</f>
        <v>43340497.2</v>
      </c>
    </row>
    <row r="8" spans="2:7" ht="12.75">
      <c r="B8" s="246">
        <f>+'DATOS GENERALES'!$B$121</f>
        <v>0</v>
      </c>
      <c r="C8" s="119">
        <f>+'DATOS GENERALES'!$C$121</f>
        <v>0</v>
      </c>
      <c r="D8" s="124">
        <f>+C8+C8*'DATOS GENERALES'!$I$125</f>
        <v>0</v>
      </c>
      <c r="E8" s="124">
        <f>+D8+D8*'DATOS GENERALES'!$I$126</f>
        <v>0</v>
      </c>
      <c r="F8" s="124">
        <f>+E8+E8*'DATOS GENERALES'!$I$127</f>
        <v>0</v>
      </c>
      <c r="G8" s="119">
        <f>+F8+F8*'DATOS GENERALES'!$I$128</f>
        <v>0</v>
      </c>
    </row>
    <row r="9" spans="2:7" ht="12.75">
      <c r="B9" s="246">
        <f>+'DATOS GENERALES'!$B$122</f>
        <v>0</v>
      </c>
      <c r="C9" s="119">
        <f>+'DATOS GENERALES'!$C$122</f>
        <v>0</v>
      </c>
      <c r="D9" s="124">
        <f>+C9+C9*'DATOS GENERALES'!$I$125</f>
        <v>0</v>
      </c>
      <c r="E9" s="124">
        <f>+D9+D9*'DATOS GENERALES'!$I$126</f>
        <v>0</v>
      </c>
      <c r="F9" s="124">
        <f>+E9+E9*'DATOS GENERALES'!$I$127</f>
        <v>0</v>
      </c>
      <c r="G9" s="119">
        <f>+F9+F9*'DATOS GENERALES'!$I$128</f>
        <v>0</v>
      </c>
    </row>
    <row r="10" spans="2:7" ht="12.75">
      <c r="B10" s="246">
        <f>+'DATOS GENERALES'!$B$123</f>
        <v>0</v>
      </c>
      <c r="C10" s="119">
        <f>+'DATOS GENERALES'!$C$123</f>
        <v>0</v>
      </c>
      <c r="D10" s="124">
        <f>+C10+C10*'DATOS GENERALES'!$I$125</f>
        <v>0</v>
      </c>
      <c r="E10" s="124">
        <f>+D10+D10*'DATOS GENERALES'!$I$126</f>
        <v>0</v>
      </c>
      <c r="F10" s="124">
        <f>+E10+E10*'DATOS GENERALES'!$I$127</f>
        <v>0</v>
      </c>
      <c r="G10" s="119">
        <f>+F10+F10*'DATOS GENERALES'!$I$128</f>
        <v>0</v>
      </c>
    </row>
    <row r="11" spans="2:7" ht="12.75">
      <c r="B11" s="246">
        <f>+'DATOS GENERALES'!$B$124</f>
        <v>0</v>
      </c>
      <c r="C11" s="119">
        <f>+'DATOS GENERALES'!$C$124</f>
        <v>0</v>
      </c>
      <c r="D11" s="124">
        <f>+C11+C11*'DATOS GENERALES'!$I$125</f>
        <v>0</v>
      </c>
      <c r="E11" s="124">
        <f>+D11+D11*'DATOS GENERALES'!$I$126</f>
        <v>0</v>
      </c>
      <c r="F11" s="124">
        <f>+E11+E11*'DATOS GENERALES'!$I$127</f>
        <v>0</v>
      </c>
      <c r="G11" s="119">
        <f>+F11+F11*'DATOS GENERALES'!$I$128</f>
        <v>0</v>
      </c>
    </row>
    <row r="12" spans="2:7" ht="12.75">
      <c r="B12" s="246">
        <f>+'DATOS GENERALES'!$B$125</f>
        <v>0</v>
      </c>
      <c r="C12" s="119">
        <f>+'DATOS GENERALES'!$C$125</f>
        <v>0</v>
      </c>
      <c r="D12" s="124">
        <f>+C12+C12*'DATOS GENERALES'!$I$125</f>
        <v>0</v>
      </c>
      <c r="E12" s="124">
        <f>+D12+D12*'DATOS GENERALES'!$I$126</f>
        <v>0</v>
      </c>
      <c r="F12" s="124">
        <f>+E12+E12*'DATOS GENERALES'!$I$127</f>
        <v>0</v>
      </c>
      <c r="G12" s="119">
        <f>+F12+F12*'DATOS GENERALES'!$I$128</f>
        <v>0</v>
      </c>
    </row>
    <row r="13" spans="2:7" ht="12.75">
      <c r="B13" s="246">
        <f>+'DATOS GENERALES'!$B$126</f>
        <v>0</v>
      </c>
      <c r="C13" s="119">
        <f>+'DATOS GENERALES'!$C$126</f>
        <v>0</v>
      </c>
      <c r="D13" s="124">
        <f>+C13+C13*'DATOS GENERALES'!$I$125</f>
        <v>0</v>
      </c>
      <c r="E13" s="124">
        <f>+D13+D13*'DATOS GENERALES'!$I$126</f>
        <v>0</v>
      </c>
      <c r="F13" s="124">
        <f>+E13+E13*'DATOS GENERALES'!$I$127</f>
        <v>0</v>
      </c>
      <c r="G13" s="119">
        <f>+F13+F13*'DATOS GENERALES'!$I$128</f>
        <v>0</v>
      </c>
    </row>
    <row r="14" spans="2:7" ht="12.75">
      <c r="B14" s="246">
        <f>+'DATOS GENERALES'!$B$127</f>
        <v>0</v>
      </c>
      <c r="C14" s="119">
        <f>+'DATOS GENERALES'!$C$127</f>
        <v>0</v>
      </c>
      <c r="D14" s="124">
        <f>+C14+C14*'DATOS GENERALES'!$I$125</f>
        <v>0</v>
      </c>
      <c r="E14" s="124">
        <f>+D14+D14*'DATOS GENERALES'!$I$126</f>
        <v>0</v>
      </c>
      <c r="F14" s="124">
        <f>+E14+E14*'DATOS GENERALES'!$I$127</f>
        <v>0</v>
      </c>
      <c r="G14" s="119">
        <f>+F14+F14*'DATOS GENERALES'!$I$128</f>
        <v>0</v>
      </c>
    </row>
    <row r="15" spans="2:7" ht="12.75">
      <c r="B15" s="246">
        <f>+'DATOS GENERALES'!$B$128</f>
        <v>0</v>
      </c>
      <c r="C15" s="119">
        <f>+'DATOS GENERALES'!$C$128</f>
        <v>0</v>
      </c>
      <c r="D15" s="124">
        <f>+C15+C15*'DATOS GENERALES'!$I$125</f>
        <v>0</v>
      </c>
      <c r="E15" s="124">
        <f>+D15+D15*'DATOS GENERALES'!$I$126</f>
        <v>0</v>
      </c>
      <c r="F15" s="124">
        <f>+E15+E15*'DATOS GENERALES'!$I$127</f>
        <v>0</v>
      </c>
      <c r="G15" s="119">
        <f>+F15+F15*'DATOS GENERALES'!$I$128</f>
        <v>0</v>
      </c>
    </row>
    <row r="16" spans="2:7" ht="12.75">
      <c r="B16" s="246">
        <f>+'DATOS GENERALES'!$B$129</f>
        <v>0</v>
      </c>
      <c r="C16" s="119">
        <f>+'DATOS GENERALES'!$C$129</f>
        <v>0</v>
      </c>
      <c r="D16" s="124">
        <f>+C16+C16*'DATOS GENERALES'!$I$125</f>
        <v>0</v>
      </c>
      <c r="E16" s="124">
        <f>+D16+D16*'DATOS GENERALES'!$I$126</f>
        <v>0</v>
      </c>
      <c r="F16" s="124">
        <f>+E16+E16*'DATOS GENERALES'!$I$127</f>
        <v>0</v>
      </c>
      <c r="G16" s="119">
        <f>+F16+F16*'DATOS GENERALES'!$I$128</f>
        <v>0</v>
      </c>
    </row>
    <row r="17" spans="2:7" ht="12.75">
      <c r="B17" s="246" t="s">
        <v>24</v>
      </c>
      <c r="C17" s="119">
        <f>+'BALANCE GENERAL'!$U$31</f>
        <v>0</v>
      </c>
      <c r="D17" s="124">
        <f>+'BALANCE GENERAL'!$V$31</f>
        <v>0</v>
      </c>
      <c r="E17" s="124">
        <f>+'BALANCE GENERAL'!$W$31</f>
        <v>0</v>
      </c>
      <c r="F17" s="124">
        <f>+'BALANCE GENERAL'!$X$31</f>
        <v>0</v>
      </c>
      <c r="G17" s="119">
        <f>+'BALANCE GENERAL'!$Y$31</f>
        <v>0</v>
      </c>
    </row>
    <row r="18" spans="2:7" ht="12.75">
      <c r="B18" s="246">
        <v>0</v>
      </c>
      <c r="C18" s="199">
        <v>0</v>
      </c>
      <c r="D18" s="198">
        <v>0</v>
      </c>
      <c r="E18" s="198">
        <v>0</v>
      </c>
      <c r="F18" s="198">
        <v>0</v>
      </c>
      <c r="G18" s="199">
        <v>0</v>
      </c>
    </row>
    <row r="19" spans="2:7" ht="12.75">
      <c r="B19" s="247" t="s">
        <v>2</v>
      </c>
      <c r="C19" s="248">
        <f>SUM(C7:C18)</f>
        <v>36000000</v>
      </c>
      <c r="D19" s="248">
        <f>SUM(D7:D18)</f>
        <v>37440000</v>
      </c>
      <c r="E19" s="248">
        <f>SUM(E7:E18)</f>
        <v>39124800</v>
      </c>
      <c r="F19" s="248">
        <f>SUM(F7:F18)</f>
        <v>41081040</v>
      </c>
      <c r="G19" s="249">
        <f>SUM(G7:G18)</f>
        <v>43340497.2</v>
      </c>
    </row>
    <row r="20" spans="8:10" ht="12.75">
      <c r="H20" s="1"/>
      <c r="J20" s="1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2:H278"/>
  <sheetViews>
    <sheetView showGridLines="0" zoomScale="75" zoomScaleNormal="75" zoomScalePageLayoutView="0" workbookViewId="0" topLeftCell="A1">
      <selection activeCell="D18" sqref="D18:H18"/>
    </sheetView>
  </sheetViews>
  <sheetFormatPr defaultColWidth="11.421875" defaultRowHeight="12.75"/>
  <cols>
    <col min="2" max="2" width="6.00390625" style="47" customWidth="1"/>
    <col min="3" max="3" width="37.28125" style="0" customWidth="1"/>
    <col min="4" max="4" width="20.7109375" style="0" bestFit="1" customWidth="1"/>
    <col min="5" max="5" width="23.140625" style="0" customWidth="1"/>
    <col min="6" max="6" width="25.00390625" style="0" customWidth="1"/>
    <col min="7" max="7" width="24.7109375" style="0" customWidth="1"/>
    <col min="8" max="8" width="26.421875" style="0" customWidth="1"/>
    <col min="9" max="15" width="14.8515625" style="0" bestFit="1" customWidth="1"/>
  </cols>
  <sheetData>
    <row r="2" spans="3:7" ht="14.25">
      <c r="C2" s="325" t="str">
        <f>+'COMPRA DE MAT. PRIMAS'!$F$2</f>
        <v>NOMBRE DE LA EMPRESA:</v>
      </c>
      <c r="D2" s="328" t="str">
        <f>+'GASTOS DE VENTAS'!C2</f>
        <v>Gas Metano</v>
      </c>
      <c r="E2" s="327"/>
      <c r="F2" s="327"/>
      <c r="G2" s="327"/>
    </row>
    <row r="4" spans="3:6" ht="14.25">
      <c r="C4" s="1" t="s">
        <v>35</v>
      </c>
      <c r="E4" s="184" t="s">
        <v>0</v>
      </c>
      <c r="F4" t="s">
        <v>0</v>
      </c>
    </row>
    <row r="5" ht="14.25">
      <c r="E5" s="184" t="s">
        <v>0</v>
      </c>
    </row>
    <row r="6" spans="3:6" ht="14.25">
      <c r="C6" s="1" t="s">
        <v>192</v>
      </c>
      <c r="E6" s="184" t="s">
        <v>0</v>
      </c>
      <c r="F6" s="5" t="s">
        <v>0</v>
      </c>
    </row>
    <row r="8" spans="2:8" ht="15">
      <c r="B8" s="240"/>
      <c r="C8" s="241" t="s">
        <v>3</v>
      </c>
      <c r="D8" s="225" t="s">
        <v>176</v>
      </c>
      <c r="E8" s="225" t="s">
        <v>177</v>
      </c>
      <c r="F8" s="225" t="s">
        <v>178</v>
      </c>
      <c r="G8" s="225" t="s">
        <v>179</v>
      </c>
      <c r="H8" s="224" t="s">
        <v>180</v>
      </c>
    </row>
    <row r="9" spans="2:8" ht="15">
      <c r="B9" s="242"/>
      <c r="C9" s="30" t="s">
        <v>1</v>
      </c>
      <c r="D9" s="450">
        <f>+VENTAS!D11</f>
        <v>159840000</v>
      </c>
      <c r="E9" s="451">
        <f>+VENTAS!E11</f>
        <v>181718100</v>
      </c>
      <c r="F9" s="454">
        <f>+VENTAS!F11</f>
        <v>205875918.00000003</v>
      </c>
      <c r="G9" s="451">
        <f>+VENTAS!G11</f>
        <v>232525411.83000004</v>
      </c>
      <c r="H9" s="455">
        <f>+VENTAS!H11</f>
        <v>261897042.79800004</v>
      </c>
    </row>
    <row r="10" spans="2:8" ht="15">
      <c r="B10" s="242" t="s">
        <v>33</v>
      </c>
      <c r="C10" s="30" t="s">
        <v>32</v>
      </c>
      <c r="D10" s="42">
        <f>+'COSTO DE VENTAS'!D11</f>
        <v>69958502.528</v>
      </c>
      <c r="E10" s="199">
        <f>+'COSTO DE VENTAS'!E11</f>
        <v>73622071.2698</v>
      </c>
      <c r="F10" s="51">
        <f>+'COSTO DE VENTAS'!F11</f>
        <v>77812264.820528</v>
      </c>
      <c r="G10" s="199">
        <f>+'COSTO DE VENTAS'!G11</f>
        <v>116756500.87191969</v>
      </c>
      <c r="H10" s="218">
        <f>+'COSTO DE VENTAS'!H11</f>
        <v>123513893.84601486</v>
      </c>
    </row>
    <row r="11" spans="2:8" ht="15">
      <c r="B11" s="243" t="s">
        <v>31</v>
      </c>
      <c r="C11" s="150" t="s">
        <v>36</v>
      </c>
      <c r="D11" s="419">
        <f>+D9-D10</f>
        <v>89881497.472</v>
      </c>
      <c r="E11" s="452">
        <f>+E9-E10</f>
        <v>108096028.7302</v>
      </c>
      <c r="F11" s="419">
        <f>+F9-F10</f>
        <v>128063653.17947203</v>
      </c>
      <c r="G11" s="452">
        <f>+G9-G10</f>
        <v>115768910.95808035</v>
      </c>
      <c r="H11" s="232">
        <f>+H9-H10</f>
        <v>138383148.95198518</v>
      </c>
    </row>
    <row r="12" spans="2:8" ht="15">
      <c r="B12" s="242" t="s">
        <v>33</v>
      </c>
      <c r="C12" s="70" t="s">
        <v>37</v>
      </c>
      <c r="D12" s="418">
        <f>+'GASTOS DE ADMÓN'!C19</f>
        <v>48593001.333333336</v>
      </c>
      <c r="E12" s="119">
        <f>+'GASTOS DE ADMÓN'!D19</f>
        <v>50673779.73333334</v>
      </c>
      <c r="F12" s="418">
        <f>+'GASTOS DE ADMÓN'!E19</f>
        <v>53295560.517333336</v>
      </c>
      <c r="G12" s="119">
        <f>+'GASTOS DE ADMÓN'!F19</f>
        <v>54881314.81504</v>
      </c>
      <c r="H12" s="222">
        <f>+'GASTOS DE ADMÓN'!G19</f>
        <v>57827147.7039424</v>
      </c>
    </row>
    <row r="13" spans="2:8" ht="15">
      <c r="B13" s="242" t="s">
        <v>33</v>
      </c>
      <c r="C13" s="70" t="s">
        <v>38</v>
      </c>
      <c r="D13" s="418">
        <f>+'GASTOS DE VENTAS'!C19</f>
        <v>36000000</v>
      </c>
      <c r="E13" s="119">
        <f>+'GASTOS DE VENTAS'!D19</f>
        <v>37440000</v>
      </c>
      <c r="F13" s="418">
        <f>+'GASTOS DE VENTAS'!E19</f>
        <v>39124800</v>
      </c>
      <c r="G13" s="119">
        <f>+'GASTOS DE VENTAS'!F19</f>
        <v>41081040</v>
      </c>
      <c r="H13" s="222">
        <f>+'GASTOS DE VENTAS'!G19</f>
        <v>43340497.2</v>
      </c>
    </row>
    <row r="14" spans="2:8" ht="15">
      <c r="B14" s="243" t="s">
        <v>31</v>
      </c>
      <c r="C14" s="46" t="s">
        <v>138</v>
      </c>
      <c r="D14" s="419">
        <f>+D11-D12-D13</f>
        <v>5288496.138666667</v>
      </c>
      <c r="E14" s="452">
        <f>+E11-E12-E13</f>
        <v>19982248.99686665</v>
      </c>
      <c r="F14" s="419">
        <f>+F11-F12-F13</f>
        <v>35643292.6621387</v>
      </c>
      <c r="G14" s="452">
        <f>+G11-G12-G13</f>
        <v>19806556.14304035</v>
      </c>
      <c r="H14" s="232">
        <f>+H11-H12-H13</f>
        <v>37215504.048042774</v>
      </c>
    </row>
    <row r="15" spans="2:8" ht="12.75">
      <c r="B15" s="448" t="s">
        <v>293</v>
      </c>
      <c r="C15" s="417" t="s">
        <v>152</v>
      </c>
      <c r="D15" s="418">
        <f>SUM('PREST. FINANCIERO'!$D$16:$D$27)</f>
        <v>0.0008333416666666668</v>
      </c>
      <c r="E15" s="119">
        <f>SUM('PREST. FINANCIERO'!$D$28:$D$39)</f>
        <v>0</v>
      </c>
      <c r="F15" s="418">
        <f>SUM('PREST. FINANCIERO'!$D$40:$D$51)</f>
        <v>0</v>
      </c>
      <c r="G15" s="119">
        <f>SUM('PREST. FINANCIERO'!$D$52:$D$63)</f>
        <v>0</v>
      </c>
      <c r="H15" s="222">
        <f>SUM('PREST. FINANCIERO'!$D$64:$D$75)</f>
        <v>0</v>
      </c>
    </row>
    <row r="16" spans="2:8" ht="12.75">
      <c r="B16" s="449" t="s">
        <v>31</v>
      </c>
      <c r="C16" s="150" t="s">
        <v>294</v>
      </c>
      <c r="D16" s="419">
        <f>+D14-D15</f>
        <v>5288496.137833325</v>
      </c>
      <c r="E16" s="452">
        <f>+E14-E15</f>
        <v>19982248.99686665</v>
      </c>
      <c r="F16" s="419">
        <f>+F14-F15</f>
        <v>35643292.6621387</v>
      </c>
      <c r="G16" s="452">
        <f>+G14-G15</f>
        <v>19806556.14304035</v>
      </c>
      <c r="H16" s="232">
        <f>+H14-H15</f>
        <v>37215504.048042774</v>
      </c>
    </row>
    <row r="17" spans="2:8" ht="15">
      <c r="B17" s="242" t="s">
        <v>33</v>
      </c>
      <c r="C17" s="70" t="s">
        <v>39</v>
      </c>
      <c r="D17" s="418">
        <f>+IF(D16&lt;=0,0,D16*'DATOS GENERALES'!$B$143)</f>
        <v>1745203.7254849975</v>
      </c>
      <c r="E17" s="119">
        <f>+IF(E16&lt;=0,0,E16*'DATOS GENERALES'!$B$143)</f>
        <v>6594142.168965995</v>
      </c>
      <c r="F17" s="418">
        <f>+IF(F16&lt;=0,0,F16*'DATOS GENERALES'!$B$143)</f>
        <v>11762286.578505771</v>
      </c>
      <c r="G17" s="119">
        <f>+IF(G16&lt;=0,0,G16*'DATOS GENERALES'!$B$143)</f>
        <v>6536163.527203316</v>
      </c>
      <c r="H17" s="222">
        <f>+IF(H16&lt;=0,0,H16*'DATOS GENERALES'!$B$143)</f>
        <v>12281116.335854117</v>
      </c>
    </row>
    <row r="18" spans="2:8" ht="15">
      <c r="B18" s="244" t="s">
        <v>31</v>
      </c>
      <c r="C18" s="245" t="s">
        <v>41</v>
      </c>
      <c r="D18" s="219">
        <f>+D16-D17</f>
        <v>3543292.4123483277</v>
      </c>
      <c r="E18" s="453">
        <f>+E16-E17</f>
        <v>13388106.827900656</v>
      </c>
      <c r="F18" s="219">
        <f>+F16-F17</f>
        <v>23881006.08363293</v>
      </c>
      <c r="G18" s="453">
        <f>+G16-G17</f>
        <v>13270392.615837036</v>
      </c>
      <c r="H18" s="220">
        <f>+H16-H17</f>
        <v>24934387.712188657</v>
      </c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2:AL48"/>
  <sheetViews>
    <sheetView showGridLines="0" zoomScale="75" zoomScaleNormal="75" zoomScalePageLayoutView="0" workbookViewId="0" topLeftCell="A1">
      <selection activeCell="A29" sqref="A29"/>
    </sheetView>
  </sheetViews>
  <sheetFormatPr defaultColWidth="11.421875" defaultRowHeight="12.75"/>
  <cols>
    <col min="2" max="2" width="33.7109375" style="0" customWidth="1"/>
    <col min="3" max="3" width="19.57421875" style="0" bestFit="1" customWidth="1"/>
    <col min="4" max="4" width="28.7109375" style="0" bestFit="1" customWidth="1"/>
    <col min="5" max="6" width="16.00390625" style="0" bestFit="1" customWidth="1"/>
    <col min="7" max="7" width="16.28125" style="0" bestFit="1" customWidth="1"/>
    <col min="8" max="8" width="16.00390625" style="0" bestFit="1" customWidth="1"/>
    <col min="10" max="11" width="16.28125" style="0" bestFit="1" customWidth="1"/>
    <col min="12" max="12" width="29.28125" style="0" customWidth="1"/>
    <col min="13" max="15" width="13.00390625" style="0" customWidth="1"/>
    <col min="16" max="17" width="13.57421875" style="0" customWidth="1"/>
    <col min="20" max="20" width="20.57421875" style="0" customWidth="1"/>
    <col min="21" max="21" width="19.57421875" style="0" bestFit="1" customWidth="1"/>
    <col min="22" max="23" width="17.140625" style="0" bestFit="1" customWidth="1"/>
    <col min="24" max="25" width="18.00390625" style="0" bestFit="1" customWidth="1"/>
  </cols>
  <sheetData>
    <row r="2" spans="2:17" ht="12.75">
      <c r="B2" s="4" t="str">
        <f>+'ESTADO DE RESULTADOS (GYP)'!C2</f>
        <v>NOMBRE DE LA EMPRESA:</v>
      </c>
      <c r="C2" s="328" t="str">
        <f>+'ESTADO DE RESULTADOS (GYP)'!D2</f>
        <v>Gas Metano</v>
      </c>
      <c r="D2" s="327"/>
      <c r="E2" s="327"/>
      <c r="F2" s="327"/>
      <c r="G2" s="327"/>
      <c r="H2" s="327"/>
      <c r="L2" s="4" t="str">
        <f>+'COMPRA DE MAT. PRIMAS'!$F$2</f>
        <v>NOMBRE DE LA EMPRESA:</v>
      </c>
      <c r="M2" s="328" t="str">
        <f>+'BALANCE GENERAL'!U6</f>
        <v>Gas Metano</v>
      </c>
      <c r="N2" s="327"/>
      <c r="O2" s="327"/>
      <c r="P2" s="327"/>
      <c r="Q2" s="327"/>
    </row>
    <row r="4" spans="4:12" ht="12.75">
      <c r="D4" t="s">
        <v>191</v>
      </c>
      <c r="L4" s="1" t="s">
        <v>259</v>
      </c>
    </row>
    <row r="6" spans="2:25" ht="12.75">
      <c r="B6" s="186" t="s">
        <v>42</v>
      </c>
      <c r="C6" s="345" t="s">
        <v>155</v>
      </c>
      <c r="D6" s="346" t="s">
        <v>176</v>
      </c>
      <c r="E6" s="345" t="s">
        <v>177</v>
      </c>
      <c r="F6" s="346" t="s">
        <v>178</v>
      </c>
      <c r="G6" s="345" t="s">
        <v>179</v>
      </c>
      <c r="H6" s="345" t="s">
        <v>180</v>
      </c>
      <c r="L6" s="347" t="s">
        <v>263</v>
      </c>
      <c r="M6" s="349" t="s">
        <v>82</v>
      </c>
      <c r="N6" s="350" t="s">
        <v>260</v>
      </c>
      <c r="O6" s="351"/>
      <c r="P6" s="348"/>
      <c r="Q6" s="338"/>
      <c r="T6" s="4" t="str">
        <f>+'COMPRA DE MAT. PRIMAS'!$F$2</f>
        <v>NOMBRE DE LA EMPRESA:</v>
      </c>
      <c r="U6" s="328" t="str">
        <f>+'PREST. FINANCIERO'!D3</f>
        <v>Gas Metano</v>
      </c>
      <c r="V6" s="327"/>
      <c r="W6" s="327"/>
      <c r="X6" s="327"/>
      <c r="Y6" s="327"/>
    </row>
    <row r="7" spans="2:17" ht="12.75">
      <c r="B7" s="80" t="s">
        <v>56</v>
      </c>
      <c r="C7" s="128"/>
      <c r="D7" s="129"/>
      <c r="E7" s="128"/>
      <c r="F7" s="73"/>
      <c r="G7" s="128"/>
      <c r="H7" s="187"/>
      <c r="L7" s="59" t="s">
        <v>258</v>
      </c>
      <c r="M7" s="203">
        <f>+'DATOS GENERALES'!C52</f>
        <v>0</v>
      </c>
      <c r="N7" s="204">
        <f>+M7/5</f>
        <v>0</v>
      </c>
      <c r="O7" s="205"/>
      <c r="P7" s="56"/>
      <c r="Q7" s="210"/>
    </row>
    <row r="8" spans="2:20" ht="12.75">
      <c r="B8" s="79" t="s">
        <v>218</v>
      </c>
      <c r="C8" s="126">
        <f>+'DATOS GENERALES'!B140</f>
        <v>1000000</v>
      </c>
      <c r="D8" s="127">
        <f>+'FLUJO DE EFECTIVO'!D50</f>
        <v>16993479.471156657</v>
      </c>
      <c r="E8" s="127">
        <f>+'FLUJO DE EFECTIVO'!E50</f>
        <v>45935508.075871676</v>
      </c>
      <c r="F8" s="127">
        <f>+'FLUJO DE EFECTIVO'!F50</f>
        <v>85689641.90237772</v>
      </c>
      <c r="G8" s="127">
        <f>+'FLUJO DE EFECTIVO'!G50</f>
        <v>103245561.4669123</v>
      </c>
      <c r="H8" s="126">
        <f>+'FLUJO DE EFECTIVO'!H50</f>
        <v>143436551.98775178</v>
      </c>
      <c r="L8" s="78" t="s">
        <v>0</v>
      </c>
      <c r="M8" s="206" t="s">
        <v>176</v>
      </c>
      <c r="N8" s="207" t="s">
        <v>177</v>
      </c>
      <c r="O8" s="206" t="s">
        <v>178</v>
      </c>
      <c r="P8" s="207" t="s">
        <v>179</v>
      </c>
      <c r="Q8" s="211" t="s">
        <v>180</v>
      </c>
      <c r="T8" s="1" t="s">
        <v>81</v>
      </c>
    </row>
    <row r="9" spans="2:17" ht="12.75">
      <c r="B9" s="80" t="s">
        <v>57</v>
      </c>
      <c r="C9" s="117">
        <f aca="true" t="shared" si="0" ref="C9:H9">SUM(C8:C8)</f>
        <v>1000000</v>
      </c>
      <c r="D9" s="122">
        <f t="shared" si="0"/>
        <v>16993479.471156657</v>
      </c>
      <c r="E9" s="117">
        <f t="shared" si="0"/>
        <v>45935508.075871676</v>
      </c>
      <c r="F9" s="72">
        <f t="shared" si="0"/>
        <v>85689641.90237772</v>
      </c>
      <c r="G9" s="117">
        <f t="shared" si="0"/>
        <v>103245561.4669123</v>
      </c>
      <c r="H9" s="81">
        <f t="shared" si="0"/>
        <v>143436551.98775178</v>
      </c>
      <c r="L9" s="78" t="s">
        <v>262</v>
      </c>
      <c r="M9" s="208">
        <f>+$M$7/5</f>
        <v>0</v>
      </c>
      <c r="N9" s="208">
        <f>+$M$7/5</f>
        <v>0</v>
      </c>
      <c r="O9" s="208">
        <f>+$M$7/5</f>
        <v>0</v>
      </c>
      <c r="P9" s="208">
        <f>+$M$7/5</f>
        <v>0</v>
      </c>
      <c r="Q9" s="212">
        <f>+$M$7/5</f>
        <v>0</v>
      </c>
    </row>
    <row r="10" spans="2:20" ht="12.75">
      <c r="B10" s="79" t="s">
        <v>258</v>
      </c>
      <c r="C10" s="413">
        <f>+'DATOS GENERALES'!C52</f>
        <v>0</v>
      </c>
      <c r="D10" s="414">
        <f>+'BALANCE GENERAL'!M10</f>
        <v>0</v>
      </c>
      <c r="E10" s="414">
        <f>+'BALANCE GENERAL'!N10</f>
        <v>0</v>
      </c>
      <c r="F10" s="414">
        <f>+'BALANCE GENERAL'!O10</f>
        <v>0</v>
      </c>
      <c r="G10" s="414">
        <f>+'BALANCE GENERAL'!P10</f>
        <v>0</v>
      </c>
      <c r="H10" s="413">
        <f>+'BALANCE GENERAL'!Q10</f>
        <v>0</v>
      </c>
      <c r="L10" s="213" t="s">
        <v>261</v>
      </c>
      <c r="M10" s="214">
        <f>+M7-M9</f>
        <v>0</v>
      </c>
      <c r="N10" s="214">
        <f>+M10-N9</f>
        <v>0</v>
      </c>
      <c r="O10" s="214">
        <f>+N10-O9</f>
        <v>0</v>
      </c>
      <c r="P10" s="214">
        <f>+O10-P9</f>
        <v>0</v>
      </c>
      <c r="Q10" s="215">
        <f>+P10-Q9</f>
        <v>0</v>
      </c>
      <c r="T10" s="1" t="s">
        <v>90</v>
      </c>
    </row>
    <row r="11" spans="2:8" ht="12.75">
      <c r="B11" s="80" t="s">
        <v>60</v>
      </c>
      <c r="C11" s="118"/>
      <c r="D11" s="123"/>
      <c r="E11" s="118"/>
      <c r="F11" s="114"/>
      <c r="G11" s="118"/>
      <c r="H11" s="182"/>
    </row>
    <row r="12" spans="2:25" ht="12.75">
      <c r="B12" s="79" t="s">
        <v>63</v>
      </c>
      <c r="C12" s="116">
        <f>+'DATOS GENERALES'!AA98</f>
        <v>0</v>
      </c>
      <c r="D12" s="121">
        <f aca="true" t="shared" si="1" ref="D12:H13">+C12</f>
        <v>0</v>
      </c>
      <c r="E12" s="116">
        <f t="shared" si="1"/>
        <v>0</v>
      </c>
      <c r="F12" s="7">
        <f t="shared" si="1"/>
        <v>0</v>
      </c>
      <c r="G12" s="116">
        <f t="shared" si="1"/>
        <v>0</v>
      </c>
      <c r="H12" s="82">
        <f t="shared" si="1"/>
        <v>0</v>
      </c>
      <c r="T12" s="347" t="s">
        <v>3</v>
      </c>
      <c r="U12" s="349" t="s">
        <v>82</v>
      </c>
      <c r="V12" s="585" t="s">
        <v>84</v>
      </c>
      <c r="W12" s="586"/>
      <c r="X12" s="348"/>
      <c r="Y12" s="338"/>
    </row>
    <row r="13" spans="2:25" ht="12.75">
      <c r="B13" s="79" t="s">
        <v>88</v>
      </c>
      <c r="C13" s="116">
        <f>+'DATOS GENERALES'!G102</f>
        <v>3580000</v>
      </c>
      <c r="D13" s="121">
        <f t="shared" si="1"/>
        <v>3580000</v>
      </c>
      <c r="E13" s="116">
        <f t="shared" si="1"/>
        <v>3580000</v>
      </c>
      <c r="F13" s="7">
        <f t="shared" si="1"/>
        <v>3580000</v>
      </c>
      <c r="G13" s="7">
        <f t="shared" si="1"/>
        <v>3580000</v>
      </c>
      <c r="H13" s="82">
        <f t="shared" si="1"/>
        <v>3580000</v>
      </c>
      <c r="T13" s="59" t="str">
        <f>+'DATOS GENERALES'!B92</f>
        <v>EQUIPOS DE COMPUTO</v>
      </c>
      <c r="U13" s="69">
        <f>+'DATOS GENERALES'!C92</f>
        <v>3580000</v>
      </c>
      <c r="V13" s="587">
        <f>+U13/3</f>
        <v>1193333.3333333333</v>
      </c>
      <c r="W13" s="588"/>
      <c r="X13" s="37"/>
      <c r="Y13" s="216"/>
    </row>
    <row r="14" spans="2:25" ht="12.75">
      <c r="B14" s="79" t="s">
        <v>89</v>
      </c>
      <c r="C14" s="116">
        <v>0</v>
      </c>
      <c r="D14" s="121">
        <f>+'BALANCE GENERAL'!U15</f>
        <v>1193333.3333333333</v>
      </c>
      <c r="E14" s="121">
        <f>+'BALANCE GENERAL'!V16</f>
        <v>2386666.6666666665</v>
      </c>
      <c r="F14" s="121">
        <f>+'BALANCE GENERAL'!W16</f>
        <v>3580000</v>
      </c>
      <c r="G14" s="121">
        <f>+'BALANCE GENERAL'!X16</f>
        <v>3580000</v>
      </c>
      <c r="H14" s="116">
        <f>+'BALANCE GENERAL'!Y16</f>
        <v>3580000</v>
      </c>
      <c r="T14" s="78" t="s">
        <v>0</v>
      </c>
      <c r="U14" s="52" t="s">
        <v>176</v>
      </c>
      <c r="V14" s="50" t="s">
        <v>177</v>
      </c>
      <c r="W14" s="52" t="s">
        <v>178</v>
      </c>
      <c r="X14" s="50" t="s">
        <v>179</v>
      </c>
      <c r="Y14" s="217" t="s">
        <v>180</v>
      </c>
    </row>
    <row r="15" spans="2:25" ht="12.75">
      <c r="B15" s="79" t="s">
        <v>49</v>
      </c>
      <c r="C15" s="116">
        <f>+'DATOS GENERALES'!K102</f>
        <v>65530000</v>
      </c>
      <c r="D15" s="121">
        <f>+C15</f>
        <v>65530000</v>
      </c>
      <c r="E15" s="116">
        <f>+D15</f>
        <v>65530000</v>
      </c>
      <c r="F15" s="7">
        <f>+E15</f>
        <v>65530000</v>
      </c>
      <c r="G15" s="116">
        <f>+F15</f>
        <v>65530000</v>
      </c>
      <c r="H15" s="82">
        <f>+G15</f>
        <v>65530000</v>
      </c>
      <c r="T15" s="78" t="s">
        <v>2</v>
      </c>
      <c r="U15" s="42">
        <f>+$U$13/3</f>
        <v>1193333.3333333333</v>
      </c>
      <c r="V15" s="42">
        <f>+$U$13/3</f>
        <v>1193333.3333333333</v>
      </c>
      <c r="W15" s="42">
        <f>+$U$13/3</f>
        <v>1193333.3333333333</v>
      </c>
      <c r="X15" s="51">
        <v>0</v>
      </c>
      <c r="Y15" s="218">
        <v>0</v>
      </c>
    </row>
    <row r="16" spans="2:25" ht="12.75">
      <c r="B16" s="79" t="s">
        <v>51</v>
      </c>
      <c r="C16" s="116">
        <v>0</v>
      </c>
      <c r="D16" s="121">
        <f>+'BALANCE GENERAL'!U23</f>
        <v>3276500</v>
      </c>
      <c r="E16" s="121">
        <f>+'BALANCE GENERAL'!V24</f>
        <v>6553000</v>
      </c>
      <c r="F16" s="121">
        <f>+'BALANCE GENERAL'!W24</f>
        <v>9829500</v>
      </c>
      <c r="G16" s="121">
        <f>+'BALANCE GENERAL'!X24</f>
        <v>13106000</v>
      </c>
      <c r="H16" s="116">
        <f>+'BALANCE GENERAL'!Y24</f>
        <v>16382500</v>
      </c>
      <c r="T16" s="213" t="s">
        <v>92</v>
      </c>
      <c r="U16" s="219">
        <v>0</v>
      </c>
      <c r="V16" s="219">
        <f>+V15+U15</f>
        <v>2386666.6666666665</v>
      </c>
      <c r="W16" s="219">
        <f>+V16+W15</f>
        <v>3580000</v>
      </c>
      <c r="X16" s="219">
        <f>+W16+X15</f>
        <v>3580000</v>
      </c>
      <c r="Y16" s="220">
        <f>+X16+Y15</f>
        <v>3580000</v>
      </c>
    </row>
    <row r="17" spans="2:8" ht="12.75">
      <c r="B17" s="79" t="s">
        <v>45</v>
      </c>
      <c r="C17" s="116">
        <f>+'DATOS GENERALES'!O102</f>
        <v>0</v>
      </c>
      <c r="D17" s="121">
        <f>+C17</f>
        <v>0</v>
      </c>
      <c r="E17" s="116">
        <f>+D17</f>
        <v>0</v>
      </c>
      <c r="F17" s="7">
        <f>+E17</f>
        <v>0</v>
      </c>
      <c r="G17" s="116">
        <f>+F17</f>
        <v>0</v>
      </c>
      <c r="H17" s="82">
        <f>+F17</f>
        <v>0</v>
      </c>
    </row>
    <row r="18" spans="2:20" ht="12.75">
      <c r="B18" s="79" t="s">
        <v>47</v>
      </c>
      <c r="C18" s="116">
        <v>0</v>
      </c>
      <c r="D18" s="121">
        <f>+'BALANCE GENERAL'!U31</f>
        <v>0</v>
      </c>
      <c r="E18" s="121">
        <f>+'BALANCE GENERAL'!V32</f>
        <v>0</v>
      </c>
      <c r="F18" s="121">
        <f>+'BALANCE GENERAL'!W32</f>
        <v>0</v>
      </c>
      <c r="G18" s="121">
        <f>+'BALANCE GENERAL'!X32</f>
        <v>0</v>
      </c>
      <c r="H18" s="116">
        <f>+'BALANCE GENERAL'!Y32</f>
        <v>0</v>
      </c>
      <c r="T18" s="1" t="s">
        <v>83</v>
      </c>
    </row>
    <row r="19" spans="2:8" ht="12.75">
      <c r="B19" s="79" t="s">
        <v>58</v>
      </c>
      <c r="C19" s="116">
        <f>+'DATOS GENERALES'!S102</f>
        <v>37275500</v>
      </c>
      <c r="D19" s="121">
        <f>+C19</f>
        <v>37275500</v>
      </c>
      <c r="E19" s="116">
        <f>+D19</f>
        <v>37275500</v>
      </c>
      <c r="F19" s="7">
        <f>+E19</f>
        <v>37275500</v>
      </c>
      <c r="G19" s="116">
        <f>+F19</f>
        <v>37275500</v>
      </c>
      <c r="H19" s="82">
        <f>+G19</f>
        <v>37275500</v>
      </c>
    </row>
    <row r="20" spans="2:25" ht="12.75">
      <c r="B20" s="79" t="s">
        <v>59</v>
      </c>
      <c r="C20" s="116">
        <v>0</v>
      </c>
      <c r="D20" s="121">
        <f>+'BALANCE GENERAL'!U39</f>
        <v>3727550</v>
      </c>
      <c r="E20" s="121">
        <f>+'BALANCE GENERAL'!V40</f>
        <v>7455100</v>
      </c>
      <c r="F20" s="121">
        <f>+'BALANCE GENERAL'!W40</f>
        <v>11182650</v>
      </c>
      <c r="G20" s="121">
        <f>+'BALANCE GENERAL'!X40</f>
        <v>14910200</v>
      </c>
      <c r="H20" s="116">
        <f>+'BALANCE GENERAL'!Y40</f>
        <v>18637750</v>
      </c>
      <c r="T20" s="347" t="s">
        <v>3</v>
      </c>
      <c r="U20" s="349" t="s">
        <v>82</v>
      </c>
      <c r="V20" s="585" t="s">
        <v>84</v>
      </c>
      <c r="W20" s="586"/>
      <c r="X20" s="348"/>
      <c r="Y20" s="338"/>
    </row>
    <row r="21" spans="2:38" ht="12.75">
      <c r="B21" s="79" t="s">
        <v>61</v>
      </c>
      <c r="C21" s="116">
        <f>+'DATOS GENERALES'!W102</f>
        <v>12538000</v>
      </c>
      <c r="D21" s="121">
        <f>+C21</f>
        <v>12538000</v>
      </c>
      <c r="E21" s="116">
        <f>+D21</f>
        <v>12538000</v>
      </c>
      <c r="F21" s="7">
        <f>+E21</f>
        <v>12538000</v>
      </c>
      <c r="G21" s="116">
        <f>+F21</f>
        <v>12538000</v>
      </c>
      <c r="H21" s="82">
        <f>+G21</f>
        <v>12538000</v>
      </c>
      <c r="T21" s="59" t="str">
        <f>+'DATOS GENERALES'!B93</f>
        <v>EDIFICIO O PLANTA</v>
      </c>
      <c r="U21" s="69">
        <f>+'DATOS GENERALES'!C93</f>
        <v>65530000</v>
      </c>
      <c r="V21" s="589">
        <f>+U21/20</f>
        <v>3276500</v>
      </c>
      <c r="W21" s="590"/>
      <c r="X21" s="37"/>
      <c r="Y21" s="216"/>
      <c r="AI21">
        <v>16993479</v>
      </c>
      <c r="AJ21">
        <v>45935508</v>
      </c>
      <c r="AK21">
        <v>85689642</v>
      </c>
      <c r="AL21">
        <f>AI21+AJ21+AK21</f>
        <v>148618629</v>
      </c>
    </row>
    <row r="22" spans="2:34" ht="12.75">
      <c r="B22" s="79" t="s">
        <v>62</v>
      </c>
      <c r="C22" s="116">
        <v>0</v>
      </c>
      <c r="D22" s="121">
        <f>+'BALANCE GENERAL'!U47</f>
        <v>2507600</v>
      </c>
      <c r="E22" s="121">
        <f>+'BALANCE GENERAL'!V48</f>
        <v>5015200</v>
      </c>
      <c r="F22" s="121">
        <f>+'BALANCE GENERAL'!W48</f>
        <v>7522800</v>
      </c>
      <c r="G22" s="121">
        <f>+'BALANCE GENERAL'!X48</f>
        <v>10030400</v>
      </c>
      <c r="H22" s="116">
        <f>+'BALANCE GENERAL'!Y48</f>
        <v>12538000</v>
      </c>
      <c r="T22" s="78" t="s">
        <v>0</v>
      </c>
      <c r="U22" s="52" t="s">
        <v>176</v>
      </c>
      <c r="V22" s="50" t="s">
        <v>177</v>
      </c>
      <c r="W22" s="52" t="s">
        <v>178</v>
      </c>
      <c r="X22" s="50" t="s">
        <v>179</v>
      </c>
      <c r="Y22" s="217" t="s">
        <v>180</v>
      </c>
      <c r="AH22">
        <v>119923500</v>
      </c>
    </row>
    <row r="23" spans="2:38" ht="12.75">
      <c r="B23" s="80" t="s">
        <v>53</v>
      </c>
      <c r="C23" s="117">
        <f aca="true" t="shared" si="2" ref="C23:H23">+C12+C13-C14+C15-C16+C17-C18+C19-C20+C21-C22+C10</f>
        <v>118923500</v>
      </c>
      <c r="D23" s="117">
        <f>+D12+D13-D14+D15-D16+D17-D18+D19-D20+D21-D22+D10</f>
        <v>108218516.66666667</v>
      </c>
      <c r="E23" s="117">
        <f>+E12+E13-E14+E15-E16+E17-E18+E19-E20+E21-E22+E10</f>
        <v>97513533.33333334</v>
      </c>
      <c r="F23" s="117">
        <f t="shared" si="2"/>
        <v>86808550</v>
      </c>
      <c r="G23" s="117">
        <f t="shared" si="2"/>
        <v>77296900</v>
      </c>
      <c r="H23" s="117">
        <f t="shared" si="2"/>
        <v>67785250</v>
      </c>
      <c r="T23" s="78" t="s">
        <v>2</v>
      </c>
      <c r="U23" s="42">
        <f>+$U$21/20</f>
        <v>3276500</v>
      </c>
      <c r="V23" s="42">
        <f>+$U$21/20</f>
        <v>3276500</v>
      </c>
      <c r="W23" s="42">
        <f>+$U$21/20</f>
        <v>3276500</v>
      </c>
      <c r="X23" s="42">
        <f>+$U$21/20</f>
        <v>3276500</v>
      </c>
      <c r="Y23" s="221">
        <f>+$U$21/20</f>
        <v>3276500</v>
      </c>
      <c r="AL23">
        <f>AI21+AJ21</f>
        <v>62928987</v>
      </c>
    </row>
    <row r="24" spans="2:25" ht="12.75">
      <c r="B24" s="80" t="s">
        <v>55</v>
      </c>
      <c r="C24" s="117">
        <f>+C23+C9</f>
        <v>119923500</v>
      </c>
      <c r="D24" s="122">
        <f>+D9+D23</f>
        <v>125211996.13782333</v>
      </c>
      <c r="E24" s="117">
        <f>+E9+E23</f>
        <v>143449041.40920502</v>
      </c>
      <c r="F24" s="72">
        <f>+F9+F23</f>
        <v>172498191.90237772</v>
      </c>
      <c r="G24" s="117">
        <f>+G9+G23</f>
        <v>180542461.4669123</v>
      </c>
      <c r="H24" s="81">
        <f>+H9+H23</f>
        <v>211221801.98775178</v>
      </c>
      <c r="T24" s="213" t="s">
        <v>92</v>
      </c>
      <c r="U24" s="219">
        <v>0</v>
      </c>
      <c r="V24" s="219">
        <f>+V23+U23</f>
        <v>6553000</v>
      </c>
      <c r="W24" s="219">
        <f>+V24+W23</f>
        <v>9829500</v>
      </c>
      <c r="X24" s="219">
        <f>+W24+X23</f>
        <v>13106000</v>
      </c>
      <c r="Y24" s="220">
        <f>+X24+Y23</f>
        <v>16382500</v>
      </c>
    </row>
    <row r="25" spans="2:8" ht="12.75">
      <c r="B25" s="80" t="s">
        <v>43</v>
      </c>
      <c r="C25" s="118"/>
      <c r="D25" s="123"/>
      <c r="E25" s="118"/>
      <c r="F25" s="114"/>
      <c r="G25" s="118"/>
      <c r="H25" s="182"/>
    </row>
    <row r="26" spans="2:38" ht="12.75">
      <c r="B26" s="80" t="s">
        <v>56</v>
      </c>
      <c r="C26" s="118"/>
      <c r="D26" s="123"/>
      <c r="E26" s="118"/>
      <c r="F26" s="114"/>
      <c r="G26" s="118"/>
      <c r="H26" s="182"/>
      <c r="T26" s="1" t="s">
        <v>85</v>
      </c>
      <c r="AL26">
        <f>AH22-AL23</f>
        <v>56994513</v>
      </c>
    </row>
    <row r="27" spans="2:38" ht="12.75">
      <c r="B27" s="79" t="s">
        <v>68</v>
      </c>
      <c r="C27" s="115">
        <v>0</v>
      </c>
      <c r="D27" s="121">
        <f>+'ESTADO DE RESULTADOS (GYP)'!D17</f>
        <v>1745203.7254849975</v>
      </c>
      <c r="E27" s="121">
        <f>+'ESTADO DE RESULTADOS (GYP)'!E17</f>
        <v>6594142.168965995</v>
      </c>
      <c r="F27" s="121">
        <f>+'ESTADO DE RESULTADOS (GYP)'!F17</f>
        <v>11762286.578505771</v>
      </c>
      <c r="G27" s="121">
        <f>+'ESTADO DE RESULTADOS (GYP)'!G17</f>
        <v>6536163.527203316</v>
      </c>
      <c r="H27" s="116">
        <f>+'ESTADO DE RESULTADOS (GYP)'!H17</f>
        <v>12281116.335854117</v>
      </c>
      <c r="AL27">
        <f>AL26/AK21</f>
        <v>0.6651272157257934</v>
      </c>
    </row>
    <row r="28" spans="2:38" ht="12.75">
      <c r="B28" s="80" t="s">
        <v>64</v>
      </c>
      <c r="C28" s="117">
        <f aca="true" t="shared" si="3" ref="C28:H28">+C27</f>
        <v>0</v>
      </c>
      <c r="D28" s="117">
        <f t="shared" si="3"/>
        <v>1745203.7254849975</v>
      </c>
      <c r="E28" s="117">
        <f t="shared" si="3"/>
        <v>6594142.168965995</v>
      </c>
      <c r="F28" s="117">
        <f t="shared" si="3"/>
        <v>11762286.578505771</v>
      </c>
      <c r="G28" s="117">
        <f t="shared" si="3"/>
        <v>6536163.527203316</v>
      </c>
      <c r="H28" s="117">
        <f t="shared" si="3"/>
        <v>12281116.335854117</v>
      </c>
      <c r="T28" s="347" t="s">
        <v>3</v>
      </c>
      <c r="U28" s="349" t="s">
        <v>82</v>
      </c>
      <c r="V28" s="585" t="s">
        <v>84</v>
      </c>
      <c r="W28" s="586"/>
      <c r="X28" s="348"/>
      <c r="Y28" s="338"/>
      <c r="AL28">
        <f>AL27*12</f>
        <v>7.981526588709521</v>
      </c>
    </row>
    <row r="29" spans="2:25" ht="12.75">
      <c r="B29" s="80" t="s">
        <v>65</v>
      </c>
      <c r="C29" s="118"/>
      <c r="D29" s="123"/>
      <c r="E29" s="118"/>
      <c r="F29" s="114"/>
      <c r="G29" s="118"/>
      <c r="H29" s="182"/>
      <c r="T29" s="59" t="str">
        <f>+'DATOS GENERALES'!B94</f>
        <v>VEHICULOS</v>
      </c>
      <c r="U29" s="69">
        <f>+'DATOS GENERALES'!C94</f>
        <v>0</v>
      </c>
      <c r="V29" s="589">
        <f>+U29/5</f>
        <v>0</v>
      </c>
      <c r="W29" s="590"/>
      <c r="X29" s="37"/>
      <c r="Y29" s="216"/>
    </row>
    <row r="30" spans="2:25" ht="12.75">
      <c r="B30" s="79" t="s">
        <v>44</v>
      </c>
      <c r="C30" s="115">
        <f>+'DATOS GENERALES'!B137-1</f>
        <v>0</v>
      </c>
      <c r="D30" s="120">
        <f>+C30-SUM('PREST. FINANCIERO'!C16:C27)+1</f>
        <v>-1.0000000000065512E-05</v>
      </c>
      <c r="E30" s="120">
        <f>+D30-SUM('PREST. FINANCIERO'!C28:C39)</f>
        <v>-1.0000000000065512E-05</v>
      </c>
      <c r="F30" s="120">
        <f>+E30-SUM('PREST. FINANCIERO'!C40:C51)</f>
        <v>-1.0000000000065512E-05</v>
      </c>
      <c r="G30" s="120">
        <f>+F30-SUM('PREST. FINANCIERO'!C52:C63)</f>
        <v>-1.0000000000065512E-05</v>
      </c>
      <c r="H30" s="115">
        <f>+G30-SUM('PREST. FINANCIERO'!C64:C75)</f>
        <v>-1.0000000000065512E-05</v>
      </c>
      <c r="T30" s="78" t="s">
        <v>0</v>
      </c>
      <c r="U30" s="52" t="s">
        <v>176</v>
      </c>
      <c r="V30" s="50" t="s">
        <v>177</v>
      </c>
      <c r="W30" s="52" t="s">
        <v>178</v>
      </c>
      <c r="X30" s="50" t="s">
        <v>179</v>
      </c>
      <c r="Y30" s="217" t="s">
        <v>180</v>
      </c>
    </row>
    <row r="31" spans="2:25" ht="12.75">
      <c r="B31" s="80" t="s">
        <v>66</v>
      </c>
      <c r="C31" s="117">
        <f aca="true" t="shared" si="4" ref="C31:H31">+C30</f>
        <v>0</v>
      </c>
      <c r="D31" s="122">
        <f t="shared" si="4"/>
        <v>-1.0000000000065512E-05</v>
      </c>
      <c r="E31" s="117">
        <f t="shared" si="4"/>
        <v>-1.0000000000065512E-05</v>
      </c>
      <c r="F31" s="72">
        <f t="shared" si="4"/>
        <v>-1.0000000000065512E-05</v>
      </c>
      <c r="G31" s="117">
        <f t="shared" si="4"/>
        <v>-1.0000000000065512E-05</v>
      </c>
      <c r="H31" s="81">
        <f t="shared" si="4"/>
        <v>-1.0000000000065512E-05</v>
      </c>
      <c r="T31" s="78" t="s">
        <v>2</v>
      </c>
      <c r="U31" s="42">
        <f>+$U$29/5</f>
        <v>0</v>
      </c>
      <c r="V31" s="42">
        <f>+$U$29/5</f>
        <v>0</v>
      </c>
      <c r="W31" s="42">
        <f>+$U$29/5</f>
        <v>0</v>
      </c>
      <c r="X31" s="42">
        <f>+$U$29/5</f>
        <v>0</v>
      </c>
      <c r="Y31" s="221">
        <f>+$U$29/5</f>
        <v>0</v>
      </c>
    </row>
    <row r="32" spans="2:25" ht="12.75">
      <c r="B32" s="80" t="s">
        <v>69</v>
      </c>
      <c r="C32" s="117">
        <f aca="true" t="shared" si="5" ref="C32:H32">+C31+C28</f>
        <v>0</v>
      </c>
      <c r="D32" s="122">
        <f t="shared" si="5"/>
        <v>1745203.7254749974</v>
      </c>
      <c r="E32" s="117">
        <f t="shared" si="5"/>
        <v>6594142.168955996</v>
      </c>
      <c r="F32" s="72">
        <f t="shared" si="5"/>
        <v>11762286.57849577</v>
      </c>
      <c r="G32" s="117">
        <f t="shared" si="5"/>
        <v>6536163.527193316</v>
      </c>
      <c r="H32" s="81">
        <f t="shared" si="5"/>
        <v>12281116.335844116</v>
      </c>
      <c r="T32" s="213" t="s">
        <v>92</v>
      </c>
      <c r="U32" s="219">
        <v>0</v>
      </c>
      <c r="V32" s="219">
        <f>+V31+U31</f>
        <v>0</v>
      </c>
      <c r="W32" s="219">
        <f>+V32+W31</f>
        <v>0</v>
      </c>
      <c r="X32" s="219">
        <f>+W32+X31</f>
        <v>0</v>
      </c>
      <c r="Y32" s="220">
        <f>+X32+Y31</f>
        <v>0</v>
      </c>
    </row>
    <row r="33" spans="2:8" ht="12.75">
      <c r="B33" s="80" t="s">
        <v>46</v>
      </c>
      <c r="C33" s="118"/>
      <c r="D33" s="123"/>
      <c r="E33" s="118"/>
      <c r="F33" s="114"/>
      <c r="G33" s="118"/>
      <c r="H33" s="182"/>
    </row>
    <row r="34" spans="2:20" ht="12.75">
      <c r="B34" s="79" t="s">
        <v>48</v>
      </c>
      <c r="C34" s="116">
        <f>+'DATOS GENERALES'!B134</f>
        <v>119923500</v>
      </c>
      <c r="D34" s="121">
        <f>+C34</f>
        <v>119923500</v>
      </c>
      <c r="E34" s="121">
        <f>+D34</f>
        <v>119923500</v>
      </c>
      <c r="F34" s="121">
        <f>+E34</f>
        <v>119923500</v>
      </c>
      <c r="G34" s="121">
        <f>+F34</f>
        <v>119923500</v>
      </c>
      <c r="H34" s="116">
        <f>+G34</f>
        <v>119923500</v>
      </c>
      <c r="T34" s="1" t="s">
        <v>86</v>
      </c>
    </row>
    <row r="35" spans="2:8" ht="12.75">
      <c r="B35" s="79" t="s">
        <v>67</v>
      </c>
      <c r="C35" s="116">
        <v>0</v>
      </c>
      <c r="D35" s="121">
        <f>+'ESTADO DE RESULTADOS (GYP)'!D18</f>
        <v>3543292.4123483277</v>
      </c>
      <c r="E35" s="121">
        <f>+'ESTADO DE RESULTADOS (GYP)'!E18</f>
        <v>13388106.827900656</v>
      </c>
      <c r="F35" s="121">
        <f>+'ESTADO DE RESULTADOS (GYP)'!F18</f>
        <v>23881006.08363293</v>
      </c>
      <c r="G35" s="121">
        <f>+'ESTADO DE RESULTADOS (GYP)'!G18</f>
        <v>13270392.615837036</v>
      </c>
      <c r="H35" s="116">
        <f>+'ESTADO DE RESULTADOS (GYP)'!H18</f>
        <v>24934387.712188657</v>
      </c>
    </row>
    <row r="36" spans="2:25" ht="12.75">
      <c r="B36" s="79" t="s">
        <v>50</v>
      </c>
      <c r="C36" s="116">
        <v>0</v>
      </c>
      <c r="D36" s="121">
        <v>0</v>
      </c>
      <c r="E36" s="116">
        <f>+D35</f>
        <v>3543292.4123483277</v>
      </c>
      <c r="F36" s="7">
        <f>+E36+E35</f>
        <v>16931399.240248982</v>
      </c>
      <c r="G36" s="116">
        <f>+F36+F35</f>
        <v>40812405.32388191</v>
      </c>
      <c r="H36" s="82">
        <f>+G36+G35</f>
        <v>54082797.93971895</v>
      </c>
      <c r="T36" s="347" t="s">
        <v>3</v>
      </c>
      <c r="U36" s="349" t="s">
        <v>82</v>
      </c>
      <c r="V36" s="585" t="s">
        <v>84</v>
      </c>
      <c r="W36" s="586"/>
      <c r="X36" s="348"/>
      <c r="Y36" s="338"/>
    </row>
    <row r="37" spans="2:25" ht="12.75">
      <c r="B37" s="80" t="s">
        <v>52</v>
      </c>
      <c r="C37" s="117">
        <f aca="true" t="shared" si="6" ref="C37:H37">+C34+C35+C36</f>
        <v>119923500</v>
      </c>
      <c r="D37" s="122">
        <f t="shared" si="6"/>
        <v>123466792.41234833</v>
      </c>
      <c r="E37" s="117">
        <f t="shared" si="6"/>
        <v>136854899.24024898</v>
      </c>
      <c r="F37" s="72">
        <f t="shared" si="6"/>
        <v>160735905.32388192</v>
      </c>
      <c r="G37" s="117">
        <f t="shared" si="6"/>
        <v>174006297.93971896</v>
      </c>
      <c r="H37" s="81">
        <f t="shared" si="6"/>
        <v>198940685.65190762</v>
      </c>
      <c r="T37" s="59" t="str">
        <f>+'DATOS GENERALES'!B95</f>
        <v>MAQUINARIA Y EQUIPO</v>
      </c>
      <c r="U37" s="152">
        <f>+'DATOS GENERALES'!C95</f>
        <v>37275500</v>
      </c>
      <c r="V37" s="589">
        <f>+U37/10</f>
        <v>3727550</v>
      </c>
      <c r="W37" s="590"/>
      <c r="X37" s="37"/>
      <c r="Y37" s="216"/>
    </row>
    <row r="38" spans="2:25" ht="12.75">
      <c r="B38" s="290" t="s">
        <v>54</v>
      </c>
      <c r="C38" s="415">
        <f aca="true" t="shared" si="7" ref="C38:H38">+C37+C32</f>
        <v>119923500</v>
      </c>
      <c r="D38" s="416">
        <f t="shared" si="7"/>
        <v>125211996.13782333</v>
      </c>
      <c r="E38" s="415">
        <f t="shared" si="7"/>
        <v>143449041.40920496</v>
      </c>
      <c r="F38" s="268">
        <f t="shared" si="7"/>
        <v>172498191.9023777</v>
      </c>
      <c r="G38" s="415">
        <f t="shared" si="7"/>
        <v>180542461.46691227</v>
      </c>
      <c r="H38" s="151">
        <f t="shared" si="7"/>
        <v>211221801.98775175</v>
      </c>
      <c r="T38" s="78" t="s">
        <v>0</v>
      </c>
      <c r="U38" s="52" t="s">
        <v>176</v>
      </c>
      <c r="V38" s="50" t="s">
        <v>177</v>
      </c>
      <c r="W38" s="52" t="s">
        <v>178</v>
      </c>
      <c r="X38" s="50" t="s">
        <v>179</v>
      </c>
      <c r="Y38" s="217" t="s">
        <v>180</v>
      </c>
    </row>
    <row r="39" spans="2:25" ht="12.75">
      <c r="B39" s="468" t="s">
        <v>299</v>
      </c>
      <c r="C39" s="469">
        <f aca="true" t="shared" si="8" ref="C39:H39">+C38-C24</f>
        <v>0</v>
      </c>
      <c r="D39" s="469">
        <f t="shared" si="8"/>
        <v>0</v>
      </c>
      <c r="E39" s="469">
        <f t="shared" si="8"/>
        <v>0</v>
      </c>
      <c r="F39" s="469">
        <f t="shared" si="8"/>
        <v>0</v>
      </c>
      <c r="G39" s="469">
        <f t="shared" si="8"/>
        <v>0</v>
      </c>
      <c r="H39" s="469">
        <f t="shared" si="8"/>
        <v>0</v>
      </c>
      <c r="T39" s="78" t="s">
        <v>2</v>
      </c>
      <c r="U39" s="42">
        <f>+$U$37/10</f>
        <v>3727550</v>
      </c>
      <c r="V39" s="42">
        <f>+$U$37/10</f>
        <v>3727550</v>
      </c>
      <c r="W39" s="42">
        <f>+$U$37/10</f>
        <v>3727550</v>
      </c>
      <c r="X39" s="42">
        <f>+$U$37/10</f>
        <v>3727550</v>
      </c>
      <c r="Y39" s="221">
        <f>+$U$37/10</f>
        <v>3727550</v>
      </c>
    </row>
    <row r="40" spans="20:25" ht="12.75">
      <c r="T40" s="213" t="s">
        <v>92</v>
      </c>
      <c r="U40" s="219">
        <v>0</v>
      </c>
      <c r="V40" s="219">
        <f>+V39+U39</f>
        <v>7455100</v>
      </c>
      <c r="W40" s="219">
        <f>+V40+W39</f>
        <v>11182650</v>
      </c>
      <c r="X40" s="219">
        <f>+W40+X39</f>
        <v>14910200</v>
      </c>
      <c r="Y40" s="220">
        <f>+X40+Y39</f>
        <v>18637750</v>
      </c>
    </row>
    <row r="41" ht="12.75">
      <c r="D41" t="s">
        <v>0</v>
      </c>
    </row>
    <row r="42" ht="12.75">
      <c r="T42" s="1" t="s">
        <v>87</v>
      </c>
    </row>
    <row r="44" spans="20:25" ht="12.75">
      <c r="T44" s="347" t="s">
        <v>3</v>
      </c>
      <c r="U44" s="349" t="s">
        <v>82</v>
      </c>
      <c r="V44" s="585" t="s">
        <v>84</v>
      </c>
      <c r="W44" s="586"/>
      <c r="X44" s="348"/>
      <c r="Y44" s="338"/>
    </row>
    <row r="45" spans="20:25" ht="12.75">
      <c r="T45" s="59" t="str">
        <f>+'DATOS GENERALES'!B96</f>
        <v>MUEBLES Y ENSERES</v>
      </c>
      <c r="U45" s="69">
        <f>+'DATOS GENERALES'!C96</f>
        <v>12538000</v>
      </c>
      <c r="V45" s="589">
        <f>+U45/5</f>
        <v>2507600</v>
      </c>
      <c r="W45" s="590"/>
      <c r="X45" s="37"/>
      <c r="Y45" s="216"/>
    </row>
    <row r="46" spans="20:25" ht="12.75">
      <c r="T46" s="78" t="s">
        <v>0</v>
      </c>
      <c r="U46" s="52" t="s">
        <v>176</v>
      </c>
      <c r="V46" s="50" t="s">
        <v>177</v>
      </c>
      <c r="W46" s="52" t="s">
        <v>178</v>
      </c>
      <c r="X46" s="50" t="s">
        <v>179</v>
      </c>
      <c r="Y46" s="217" t="s">
        <v>180</v>
      </c>
    </row>
    <row r="47" spans="20:25" ht="12.75">
      <c r="T47" s="78" t="s">
        <v>2</v>
      </c>
      <c r="U47" s="42">
        <f>+$U$45/5</f>
        <v>2507600</v>
      </c>
      <c r="V47" s="42">
        <f>+$U$45/5</f>
        <v>2507600</v>
      </c>
      <c r="W47" s="42">
        <f>+$U$45/5</f>
        <v>2507600</v>
      </c>
      <c r="X47" s="42">
        <f>+$U$45/5</f>
        <v>2507600</v>
      </c>
      <c r="Y47" s="221">
        <f>+$U$45/5</f>
        <v>2507600</v>
      </c>
    </row>
    <row r="48" spans="20:25" ht="12.75">
      <c r="T48" s="213" t="s">
        <v>92</v>
      </c>
      <c r="U48" s="219">
        <v>0</v>
      </c>
      <c r="V48" s="219">
        <f>+V47+U47</f>
        <v>5015200</v>
      </c>
      <c r="W48" s="219">
        <f>+V48+W47</f>
        <v>7522800</v>
      </c>
      <c r="X48" s="219">
        <f>+W48+X47</f>
        <v>10030400</v>
      </c>
      <c r="Y48" s="220">
        <f>+X48+Y47</f>
        <v>12538000</v>
      </c>
    </row>
  </sheetData>
  <sheetProtection/>
  <mergeCells count="10">
    <mergeCell ref="V12:W12"/>
    <mergeCell ref="V13:W13"/>
    <mergeCell ref="V20:W20"/>
    <mergeCell ref="V28:W28"/>
    <mergeCell ref="V45:W45"/>
    <mergeCell ref="V21:W21"/>
    <mergeCell ref="V29:W29"/>
    <mergeCell ref="V37:W37"/>
    <mergeCell ref="V36:W36"/>
    <mergeCell ref="V44:W44"/>
  </mergeCells>
  <printOptions/>
  <pageMargins left="0.75" right="0.75" top="1" bottom="1" header="0" footer="0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2:O120"/>
  <sheetViews>
    <sheetView showGridLines="0" zoomScale="75" zoomScaleNormal="75" zoomScalePageLayoutView="0" workbookViewId="0" topLeftCell="A16">
      <selection activeCell="F49" sqref="F49"/>
    </sheetView>
  </sheetViews>
  <sheetFormatPr defaultColWidth="11.421875" defaultRowHeight="12.75"/>
  <cols>
    <col min="2" max="3" width="30.140625" style="0" customWidth="1"/>
    <col min="4" max="4" width="19.57421875" style="0" bestFit="1" customWidth="1"/>
    <col min="5" max="5" width="20.7109375" style="0" bestFit="1" customWidth="1"/>
    <col min="6" max="6" width="20.28125" style="0" bestFit="1" customWidth="1"/>
    <col min="7" max="7" width="21.140625" style="0" bestFit="1" customWidth="1"/>
    <col min="8" max="8" width="20.7109375" style="0" bestFit="1" customWidth="1"/>
    <col min="9" max="10" width="18.421875" style="0" bestFit="1" customWidth="1"/>
    <col min="11" max="15" width="20.00390625" style="0" bestFit="1" customWidth="1"/>
    <col min="16" max="16" width="3.421875" style="0" customWidth="1"/>
  </cols>
  <sheetData>
    <row r="2" spans="2:8" ht="12.75">
      <c r="B2" s="4" t="str">
        <f>+'COMPRA DE MAT. PRIMAS'!$F$2</f>
        <v>NOMBRE DE LA EMPRESA:</v>
      </c>
      <c r="C2" s="4"/>
      <c r="D2" s="328" t="str">
        <f>+'BALANCE GENERAL'!C2</f>
        <v>Gas Metano</v>
      </c>
      <c r="E2" s="327"/>
      <c r="F2" s="327"/>
      <c r="G2" s="327"/>
      <c r="H2" s="327"/>
    </row>
    <row r="4" spans="2:3" ht="12.75">
      <c r="B4" s="1" t="s">
        <v>70</v>
      </c>
      <c r="C4" s="1"/>
    </row>
    <row r="5" spans="2:3" ht="12.75">
      <c r="B5" s="1" t="str">
        <f>+'ESTADO DE RESULTADOS (GYP)'!C6</f>
        <v>PERIODO:  DEL                AL  DE   200</v>
      </c>
      <c r="C5" s="1"/>
    </row>
    <row r="6" spans="2:8" ht="15">
      <c r="B6" s="223" t="s">
        <v>3</v>
      </c>
      <c r="C6" s="544" t="s">
        <v>353</v>
      </c>
      <c r="D6" s="225" t="s">
        <v>176</v>
      </c>
      <c r="E6" s="225" t="s">
        <v>177</v>
      </c>
      <c r="F6" s="225" t="s">
        <v>178</v>
      </c>
      <c r="G6" s="225" t="s">
        <v>179</v>
      </c>
      <c r="H6" s="224" t="s">
        <v>180</v>
      </c>
    </row>
    <row r="7" spans="2:8" ht="15">
      <c r="B7" s="226" t="s">
        <v>71</v>
      </c>
      <c r="C7" s="49"/>
      <c r="D7" s="49"/>
      <c r="E7" s="49"/>
      <c r="F7" s="49"/>
      <c r="G7" s="49"/>
      <c r="H7" s="227"/>
    </row>
    <row r="8" spans="2:15" s="107" customFormat="1" ht="12.75">
      <c r="B8" s="79" t="s">
        <v>76</v>
      </c>
      <c r="C8" s="106">
        <v>0</v>
      </c>
      <c r="D8" s="106">
        <f>+'BALANCE GENERAL'!C8</f>
        <v>1000000</v>
      </c>
      <c r="E8" s="108">
        <f>+D50</f>
        <v>16993479.471156657</v>
      </c>
      <c r="F8" s="108">
        <f>+E50</f>
        <v>45935508.075871676</v>
      </c>
      <c r="G8" s="108">
        <f>+F50</f>
        <v>85689641.90237772</v>
      </c>
      <c r="H8" s="228">
        <f>+G50</f>
        <v>103245561.4669123</v>
      </c>
      <c r="I8"/>
      <c r="J8"/>
      <c r="K8"/>
      <c r="L8"/>
      <c r="M8"/>
      <c r="N8"/>
      <c r="O8"/>
    </row>
    <row r="9" spans="2:15" s="107" customFormat="1" ht="12.75">
      <c r="B9" s="79" t="s">
        <v>1</v>
      </c>
      <c r="C9" s="105">
        <v>0</v>
      </c>
      <c r="D9" s="105">
        <f>+VENTAS!D11</f>
        <v>159840000</v>
      </c>
      <c r="E9" s="105">
        <f>+VENTAS!E11</f>
        <v>181718100</v>
      </c>
      <c r="F9" s="105">
        <f>+VENTAS!F11</f>
        <v>205875918.00000003</v>
      </c>
      <c r="G9" s="105">
        <f>+VENTAS!G11</f>
        <v>232525411.83000004</v>
      </c>
      <c r="H9" s="229">
        <f>+VENTAS!H11</f>
        <v>261897042.79800004</v>
      </c>
      <c r="I9"/>
      <c r="J9"/>
      <c r="K9"/>
      <c r="L9"/>
      <c r="M9"/>
      <c r="N9"/>
      <c r="O9"/>
    </row>
    <row r="10" spans="2:15" s="107" customFormat="1" ht="12.75">
      <c r="B10" s="79" t="s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230">
        <v>0</v>
      </c>
      <c r="I10"/>
      <c r="J10"/>
      <c r="K10"/>
      <c r="L10"/>
      <c r="M10"/>
      <c r="N10"/>
      <c r="O10"/>
    </row>
    <row r="11" spans="2:15" s="1" customFormat="1" ht="12.75">
      <c r="B11" s="231" t="s">
        <v>72</v>
      </c>
      <c r="C11" s="104">
        <f aca="true" t="shared" si="0" ref="C11:H11">SUM(C8:C10)</f>
        <v>0</v>
      </c>
      <c r="D11" s="104">
        <f t="shared" si="0"/>
        <v>160840000</v>
      </c>
      <c r="E11" s="104">
        <f t="shared" si="0"/>
        <v>198711579.47115666</v>
      </c>
      <c r="F11" s="104">
        <f t="shared" si="0"/>
        <v>251811426.0758717</v>
      </c>
      <c r="G11" s="104">
        <f t="shared" si="0"/>
        <v>318215053.73237777</v>
      </c>
      <c r="H11" s="232">
        <f t="shared" si="0"/>
        <v>365142604.26491237</v>
      </c>
      <c r="I11"/>
      <c r="J11"/>
      <c r="K11"/>
      <c r="L11"/>
      <c r="M11"/>
      <c r="N11"/>
      <c r="O11"/>
    </row>
    <row r="12" spans="2:8" ht="12.75">
      <c r="B12" s="233" t="s">
        <v>73</v>
      </c>
      <c r="C12" s="43" t="s">
        <v>0</v>
      </c>
      <c r="D12" s="43" t="s">
        <v>0</v>
      </c>
      <c r="E12" s="43" t="s">
        <v>0</v>
      </c>
      <c r="F12" s="43" t="s">
        <v>0</v>
      </c>
      <c r="G12" s="43" t="s">
        <v>0</v>
      </c>
      <c r="H12" s="222" t="s">
        <v>0</v>
      </c>
    </row>
    <row r="13" spans="2:15" s="107" customFormat="1" ht="12.75">
      <c r="B13" s="79" t="str">
        <f>+'COMPRA DE MAT. PRIMAS'!$F$4</f>
        <v>COMPRA DE MATERIAS PRIMAS</v>
      </c>
      <c r="C13" s="110" t="str">
        <f>+'COMPRA DE MAT. PRIMAS'!I18</f>
        <v> </v>
      </c>
      <c r="D13" s="110">
        <f>+'COMPRA DE MAT. PRIMAS'!J18</f>
        <v>2782180.3679999993</v>
      </c>
      <c r="E13" s="110">
        <f>+'COMPRA DE MAT. PRIMAS'!J32</f>
        <v>2956066.641</v>
      </c>
      <c r="F13" s="110">
        <f>+'COMPRA DE MAT. PRIMAS'!J46</f>
        <v>3129952.914</v>
      </c>
      <c r="G13" s="110">
        <f>+'COMPRA DE MAT. PRIMAS'!J60</f>
        <v>3303839.187</v>
      </c>
      <c r="H13" s="234">
        <f>+'COMPRA DE MAT. PRIMAS'!J74</f>
        <v>3477725.46</v>
      </c>
      <c r="I13"/>
      <c r="J13"/>
      <c r="K13"/>
      <c r="L13"/>
      <c r="M13"/>
      <c r="N13"/>
      <c r="O13"/>
    </row>
    <row r="14" spans="2:15" s="107" customFormat="1" ht="12.75">
      <c r="B14" s="79" t="str">
        <f>+'MANO DE OBRA DIRECTA'!$B$4</f>
        <v>MANO DE OBRA DIRECTA</v>
      </c>
      <c r="C14" s="105">
        <v>0</v>
      </c>
      <c r="D14" s="105">
        <f>+'MANO DE OBRA DIRECTA'!F14</f>
        <v>63448772.16</v>
      </c>
      <c r="E14" s="105">
        <f>+'MANO DE OBRA DIRECTA'!F23</f>
        <v>66938454.628800005</v>
      </c>
      <c r="F14" s="105">
        <f>+'MANO DE OBRA DIRECTA'!F32</f>
        <v>70954761.906528</v>
      </c>
      <c r="G14" s="105">
        <f>+'MANO DE OBRA DIRECTA'!F41</f>
        <v>109725111.68491969</v>
      </c>
      <c r="H14" s="229">
        <f>+'MANO DE OBRA DIRECTA'!F50</f>
        <v>116308618.38601486</v>
      </c>
      <c r="I14"/>
      <c r="J14"/>
      <c r="K14"/>
      <c r="L14"/>
      <c r="M14"/>
      <c r="N14"/>
      <c r="O14"/>
    </row>
    <row r="15" spans="2:15" s="107" customFormat="1" ht="12.75">
      <c r="B15" s="235">
        <f>+'COSTOS IND. FAB.'!B7</f>
        <v>0</v>
      </c>
      <c r="C15" s="105">
        <v>0</v>
      </c>
      <c r="D15" s="105">
        <f>+'COSTOS IND. FAB.'!C7</f>
        <v>0</v>
      </c>
      <c r="E15" s="105">
        <f>+'COSTOS IND. FAB.'!D7</f>
        <v>0</v>
      </c>
      <c r="F15" s="105">
        <f>+'COSTOS IND. FAB.'!E7</f>
        <v>0</v>
      </c>
      <c r="G15" s="105">
        <f>+'COSTOS IND. FAB.'!F7</f>
        <v>0</v>
      </c>
      <c r="H15" s="229">
        <f>+'COSTOS IND. FAB.'!G7</f>
        <v>0</v>
      </c>
      <c r="I15"/>
      <c r="J15"/>
      <c r="K15"/>
      <c r="L15"/>
      <c r="M15"/>
      <c r="N15"/>
      <c r="O15"/>
    </row>
    <row r="16" spans="2:15" s="107" customFormat="1" ht="12.75">
      <c r="B16" s="235">
        <f>+'COSTOS IND. FAB.'!B8</f>
        <v>0</v>
      </c>
      <c r="C16" s="105">
        <v>0</v>
      </c>
      <c r="D16" s="105">
        <f>+'COSTOS IND. FAB.'!C8</f>
        <v>0</v>
      </c>
      <c r="E16" s="105">
        <f>+'COSTOS IND. FAB.'!D8</f>
        <v>0</v>
      </c>
      <c r="F16" s="105">
        <f>+'COSTOS IND. FAB.'!E8</f>
        <v>0</v>
      </c>
      <c r="G16" s="105">
        <f>+'COSTOS IND. FAB.'!F8</f>
        <v>0</v>
      </c>
      <c r="H16" s="229">
        <f>+'COSTOS IND. FAB.'!G8</f>
        <v>0</v>
      </c>
      <c r="I16"/>
      <c r="J16"/>
      <c r="K16"/>
      <c r="L16"/>
      <c r="M16"/>
      <c r="N16"/>
      <c r="O16"/>
    </row>
    <row r="17" spans="2:15" s="107" customFormat="1" ht="12.75">
      <c r="B17" s="235">
        <f>+'COSTOS IND. FAB.'!B9</f>
        <v>0</v>
      </c>
      <c r="C17" s="105">
        <v>0</v>
      </c>
      <c r="D17" s="105">
        <f>+'COSTOS IND. FAB.'!C9</f>
        <v>0</v>
      </c>
      <c r="E17" s="105">
        <f>+'COSTOS IND. FAB.'!D9</f>
        <v>0</v>
      </c>
      <c r="F17" s="105">
        <f>+'COSTOS IND. FAB.'!E9</f>
        <v>0</v>
      </c>
      <c r="G17" s="105">
        <f>+'COSTOS IND. FAB.'!F9</f>
        <v>0</v>
      </c>
      <c r="H17" s="229">
        <f>+'COSTOS IND. FAB.'!G9</f>
        <v>0</v>
      </c>
      <c r="I17"/>
      <c r="J17"/>
      <c r="K17"/>
      <c r="L17"/>
      <c r="M17"/>
      <c r="N17"/>
      <c r="O17"/>
    </row>
    <row r="18" spans="2:15" s="107" customFormat="1" ht="12.75">
      <c r="B18" s="235">
        <f>+'COSTOS IND. FAB.'!B10</f>
        <v>0</v>
      </c>
      <c r="C18" s="105">
        <v>0</v>
      </c>
      <c r="D18" s="105">
        <f>+'COSTOS IND. FAB.'!C10</f>
        <v>0</v>
      </c>
      <c r="E18" s="105">
        <f>+'COSTOS IND. FAB.'!D10</f>
        <v>0</v>
      </c>
      <c r="F18" s="105">
        <f>+'COSTOS IND. FAB.'!E10</f>
        <v>0</v>
      </c>
      <c r="G18" s="105">
        <f>+'COSTOS IND. FAB.'!F10</f>
        <v>0</v>
      </c>
      <c r="H18" s="229">
        <f>+'COSTOS IND. FAB.'!G10</f>
        <v>0</v>
      </c>
      <c r="I18"/>
      <c r="J18"/>
      <c r="K18"/>
      <c r="L18"/>
      <c r="M18"/>
      <c r="N18"/>
      <c r="O18"/>
    </row>
    <row r="19" spans="2:15" s="107" customFormat="1" ht="12.75">
      <c r="B19" s="235">
        <f>+'COSTOS IND. FAB.'!B11</f>
        <v>0</v>
      </c>
      <c r="C19" s="105">
        <v>0</v>
      </c>
      <c r="D19" s="105">
        <f>+'COSTOS IND. FAB.'!C11</f>
        <v>0</v>
      </c>
      <c r="E19" s="105">
        <f>+'COSTOS IND. FAB.'!D11</f>
        <v>0</v>
      </c>
      <c r="F19" s="105">
        <f>+'COSTOS IND. FAB.'!E11</f>
        <v>0</v>
      </c>
      <c r="G19" s="105">
        <f>+'COSTOS IND. FAB.'!F11</f>
        <v>0</v>
      </c>
      <c r="H19" s="229">
        <f>+'COSTOS IND. FAB.'!G11</f>
        <v>0</v>
      </c>
      <c r="I19"/>
      <c r="J19"/>
      <c r="K19"/>
      <c r="L19"/>
      <c r="M19"/>
      <c r="N19"/>
      <c r="O19"/>
    </row>
    <row r="20" spans="2:15" s="107" customFormat="1" ht="12.75">
      <c r="B20" s="235">
        <f>+'COSTOS IND. FAB.'!B12</f>
        <v>0</v>
      </c>
      <c r="C20" s="105">
        <v>0</v>
      </c>
      <c r="D20" s="105">
        <f>+'COSTOS IND. FAB.'!C12</f>
        <v>0</v>
      </c>
      <c r="E20" s="105">
        <f>+'COSTOS IND. FAB.'!D12</f>
        <v>0</v>
      </c>
      <c r="F20" s="105">
        <f>+'COSTOS IND. FAB.'!E12</f>
        <v>0</v>
      </c>
      <c r="G20" s="105">
        <f>+'COSTOS IND. FAB.'!F12</f>
        <v>0</v>
      </c>
      <c r="H20" s="229">
        <f>+'COSTOS IND. FAB.'!G12</f>
        <v>0</v>
      </c>
      <c r="I20"/>
      <c r="J20"/>
      <c r="K20"/>
      <c r="L20"/>
      <c r="M20"/>
      <c r="N20"/>
      <c r="O20"/>
    </row>
    <row r="21" spans="2:15" s="107" customFormat="1" ht="12.75">
      <c r="B21" s="235">
        <f>+'COSTOS IND. FAB.'!B13</f>
        <v>0</v>
      </c>
      <c r="C21" s="105">
        <v>0</v>
      </c>
      <c r="D21" s="105">
        <f>+'COSTOS IND. FAB.'!C13</f>
        <v>0</v>
      </c>
      <c r="E21" s="105">
        <f>+'COSTOS IND. FAB.'!D13</f>
        <v>0</v>
      </c>
      <c r="F21" s="105">
        <f>+'COSTOS IND. FAB.'!E13</f>
        <v>0</v>
      </c>
      <c r="G21" s="105">
        <f>+'COSTOS IND. FAB.'!F13</f>
        <v>0</v>
      </c>
      <c r="H21" s="229">
        <f>+'COSTOS IND. FAB.'!G13</f>
        <v>0</v>
      </c>
      <c r="I21"/>
      <c r="J21"/>
      <c r="K21"/>
      <c r="L21"/>
      <c r="M21"/>
      <c r="N21"/>
      <c r="O21"/>
    </row>
    <row r="22" spans="2:15" s="107" customFormat="1" ht="12.75">
      <c r="B22" s="235">
        <f>+'COSTOS IND. FAB.'!B14</f>
        <v>0</v>
      </c>
      <c r="C22" s="105">
        <f>+'COSTOS IND. FAB.'!B17</f>
        <v>0</v>
      </c>
      <c r="D22" s="105">
        <f>+'COSTOS IND. FAB.'!C14</f>
        <v>0</v>
      </c>
      <c r="E22" s="105">
        <f>+'COSTOS IND. FAB.'!D14</f>
        <v>0</v>
      </c>
      <c r="F22" s="105">
        <f>+'COSTOS IND. FAB.'!E14</f>
        <v>0</v>
      </c>
      <c r="G22" s="105">
        <f>+'COSTOS IND. FAB.'!F14</f>
        <v>0</v>
      </c>
      <c r="H22" s="229">
        <f>+'COSTOS IND. FAB.'!G14</f>
        <v>0</v>
      </c>
      <c r="I22"/>
      <c r="J22"/>
      <c r="K22"/>
      <c r="L22"/>
      <c r="M22"/>
      <c r="N22"/>
      <c r="O22"/>
    </row>
    <row r="23" spans="2:15" s="107" customFormat="1" ht="12.75">
      <c r="B23" s="235">
        <f>+'COSTOS IND. FAB.'!B18</f>
        <v>0</v>
      </c>
      <c r="C23" s="105">
        <f>+'COSTOS IND. FAB.'!B18</f>
        <v>0</v>
      </c>
      <c r="D23" s="105">
        <f>+'COSTOS IND. FAB.'!C18</f>
        <v>0</v>
      </c>
      <c r="E23" s="105">
        <f>+'COSTOS IND. FAB.'!D18</f>
        <v>0</v>
      </c>
      <c r="F23" s="105">
        <f>+'COSTOS IND. FAB.'!E18</f>
        <v>0</v>
      </c>
      <c r="G23" s="105">
        <f>+'COSTOS IND. FAB.'!F18</f>
        <v>0</v>
      </c>
      <c r="H23" s="105">
        <f>+'COSTOS IND. FAB.'!G18</f>
        <v>0</v>
      </c>
      <c r="I23"/>
      <c r="J23"/>
      <c r="K23"/>
      <c r="L23"/>
      <c r="M23"/>
      <c r="N23"/>
      <c r="O23"/>
    </row>
    <row r="24" spans="2:15" s="107" customFormat="1" ht="12.75">
      <c r="B24" s="235">
        <f>+'COSTOS IND. FAB.'!B15</f>
        <v>0</v>
      </c>
      <c r="C24" s="105">
        <f>+'COSTOS IND. FAB.'!B15</f>
        <v>0</v>
      </c>
      <c r="D24" s="105">
        <f>+'COSTOS IND. FAB.'!C15</f>
        <v>0</v>
      </c>
      <c r="E24" s="105">
        <f>+'COSTOS IND. FAB.'!D15</f>
        <v>0</v>
      </c>
      <c r="F24" s="105">
        <f>+'COSTOS IND. FAB.'!E15</f>
        <v>0</v>
      </c>
      <c r="G24" s="105">
        <f>+'COSTOS IND. FAB.'!F15</f>
        <v>0</v>
      </c>
      <c r="H24" s="229">
        <f>+'COSTOS IND. FAB.'!G15</f>
        <v>0</v>
      </c>
      <c r="I24"/>
      <c r="J24"/>
      <c r="K24"/>
      <c r="L24"/>
      <c r="M24"/>
      <c r="N24"/>
      <c r="O24"/>
    </row>
    <row r="25" spans="2:15" s="107" customFormat="1" ht="12.75">
      <c r="B25" s="235" t="str">
        <f>+'GASTOS DE ADMÓN'!B7</f>
        <v>Papeleria</v>
      </c>
      <c r="C25" s="105" t="str">
        <f>+'GASTOS DE ADMÓN'!B7</f>
        <v>Papeleria</v>
      </c>
      <c r="D25" s="105">
        <f>+'GASTOS DE ADMÓN'!C7</f>
        <v>1200000</v>
      </c>
      <c r="E25" s="105">
        <f>+'GASTOS DE ADMÓN'!D7</f>
        <v>1260000</v>
      </c>
      <c r="F25" s="105">
        <f>+'GASTOS DE ADMÓN'!E7</f>
        <v>1335600</v>
      </c>
      <c r="G25" s="105">
        <f>+'GASTOS DE ADMÓN'!F7</f>
        <v>1415736</v>
      </c>
      <c r="H25" s="229">
        <f>+'GASTOS DE ADMÓN'!G7</f>
        <v>1500680.16</v>
      </c>
      <c r="I25"/>
      <c r="J25"/>
      <c r="K25"/>
      <c r="L25"/>
      <c r="M25"/>
      <c r="N25"/>
      <c r="O25"/>
    </row>
    <row r="26" spans="2:15" s="107" customFormat="1" ht="12.75">
      <c r="B26" s="235" t="str">
        <f>+'GASTOS DE ADMÓN'!B8</f>
        <v>Imprevistos</v>
      </c>
      <c r="C26" s="105" t="str">
        <f>+'GASTOS DE ADMÓN'!B8</f>
        <v>Imprevistos</v>
      </c>
      <c r="D26" s="105">
        <f>+'GASTOS DE ADMÓN'!C8</f>
        <v>1200000</v>
      </c>
      <c r="E26" s="105">
        <f>+'GASTOS DE ADMÓN'!D8</f>
        <v>1260000</v>
      </c>
      <c r="F26" s="105">
        <f>+'GASTOS DE ADMÓN'!E8</f>
        <v>1335600</v>
      </c>
      <c r="G26" s="105">
        <f>+'GASTOS DE ADMÓN'!F8</f>
        <v>1415736</v>
      </c>
      <c r="H26" s="229">
        <f>+'GASTOS DE ADMÓN'!G8</f>
        <v>1500680.16</v>
      </c>
      <c r="I26"/>
      <c r="J26"/>
      <c r="K26"/>
      <c r="L26"/>
      <c r="M26"/>
      <c r="N26"/>
      <c r="O26"/>
    </row>
    <row r="27" spans="2:15" s="107" customFormat="1" ht="12.75">
      <c r="B27" s="235" t="str">
        <f>+'GASTOS DE ADMÓN'!B9</f>
        <v>Servicio de Agua</v>
      </c>
      <c r="C27" s="105" t="str">
        <f>+'GASTOS DE ADMÓN'!B9</f>
        <v>Servicio de Agua</v>
      </c>
      <c r="D27" s="105">
        <f>+'GASTOS DE ADMÓN'!C9</f>
        <v>1923600</v>
      </c>
      <c r="E27" s="105">
        <f>+'GASTOS DE ADMÓN'!D9</f>
        <v>2019780</v>
      </c>
      <c r="F27" s="105">
        <f>+'GASTOS DE ADMÓN'!E9</f>
        <v>2140966.8</v>
      </c>
      <c r="G27" s="105">
        <f>+'GASTOS DE ADMÓN'!F9</f>
        <v>2269424.8079999997</v>
      </c>
      <c r="H27" s="229">
        <f>+'GASTOS DE ADMÓN'!G9</f>
        <v>2405590.2964799996</v>
      </c>
      <c r="I27"/>
      <c r="J27"/>
      <c r="K27"/>
      <c r="L27"/>
      <c r="M27"/>
      <c r="N27"/>
      <c r="O27"/>
    </row>
    <row r="28" spans="2:15" s="107" customFormat="1" ht="12.75">
      <c r="B28" s="235" t="str">
        <f>+'GASTOS DE ADMÓN'!B10</f>
        <v>Arriendo</v>
      </c>
      <c r="C28" s="105" t="str">
        <f>+'GASTOS DE ADMÓN'!B10</f>
        <v>Arriendo</v>
      </c>
      <c r="D28" s="105">
        <f>+'GASTOS DE ADMÓN'!C10</f>
        <v>14400000</v>
      </c>
      <c r="E28" s="105">
        <f>+'GASTOS DE ADMÓN'!D10</f>
        <v>15120000</v>
      </c>
      <c r="F28" s="105">
        <f>+'GASTOS DE ADMÓN'!E10</f>
        <v>16027200</v>
      </c>
      <c r="G28" s="105">
        <f>+'GASTOS DE ADMÓN'!F10</f>
        <v>16988832</v>
      </c>
      <c r="H28" s="229">
        <f>+'GASTOS DE ADMÓN'!G10</f>
        <v>18008161.92</v>
      </c>
      <c r="I28"/>
      <c r="J28"/>
      <c r="K28"/>
      <c r="L28"/>
      <c r="M28"/>
      <c r="N28"/>
      <c r="O28"/>
    </row>
    <row r="29" spans="2:15" s="107" customFormat="1" ht="12.75">
      <c r="B29" s="235" t="str">
        <f>+'GASTOS DE ADMÓN'!B11</f>
        <v>Servicio de luz</v>
      </c>
      <c r="C29" s="105" t="str">
        <f>+'GASTOS DE ADMÓN'!B11</f>
        <v>Servicio de luz</v>
      </c>
      <c r="D29" s="105">
        <f>+'GASTOS DE ADMÓN'!C11</f>
        <v>600000</v>
      </c>
      <c r="E29" s="105">
        <f>+'GASTOS DE ADMÓN'!D11</f>
        <v>630000</v>
      </c>
      <c r="F29" s="105">
        <f>+'GASTOS DE ADMÓN'!E11</f>
        <v>667800</v>
      </c>
      <c r="G29" s="105">
        <f>+'GASTOS DE ADMÓN'!F11</f>
        <v>707868</v>
      </c>
      <c r="H29" s="229">
        <f>+'GASTOS DE ADMÓN'!G11</f>
        <v>750340.08</v>
      </c>
      <c r="I29"/>
      <c r="J29"/>
      <c r="K29"/>
      <c r="L29"/>
      <c r="M29"/>
      <c r="N29"/>
      <c r="O29"/>
    </row>
    <row r="30" spans="2:15" s="107" customFormat="1" ht="12.75">
      <c r="B30" s="235" t="str">
        <f>+'GASTOS DE ADMÓN'!B12</f>
        <v>Contabilidad</v>
      </c>
      <c r="C30" s="105" t="str">
        <f>+'GASTOS DE ADMÓN'!B12</f>
        <v>Contabilidad</v>
      </c>
      <c r="D30" s="105">
        <f>+'GASTOS DE ADMÓN'!C12</f>
        <v>11858532</v>
      </c>
      <c r="E30" s="105">
        <f>+'GASTOS DE ADMÓN'!D12</f>
        <v>12451458.6</v>
      </c>
      <c r="F30" s="105">
        <f>+'GASTOS DE ADMÓN'!E12</f>
        <v>13198546.116</v>
      </c>
      <c r="G30" s="105">
        <f>+'GASTOS DE ADMÓN'!F12</f>
        <v>13990458.882960001</v>
      </c>
      <c r="H30" s="229">
        <f>+'GASTOS DE ADMÓN'!G12</f>
        <v>14829886.4159376</v>
      </c>
      <c r="I30"/>
      <c r="J30"/>
      <c r="K30"/>
      <c r="L30"/>
      <c r="M30"/>
      <c r="N30"/>
      <c r="O30"/>
    </row>
    <row r="31" spans="2:15" s="107" customFormat="1" ht="12.75">
      <c r="B31" s="235" t="str">
        <f>+'GASTOS DE ADMÓN'!B13</f>
        <v>Auxiliar administrativo</v>
      </c>
      <c r="C31" s="105" t="str">
        <f>+'GASTOS DE ADMÓN'!B13</f>
        <v>Auxiliar administrativo</v>
      </c>
      <c r="D31" s="105">
        <f>+'GASTOS DE ADMÓN'!C13</f>
        <v>10433436</v>
      </c>
      <c r="E31" s="105">
        <f>+'GASTOS DE ADMÓN'!D13</f>
        <v>10955107.8</v>
      </c>
      <c r="F31" s="105">
        <f>+'GASTOS DE ADMÓN'!E13</f>
        <v>11612414.268000001</v>
      </c>
      <c r="G31" s="105">
        <f>+'GASTOS DE ADMÓN'!F13</f>
        <v>12309159.12408</v>
      </c>
      <c r="H31" s="229">
        <f>+'GASTOS DE ADMÓN'!G13</f>
        <v>13047708.6715248</v>
      </c>
      <c r="I31"/>
      <c r="J31"/>
      <c r="K31"/>
      <c r="L31"/>
      <c r="M31"/>
      <c r="N31"/>
      <c r="O31"/>
    </row>
    <row r="32" spans="2:15" s="107" customFormat="1" ht="12.75">
      <c r="B32" s="235">
        <f>+'GASTOS DE ADMÓN'!B14</f>
        <v>0</v>
      </c>
      <c r="C32" s="105">
        <f>+'GASTOS DE ADMÓN'!B14</f>
        <v>0</v>
      </c>
      <c r="D32" s="105">
        <f>+'GASTOS DE ADMÓN'!C14</f>
        <v>0</v>
      </c>
      <c r="E32" s="105">
        <f>+'GASTOS DE ADMÓN'!D14</f>
        <v>0</v>
      </c>
      <c r="F32" s="105">
        <f>+'GASTOS DE ADMÓN'!E14</f>
        <v>0</v>
      </c>
      <c r="G32" s="105">
        <f>+'GASTOS DE ADMÓN'!F14</f>
        <v>0</v>
      </c>
      <c r="H32" s="229">
        <f>+'GASTOS DE ADMÓN'!G14</f>
        <v>0</v>
      </c>
      <c r="I32"/>
      <c r="J32"/>
      <c r="K32"/>
      <c r="L32"/>
      <c r="M32"/>
      <c r="N32"/>
      <c r="O32"/>
    </row>
    <row r="33" spans="2:15" s="107" customFormat="1" ht="12.75">
      <c r="B33" s="235">
        <f>+'GASTOS DE ADMÓN'!B15</f>
        <v>0</v>
      </c>
      <c r="C33" s="105">
        <f>+'GASTOS DE ADMÓN'!B15</f>
        <v>0</v>
      </c>
      <c r="D33" s="105">
        <f>+'GASTOS DE ADMÓN'!C15</f>
        <v>0</v>
      </c>
      <c r="E33" s="105">
        <f>+'GASTOS DE ADMÓN'!D15</f>
        <v>0</v>
      </c>
      <c r="F33" s="105">
        <f>+'GASTOS DE ADMÓN'!E15</f>
        <v>0</v>
      </c>
      <c r="G33" s="105">
        <f>+'GASTOS DE ADMÓN'!F15</f>
        <v>0</v>
      </c>
      <c r="H33" s="229">
        <f>+'GASTOS DE ADMÓN'!G15</f>
        <v>0</v>
      </c>
      <c r="I33"/>
      <c r="J33"/>
      <c r="K33"/>
      <c r="L33"/>
      <c r="M33"/>
      <c r="N33"/>
      <c r="O33"/>
    </row>
    <row r="34" spans="2:15" s="107" customFormat="1" ht="12.75">
      <c r="B34" s="235">
        <f>+'GASTOS DE ADMÓN'!B16</f>
        <v>0</v>
      </c>
      <c r="C34" s="105">
        <f>+'GASTOS DE ADMÓN'!B16</f>
        <v>0</v>
      </c>
      <c r="D34" s="105">
        <f>+'GASTOS DE ADMÓN'!C16</f>
        <v>0</v>
      </c>
      <c r="E34" s="105">
        <f>+'GASTOS DE ADMÓN'!D16</f>
        <v>0</v>
      </c>
      <c r="F34" s="105">
        <f>+'GASTOS DE ADMÓN'!E16</f>
        <v>0</v>
      </c>
      <c r="G34" s="105">
        <f>+'GASTOS DE ADMÓN'!F16</f>
        <v>0</v>
      </c>
      <c r="H34" s="229">
        <f>+'GASTOS DE ADMÓN'!G16</f>
        <v>0</v>
      </c>
      <c r="I34"/>
      <c r="J34"/>
      <c r="K34"/>
      <c r="L34"/>
      <c r="M34"/>
      <c r="N34"/>
      <c r="O34"/>
    </row>
    <row r="35" spans="2:15" s="107" customFormat="1" ht="12.75">
      <c r="B35" s="237" t="str">
        <f>+'GASTOS DE VENTAS'!B7</f>
        <v>Gerente</v>
      </c>
      <c r="C35" s="105" t="str">
        <f>+'GASTOS DE VENTAS'!B7</f>
        <v>Gerente</v>
      </c>
      <c r="D35" s="105">
        <f>+'GASTOS DE VENTAS'!C7</f>
        <v>36000000</v>
      </c>
      <c r="E35" s="105">
        <f>+'GASTOS DE VENTAS'!D7</f>
        <v>37440000</v>
      </c>
      <c r="F35" s="105">
        <f>+'GASTOS DE VENTAS'!E7</f>
        <v>39124800</v>
      </c>
      <c r="G35" s="105">
        <f>+'GASTOS DE VENTAS'!F7</f>
        <v>41081040</v>
      </c>
      <c r="H35" s="229">
        <f>+'GASTOS DE VENTAS'!G7</f>
        <v>43340497.2</v>
      </c>
      <c r="I35"/>
      <c r="J35"/>
      <c r="K35"/>
      <c r="L35"/>
      <c r="M35"/>
      <c r="N35"/>
      <c r="O35"/>
    </row>
    <row r="36" spans="2:15" s="107" customFormat="1" ht="12.75">
      <c r="B36" s="237">
        <f>+'GASTOS DE VENTAS'!B8</f>
        <v>0</v>
      </c>
      <c r="C36" s="105">
        <f>+'GASTOS DE VENTAS'!B8</f>
        <v>0</v>
      </c>
      <c r="D36" s="105">
        <f>+'GASTOS DE VENTAS'!C8</f>
        <v>0</v>
      </c>
      <c r="E36" s="105">
        <f>+'GASTOS DE VENTAS'!D8</f>
        <v>0</v>
      </c>
      <c r="F36" s="105">
        <f>+'GASTOS DE VENTAS'!E8</f>
        <v>0</v>
      </c>
      <c r="G36" s="105">
        <f>+'GASTOS DE VENTAS'!F8</f>
        <v>0</v>
      </c>
      <c r="H36" s="229">
        <f>+'GASTOS DE VENTAS'!G8</f>
        <v>0</v>
      </c>
      <c r="I36"/>
      <c r="J36"/>
      <c r="K36"/>
      <c r="L36"/>
      <c r="M36"/>
      <c r="N36"/>
      <c r="O36"/>
    </row>
    <row r="37" spans="2:15" s="107" customFormat="1" ht="12.75">
      <c r="B37" s="237">
        <f>+'GASTOS DE VENTAS'!B9</f>
        <v>0</v>
      </c>
      <c r="C37" s="105">
        <f>+'GASTOS DE VENTAS'!B9</f>
        <v>0</v>
      </c>
      <c r="D37" s="105">
        <f>+'GASTOS DE VENTAS'!C9</f>
        <v>0</v>
      </c>
      <c r="E37" s="105">
        <f>+'GASTOS DE VENTAS'!D9</f>
        <v>0</v>
      </c>
      <c r="F37" s="105">
        <f>+'GASTOS DE VENTAS'!E9</f>
        <v>0</v>
      </c>
      <c r="G37" s="105">
        <f>+'GASTOS DE VENTAS'!F9</f>
        <v>0</v>
      </c>
      <c r="H37" s="229">
        <f>+'GASTOS DE VENTAS'!G9</f>
        <v>0</v>
      </c>
      <c r="I37"/>
      <c r="J37"/>
      <c r="K37"/>
      <c r="L37"/>
      <c r="M37"/>
      <c r="N37"/>
      <c r="O37"/>
    </row>
    <row r="38" spans="2:15" s="107" customFormat="1" ht="12.75">
      <c r="B38" s="237">
        <f>+'GASTOS DE VENTAS'!B10</f>
        <v>0</v>
      </c>
      <c r="C38" s="105">
        <f>+'GASTOS DE VENTAS'!B10</f>
        <v>0</v>
      </c>
      <c r="D38" s="105">
        <f>+'GASTOS DE VENTAS'!C10</f>
        <v>0</v>
      </c>
      <c r="E38" s="105">
        <f>+'GASTOS DE VENTAS'!D10</f>
        <v>0</v>
      </c>
      <c r="F38" s="105">
        <f>+'GASTOS DE VENTAS'!E10</f>
        <v>0</v>
      </c>
      <c r="G38" s="105">
        <f>+'GASTOS DE VENTAS'!F10</f>
        <v>0</v>
      </c>
      <c r="H38" s="229">
        <f>+'GASTOS DE VENTAS'!G10</f>
        <v>0</v>
      </c>
      <c r="I38"/>
      <c r="J38"/>
      <c r="K38"/>
      <c r="L38"/>
      <c r="M38"/>
      <c r="N38"/>
      <c r="O38"/>
    </row>
    <row r="39" spans="2:15" s="107" customFormat="1" ht="12.75">
      <c r="B39" s="237">
        <f>+'GASTOS DE VENTAS'!B11</f>
        <v>0</v>
      </c>
      <c r="C39" s="105">
        <f>+'GASTOS DE VENTAS'!B11</f>
        <v>0</v>
      </c>
      <c r="D39" s="105">
        <f>+'GASTOS DE VENTAS'!C11</f>
        <v>0</v>
      </c>
      <c r="E39" s="105">
        <f>+'GASTOS DE VENTAS'!D11</f>
        <v>0</v>
      </c>
      <c r="F39" s="105">
        <f>+'GASTOS DE VENTAS'!E11</f>
        <v>0</v>
      </c>
      <c r="G39" s="105">
        <f>+'GASTOS DE VENTAS'!F11</f>
        <v>0</v>
      </c>
      <c r="H39" s="229">
        <f>+'GASTOS DE VENTAS'!G11</f>
        <v>0</v>
      </c>
      <c r="I39"/>
      <c r="J39"/>
      <c r="K39"/>
      <c r="L39"/>
      <c r="M39"/>
      <c r="N39"/>
      <c r="O39"/>
    </row>
    <row r="40" spans="2:15" s="107" customFormat="1" ht="12.75">
      <c r="B40" s="237">
        <f>+'GASTOS DE VENTAS'!B12</f>
        <v>0</v>
      </c>
      <c r="C40" s="105">
        <f>+'GASTOS DE VENTAS'!B12</f>
        <v>0</v>
      </c>
      <c r="D40" s="105">
        <f>+'GASTOS DE VENTAS'!C12</f>
        <v>0</v>
      </c>
      <c r="E40" s="105">
        <f>+'GASTOS DE VENTAS'!D12</f>
        <v>0</v>
      </c>
      <c r="F40" s="105">
        <f>+'GASTOS DE VENTAS'!E12</f>
        <v>0</v>
      </c>
      <c r="G40" s="105">
        <f>+'GASTOS DE VENTAS'!F12</f>
        <v>0</v>
      </c>
      <c r="H40" s="229">
        <f>+'GASTOS DE VENTAS'!G12</f>
        <v>0</v>
      </c>
      <c r="I40"/>
      <c r="J40"/>
      <c r="K40"/>
      <c r="L40"/>
      <c r="M40"/>
      <c r="N40"/>
      <c r="O40"/>
    </row>
    <row r="41" spans="2:15" s="107" customFormat="1" ht="12.75">
      <c r="B41" s="237">
        <f>+'GASTOS DE VENTAS'!B13</f>
        <v>0</v>
      </c>
      <c r="C41" s="105">
        <f>+'GASTOS DE VENTAS'!B13</f>
        <v>0</v>
      </c>
      <c r="D41" s="105">
        <f>+'GASTOS DE VENTAS'!C13</f>
        <v>0</v>
      </c>
      <c r="E41" s="105">
        <f>+'GASTOS DE VENTAS'!D13</f>
        <v>0</v>
      </c>
      <c r="F41" s="105">
        <f>+'GASTOS DE VENTAS'!E13</f>
        <v>0</v>
      </c>
      <c r="G41" s="105">
        <f>+'GASTOS DE VENTAS'!F13</f>
        <v>0</v>
      </c>
      <c r="H41" s="229">
        <f>+'GASTOS DE VENTAS'!G13</f>
        <v>0</v>
      </c>
      <c r="I41"/>
      <c r="J41"/>
      <c r="K41"/>
      <c r="L41"/>
      <c r="M41"/>
      <c r="N41"/>
      <c r="O41"/>
    </row>
    <row r="42" spans="2:15" s="107" customFormat="1" ht="12.75">
      <c r="B42" s="237">
        <f>+'GASTOS DE VENTAS'!B14</f>
        <v>0</v>
      </c>
      <c r="C42" s="105">
        <f>+'GASTOS DE VENTAS'!B14</f>
        <v>0</v>
      </c>
      <c r="D42" s="105">
        <f>+'GASTOS DE VENTAS'!C14</f>
        <v>0</v>
      </c>
      <c r="E42" s="105">
        <f>+'GASTOS DE VENTAS'!D14</f>
        <v>0</v>
      </c>
      <c r="F42" s="105">
        <f>+'GASTOS DE VENTAS'!E14</f>
        <v>0</v>
      </c>
      <c r="G42" s="105">
        <f>+'GASTOS DE VENTAS'!F14</f>
        <v>0</v>
      </c>
      <c r="H42" s="229">
        <f>+'GASTOS DE VENTAS'!G14</f>
        <v>0</v>
      </c>
      <c r="I42"/>
      <c r="J42"/>
      <c r="K42"/>
      <c r="L42"/>
      <c r="M42"/>
      <c r="N42"/>
      <c r="O42"/>
    </row>
    <row r="43" spans="2:15" s="107" customFormat="1" ht="12.75">
      <c r="B43" s="237">
        <f>+'GASTOS DE VENTAS'!B15</f>
        <v>0</v>
      </c>
      <c r="C43" s="105">
        <f>+'GASTOS DE VENTAS'!B15</f>
        <v>0</v>
      </c>
      <c r="D43" s="105">
        <f>+'GASTOS DE VENTAS'!C15</f>
        <v>0</v>
      </c>
      <c r="E43" s="105">
        <f>+'GASTOS DE VENTAS'!D15</f>
        <v>0</v>
      </c>
      <c r="F43" s="105">
        <f>+'GASTOS DE VENTAS'!E15</f>
        <v>0</v>
      </c>
      <c r="G43" s="105">
        <f>+'GASTOS DE VENTAS'!F15</f>
        <v>0</v>
      </c>
      <c r="H43" s="229">
        <f>+'GASTOS DE VENTAS'!G15</f>
        <v>0</v>
      </c>
      <c r="I43"/>
      <c r="J43"/>
      <c r="K43"/>
      <c r="L43"/>
      <c r="M43"/>
      <c r="N43"/>
      <c r="O43"/>
    </row>
    <row r="44" spans="2:15" s="107" customFormat="1" ht="12.75">
      <c r="B44" s="545"/>
      <c r="C44" s="105">
        <f>+'GASTOS DE VENTAS'!B16</f>
        <v>0</v>
      </c>
      <c r="D44" s="105">
        <f>+'GASTOS DE VENTAS'!C16</f>
        <v>0</v>
      </c>
      <c r="E44" s="105">
        <f>+'GASTOS DE VENTAS'!D16</f>
        <v>0</v>
      </c>
      <c r="F44" s="105">
        <f>+'GASTOS DE VENTAS'!E16</f>
        <v>0</v>
      </c>
      <c r="G44" s="105">
        <f>+'GASTOS DE VENTAS'!F16</f>
        <v>0</v>
      </c>
      <c r="H44" s="229">
        <f>+'GASTOS DE VENTAS'!G16</f>
        <v>0</v>
      </c>
      <c r="I44"/>
      <c r="J44"/>
      <c r="K44"/>
      <c r="L44"/>
      <c r="M44"/>
      <c r="N44"/>
      <c r="O44"/>
    </row>
    <row r="45" spans="2:15" s="107" customFormat="1" ht="12.75">
      <c r="B45" s="79" t="s">
        <v>93</v>
      </c>
      <c r="C45" s="105">
        <f>+'ESTADO DE RESULTADOS (GYP)'!C1</f>
        <v>0</v>
      </c>
      <c r="D45" s="105">
        <f>+'ESTADO DE RESULTADOS (GYP)'!D1</f>
        <v>0</v>
      </c>
      <c r="E45" s="105">
        <f>+'ESTADO DE RESULTADOS (GYP)'!D17</f>
        <v>1745203.7254849975</v>
      </c>
      <c r="F45" s="105">
        <f>+'ESTADO DE RESULTADOS (GYP)'!E17</f>
        <v>6594142.168965995</v>
      </c>
      <c r="G45" s="105">
        <f>+'ESTADO DE RESULTADOS (GYP)'!F17</f>
        <v>11762286.578505771</v>
      </c>
      <c r="H45" s="229">
        <f>+'ESTADO DE RESULTADOS (GYP)'!G17</f>
        <v>6536163.527203316</v>
      </c>
      <c r="I45"/>
      <c r="J45"/>
      <c r="K45"/>
      <c r="L45"/>
      <c r="M45"/>
      <c r="N45"/>
      <c r="O45"/>
    </row>
    <row r="46" spans="2:15" s="107" customFormat="1" ht="12.75">
      <c r="B46" s="79" t="s">
        <v>164</v>
      </c>
      <c r="C46" s="105">
        <f>SUM('PREST. FINANCIERO'!D16:D27)</f>
        <v>0.0008333416666666668</v>
      </c>
      <c r="D46" s="105">
        <f>SUM('PREST. FINANCIERO'!E16:E27)-1</f>
        <v>0.0008433416666666638</v>
      </c>
      <c r="E46" s="105">
        <f>SUM('PREST. FINANCIERO'!E28:E39)</f>
        <v>0</v>
      </c>
      <c r="F46" s="105">
        <f>SUM('PREST. FINANCIERO'!E40:E51)</f>
        <v>0</v>
      </c>
      <c r="G46" s="105">
        <f>SUM('PREST. FINANCIERO'!E52:E63)</f>
        <v>0</v>
      </c>
      <c r="H46" s="229">
        <f>SUM('PREST. FINANCIERO'!E64:E75)</f>
        <v>0</v>
      </c>
      <c r="I46"/>
      <c r="J46"/>
      <c r="K46"/>
      <c r="L46"/>
      <c r="M46"/>
      <c r="N46"/>
      <c r="O46"/>
    </row>
    <row r="47" spans="2:15" s="107" customFormat="1" ht="12.75">
      <c r="B47" s="546" t="s">
        <v>354</v>
      </c>
      <c r="C47" s="105">
        <v>0</v>
      </c>
      <c r="D47" s="105">
        <f>+'BALANCE GENERAL'!U15+'BALANCE GENERAL'!U23+'BALANCE GENERAL'!U39+'BALANCE GENERAL'!U47</f>
        <v>10704983.333333332</v>
      </c>
      <c r="E47" s="105">
        <f>+'BALANCE GENERAL'!V15+'BALANCE GENERAL'!V23+'BALANCE GENERAL'!V39+'BALANCE GENERAL'!V47</f>
        <v>10704983.333333332</v>
      </c>
      <c r="F47" s="105">
        <f>+'BALANCE GENERAL'!W15+'BALANCE GENERAL'!W23+'BALANCE GENERAL'!W39+'BALANCE GENERAL'!W47</f>
        <v>10704983.333333332</v>
      </c>
      <c r="G47" s="105">
        <f>+'BALANCE GENERAL'!X15+'BALANCE GENERAL'!X23+'BALANCE GENERAL'!X39+'BALANCE GENERAL'!X47</f>
        <v>9511650</v>
      </c>
      <c r="H47" s="105">
        <f>+'BALANCE GENERAL'!Y15+'BALANCE GENERAL'!Y23+'BALANCE GENERAL'!Y39+'BALANCE GENERAL'!Y47</f>
        <v>9511650</v>
      </c>
      <c r="I47"/>
      <c r="J47"/>
      <c r="K47"/>
      <c r="L47"/>
      <c r="M47"/>
      <c r="N47"/>
      <c r="O47"/>
    </row>
    <row r="48" spans="2:15" s="107" customFormat="1" ht="12.75">
      <c r="B48" s="546" t="s">
        <v>355</v>
      </c>
      <c r="C48" s="105">
        <f>+'DATOS GENERALES'!B134</f>
        <v>119923500</v>
      </c>
      <c r="D48" s="105"/>
      <c r="E48" s="105"/>
      <c r="F48" s="105"/>
      <c r="G48" s="105"/>
      <c r="H48" s="229"/>
      <c r="I48"/>
      <c r="J48"/>
      <c r="K48"/>
      <c r="L48"/>
      <c r="M48"/>
      <c r="N48"/>
      <c r="O48"/>
    </row>
    <row r="49" spans="2:15" s="1" customFormat="1" ht="12.75">
      <c r="B49" s="231" t="s">
        <v>74</v>
      </c>
      <c r="C49" s="104">
        <f>SUM(C13:C46)</f>
        <v>0.0008333416666666668</v>
      </c>
      <c r="D49" s="104">
        <f>SUM(D13:D48)-D47</f>
        <v>143846520.52884334</v>
      </c>
      <c r="E49" s="104">
        <f>SUM(E13:E48)-E47</f>
        <v>152776071.39528498</v>
      </c>
      <c r="F49" s="104">
        <f>SUM(F13:F48)-F47</f>
        <v>166121784.17349398</v>
      </c>
      <c r="G49" s="104">
        <f>SUM(G13:G48)-G47</f>
        <v>214969492.26546547</v>
      </c>
      <c r="H49" s="104">
        <f>SUM(H13:H48)-H47</f>
        <v>221706052.27716058</v>
      </c>
      <c r="I49"/>
      <c r="J49"/>
      <c r="K49"/>
      <c r="L49"/>
      <c r="M49"/>
      <c r="N49"/>
      <c r="O49"/>
    </row>
    <row r="50" spans="2:15" s="1" customFormat="1" ht="12.75">
      <c r="B50" s="238" t="s">
        <v>75</v>
      </c>
      <c r="C50" s="239">
        <f aca="true" t="shared" si="1" ref="C50:H50">+C11-C49</f>
        <v>-0.0008333416666666668</v>
      </c>
      <c r="D50" s="239">
        <f t="shared" si="1"/>
        <v>16993479.471156657</v>
      </c>
      <c r="E50" s="239">
        <f t="shared" si="1"/>
        <v>45935508.075871676</v>
      </c>
      <c r="F50" s="239">
        <f t="shared" si="1"/>
        <v>85689641.90237772</v>
      </c>
      <c r="G50" s="239">
        <f t="shared" si="1"/>
        <v>103245561.4669123</v>
      </c>
      <c r="H50" s="220">
        <f t="shared" si="1"/>
        <v>143436551.98775178</v>
      </c>
      <c r="I50"/>
      <c r="J50"/>
      <c r="K50"/>
      <c r="L50"/>
      <c r="M50"/>
      <c r="N50"/>
      <c r="O50"/>
    </row>
    <row r="53" spans="2:8" ht="12.75">
      <c r="B53" s="591" t="s">
        <v>194</v>
      </c>
      <c r="C53" s="591"/>
      <c r="D53" s="591"/>
      <c r="E53" s="591"/>
      <c r="F53" s="591"/>
      <c r="G53" s="591"/>
      <c r="H53" s="591"/>
    </row>
    <row r="54" spans="2:8" ht="12.75">
      <c r="B54" s="446">
        <f>-'DATOS GENERALES'!B134-'DATOS GENERALES'!B137+1</f>
        <v>-119923500</v>
      </c>
      <c r="C54" s="446"/>
      <c r="D54" s="336">
        <f>+D50</f>
        <v>16993479.471156657</v>
      </c>
      <c r="E54" s="336">
        <f>+E50</f>
        <v>45935508.075871676</v>
      </c>
      <c r="F54" s="336">
        <f>+F50</f>
        <v>85689641.90237772</v>
      </c>
      <c r="G54" s="336">
        <f>+G50</f>
        <v>103245561.4669123</v>
      </c>
      <c r="H54" s="336">
        <f>+H50</f>
        <v>143436551.98775178</v>
      </c>
    </row>
    <row r="55" ht="12.75">
      <c r="D55" t="s">
        <v>0</v>
      </c>
    </row>
    <row r="56" spans="5:6" ht="12.75">
      <c r="E56" t="s">
        <v>0</v>
      </c>
      <c r="F56" s="5" t="s">
        <v>0</v>
      </c>
    </row>
    <row r="119" ht="12.75">
      <c r="D119" t="s">
        <v>0</v>
      </c>
    </row>
    <row r="120" ht="12.75">
      <c r="H120" s="5" t="s">
        <v>0</v>
      </c>
    </row>
  </sheetData>
  <sheetProtection/>
  <mergeCells count="1">
    <mergeCell ref="B53:H5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9"/>
  <dimension ref="B1:O84"/>
  <sheetViews>
    <sheetView showGridLines="0" zoomScale="75" zoomScaleNormal="75" zoomScalePageLayoutView="0" workbookViewId="0" topLeftCell="A1">
      <selection activeCell="I1" sqref="I1"/>
    </sheetView>
  </sheetViews>
  <sheetFormatPr defaultColWidth="11.421875" defaultRowHeight="12.75"/>
  <cols>
    <col min="1" max="1" width="6.8515625" style="0" customWidth="1"/>
    <col min="2" max="2" width="9.28125" style="0" customWidth="1"/>
    <col min="3" max="3" width="24.140625" style="0" customWidth="1"/>
    <col min="4" max="4" width="16.421875" style="0" customWidth="1"/>
    <col min="5" max="5" width="16.00390625" style="0" bestFit="1" customWidth="1"/>
    <col min="6" max="6" width="17.7109375" style="0" customWidth="1"/>
    <col min="7" max="7" width="2.8515625" style="0" customWidth="1"/>
    <col min="8" max="8" width="5.7109375" style="0" customWidth="1"/>
    <col min="9" max="9" width="17.28125" style="0" customWidth="1"/>
    <col min="10" max="10" width="22.421875" style="0" customWidth="1"/>
    <col min="11" max="11" width="16.140625" style="0" customWidth="1"/>
    <col min="12" max="12" width="14.7109375" style="0" customWidth="1"/>
    <col min="13" max="13" width="13.8515625" style="0" customWidth="1"/>
    <col min="14" max="14" width="13.7109375" style="0" customWidth="1"/>
    <col min="15" max="15" width="16.140625" style="0" customWidth="1"/>
  </cols>
  <sheetData>
    <row r="1" ht="12.75">
      <c r="G1" s="61"/>
    </row>
    <row r="2" ht="12.75">
      <c r="G2" s="61"/>
    </row>
    <row r="3" spans="2:7" ht="12.75">
      <c r="B3" s="161" t="str">
        <f>+'BALANCE GENERAL'!T6</f>
        <v>NOMBRE DE LA EMPRESA:</v>
      </c>
      <c r="C3" s="77"/>
      <c r="D3" s="337" t="str">
        <f>+'FLUJO DE EFECTIVO'!D2</f>
        <v>Gas Metano</v>
      </c>
      <c r="E3" s="337"/>
      <c r="F3" s="338"/>
      <c r="G3" s="146"/>
    </row>
    <row r="4" spans="2:7" ht="12.75">
      <c r="B4" s="74"/>
      <c r="C4" s="27"/>
      <c r="D4" s="27"/>
      <c r="E4" s="27"/>
      <c r="F4" s="156" t="s">
        <v>0</v>
      </c>
      <c r="G4" s="147"/>
    </row>
    <row r="5" spans="2:10" ht="12.75">
      <c r="B5" s="592" t="s">
        <v>160</v>
      </c>
      <c r="C5" s="593"/>
      <c r="D5" s="593"/>
      <c r="E5" s="593"/>
      <c r="F5" s="594"/>
      <c r="G5" s="147"/>
      <c r="H5" s="595" t="s">
        <v>308</v>
      </c>
      <c r="I5" s="596"/>
      <c r="J5" s="597"/>
    </row>
    <row r="6" spans="2:10" ht="12.75">
      <c r="B6" s="74"/>
      <c r="C6" s="27"/>
      <c r="D6" s="27"/>
      <c r="E6" s="27"/>
      <c r="F6" s="156" t="s">
        <v>0</v>
      </c>
      <c r="G6" s="147"/>
      <c r="H6" s="476"/>
      <c r="I6" s="477" t="s">
        <v>0</v>
      </c>
      <c r="J6" s="478"/>
    </row>
    <row r="7" spans="2:10" ht="12.75">
      <c r="B7" s="157" t="s">
        <v>115</v>
      </c>
      <c r="C7" s="27"/>
      <c r="D7" s="27"/>
      <c r="E7" s="27"/>
      <c r="F7" s="158" t="s">
        <v>0</v>
      </c>
      <c r="G7" s="148"/>
      <c r="H7" s="479"/>
      <c r="I7" s="480" t="s">
        <v>0</v>
      </c>
      <c r="J7" s="481"/>
    </row>
    <row r="8" spans="2:10" ht="12.75">
      <c r="B8" s="157" t="s">
        <v>116</v>
      </c>
      <c r="C8" s="133">
        <f>+'DATOS GENERALES'!B137+0.00001</f>
        <v>1.00001</v>
      </c>
      <c r="D8" s="27"/>
      <c r="E8" s="27"/>
      <c r="F8" s="75"/>
      <c r="G8" s="146"/>
      <c r="H8" s="479"/>
      <c r="I8" s="482" t="s">
        <v>0</v>
      </c>
      <c r="J8" s="481"/>
    </row>
    <row r="9" spans="2:10" ht="12.75">
      <c r="B9" s="157" t="s">
        <v>165</v>
      </c>
      <c r="C9" s="160">
        <f>+'DATOS GENERALES'!E137</f>
        <v>1</v>
      </c>
      <c r="D9" s="132" t="s">
        <v>119</v>
      </c>
      <c r="E9" s="27"/>
      <c r="F9" s="158" t="s">
        <v>0</v>
      </c>
      <c r="G9" s="148"/>
      <c r="H9" s="483" t="s">
        <v>306</v>
      </c>
      <c r="I9" s="484">
        <f>+C10</f>
        <v>0.01</v>
      </c>
      <c r="J9" s="485" t="s">
        <v>307</v>
      </c>
    </row>
    <row r="10" spans="2:10" ht="12.75">
      <c r="B10" s="435" t="s">
        <v>166</v>
      </c>
      <c r="C10" s="447">
        <f>+'DATOS GENERALES'!H137</f>
        <v>0.01</v>
      </c>
      <c r="D10" s="436" t="s">
        <v>161</v>
      </c>
      <c r="E10" s="437"/>
      <c r="F10" s="75"/>
      <c r="G10" s="146"/>
      <c r="H10" s="479"/>
      <c r="I10" s="486" t="s">
        <v>0</v>
      </c>
      <c r="J10" s="481" t="s">
        <v>0</v>
      </c>
    </row>
    <row r="11" spans="2:10" ht="12.75">
      <c r="B11" s="157" t="s">
        <v>121</v>
      </c>
      <c r="C11" s="114"/>
      <c r="D11" s="114" t="s">
        <v>120</v>
      </c>
      <c r="E11" s="27" t="s">
        <v>0</v>
      </c>
      <c r="F11" s="75"/>
      <c r="G11" s="146"/>
      <c r="H11" s="479"/>
      <c r="I11" s="487" t="s">
        <v>0</v>
      </c>
      <c r="J11" s="481" t="s">
        <v>0</v>
      </c>
    </row>
    <row r="12" spans="2:10" ht="12.75">
      <c r="B12" s="159" t="s">
        <v>0</v>
      </c>
      <c r="C12" s="130" t="s">
        <v>0</v>
      </c>
      <c r="D12" s="130" t="s">
        <v>0</v>
      </c>
      <c r="E12" s="130" t="s">
        <v>0</v>
      </c>
      <c r="F12" s="158" t="s">
        <v>0</v>
      </c>
      <c r="G12" s="148"/>
      <c r="H12" s="504" t="s">
        <v>306</v>
      </c>
      <c r="I12" s="484">
        <f>+I9/12</f>
        <v>0.0008333333333333334</v>
      </c>
      <c r="J12" s="485" t="s">
        <v>315</v>
      </c>
    </row>
    <row r="13" spans="2:10" ht="12.75">
      <c r="B13" s="162" t="s">
        <v>122</v>
      </c>
      <c r="C13" s="163" t="s">
        <v>48</v>
      </c>
      <c r="D13" s="162" t="s">
        <v>118</v>
      </c>
      <c r="E13" s="162" t="s">
        <v>297</v>
      </c>
      <c r="F13" s="164" t="s">
        <v>117</v>
      </c>
      <c r="G13" s="146"/>
      <c r="H13" s="505"/>
      <c r="I13" s="505"/>
      <c r="J13" s="505"/>
    </row>
    <row r="14" spans="2:15" ht="15.75">
      <c r="B14" s="135" t="s">
        <v>0</v>
      </c>
      <c r="C14" s="137" t="s">
        <v>0</v>
      </c>
      <c r="D14" s="135" t="s">
        <v>0</v>
      </c>
      <c r="E14" s="136" t="s">
        <v>0</v>
      </c>
      <c r="F14" s="135" t="s">
        <v>0</v>
      </c>
      <c r="G14" s="146"/>
      <c r="H14" s="505"/>
      <c r="I14" s="506"/>
      <c r="J14" s="507" t="s">
        <v>170</v>
      </c>
      <c r="K14" s="507" t="s">
        <v>171</v>
      </c>
      <c r="L14" s="507" t="s">
        <v>172</v>
      </c>
      <c r="M14" s="507" t="s">
        <v>173</v>
      </c>
      <c r="N14" s="507" t="s">
        <v>174</v>
      </c>
      <c r="O14" s="507" t="s">
        <v>2</v>
      </c>
    </row>
    <row r="15" spans="2:15" ht="15.75">
      <c r="B15" s="138">
        <v>0</v>
      </c>
      <c r="C15" s="131"/>
      <c r="D15" s="138"/>
      <c r="E15" s="139"/>
      <c r="F15" s="139">
        <f>+C8</f>
        <v>1.00001</v>
      </c>
      <c r="G15" s="149"/>
      <c r="H15" s="505"/>
      <c r="I15" s="508" t="s">
        <v>316</v>
      </c>
      <c r="J15" s="509">
        <f>+SUM(E16:E27)</f>
        <v>1.0008433416666667</v>
      </c>
      <c r="K15" s="509">
        <f>+SUM(E28:E39)</f>
        <v>0</v>
      </c>
      <c r="L15" s="509">
        <f>+SUM(E40:E51)</f>
        <v>0</v>
      </c>
      <c r="M15" s="509">
        <f>+SUM(E52:E63)</f>
        <v>0</v>
      </c>
      <c r="N15" s="509">
        <f>+SUM(E64:E75)</f>
        <v>0</v>
      </c>
      <c r="O15" s="510">
        <f>+SUM(J15:N15)</f>
        <v>1.0008433416666667</v>
      </c>
    </row>
    <row r="16" spans="2:15" ht="15.75">
      <c r="B16" s="138">
        <v>1</v>
      </c>
      <c r="C16" s="131">
        <f>+($C$8)/$C$9</f>
        <v>1.00001</v>
      </c>
      <c r="D16" s="139">
        <f aca="true" t="shared" si="0" ref="D16:D61">+$I$12*F15</f>
        <v>0.0008333416666666668</v>
      </c>
      <c r="E16" s="139">
        <f>+D16+C16</f>
        <v>1.0008433416666667</v>
      </c>
      <c r="F16" s="139">
        <f>+F15-C16</f>
        <v>0</v>
      </c>
      <c r="G16" s="153"/>
      <c r="I16" s="508" t="s">
        <v>118</v>
      </c>
      <c r="J16" s="509">
        <f>+SUM(D16:D27)</f>
        <v>0.0008333416666666668</v>
      </c>
      <c r="K16" s="509">
        <f>+SUM(D28:D39)</f>
        <v>0</v>
      </c>
      <c r="L16" s="509">
        <f>+SUM(D40:D51)</f>
        <v>0</v>
      </c>
      <c r="M16" s="509">
        <f>+SUM(D52:D63)</f>
        <v>0</v>
      </c>
      <c r="N16" s="509">
        <f>+SUM(D64:D75)</f>
        <v>0</v>
      </c>
      <c r="O16" s="510">
        <f>+SUM(J16:N16)</f>
        <v>0.0008333416666666668</v>
      </c>
    </row>
    <row r="17" spans="2:15" ht="15.75">
      <c r="B17" s="138">
        <v>2</v>
      </c>
      <c r="C17" s="131">
        <f>+IF(SUM($C$16:C16)=$C$8,0,C16)</f>
        <v>0</v>
      </c>
      <c r="D17" s="139">
        <f t="shared" si="0"/>
        <v>0</v>
      </c>
      <c r="E17" s="139">
        <f aca="true" t="shared" si="1" ref="E17:E75">+D17+C17</f>
        <v>0</v>
      </c>
      <c r="F17" s="139">
        <f aca="true" t="shared" si="2" ref="F17:F75">+F16-C17</f>
        <v>0</v>
      </c>
      <c r="G17" s="154"/>
      <c r="I17" s="508" t="s">
        <v>48</v>
      </c>
      <c r="J17" s="509">
        <f>+SUM(C16:C27)</f>
        <v>1.00001</v>
      </c>
      <c r="K17" s="509">
        <f>+SUM(C28:C39)</f>
        <v>0</v>
      </c>
      <c r="L17" s="509">
        <f>+SUM(C40:C51)</f>
        <v>0</v>
      </c>
      <c r="M17" s="509">
        <f>+SUM(C52:C63)</f>
        <v>0</v>
      </c>
      <c r="N17" s="509">
        <f>+SUM(C64:C75)</f>
        <v>0</v>
      </c>
      <c r="O17" s="510">
        <f>+SUM(J17:N17)</f>
        <v>1.00001</v>
      </c>
    </row>
    <row r="18" spans="2:15" ht="15.75">
      <c r="B18" s="138">
        <v>3</v>
      </c>
      <c r="C18" s="131">
        <f>+IF(SUM($C$16:C17)=$C$8,0,C17)</f>
        <v>0</v>
      </c>
      <c r="D18" s="139">
        <f t="shared" si="0"/>
        <v>0</v>
      </c>
      <c r="E18" s="139">
        <f t="shared" si="1"/>
        <v>0</v>
      </c>
      <c r="F18" s="139">
        <f t="shared" si="2"/>
        <v>0</v>
      </c>
      <c r="G18" s="154"/>
      <c r="I18" s="508" t="s">
        <v>317</v>
      </c>
      <c r="J18" s="509">
        <f>+F27</f>
        <v>0</v>
      </c>
      <c r="K18" s="509">
        <f>+F39</f>
        <v>0</v>
      </c>
      <c r="L18" s="509">
        <f>+F51</f>
        <v>0</v>
      </c>
      <c r="M18" s="509">
        <f>+F63</f>
        <v>0</v>
      </c>
      <c r="N18" s="509">
        <f>+F75</f>
        <v>0</v>
      </c>
      <c r="O18" s="510"/>
    </row>
    <row r="19" spans="2:9" ht="12.75">
      <c r="B19" s="138">
        <v>4</v>
      </c>
      <c r="C19" s="131">
        <f>+IF(SUM($C$16:C18)=$C$8,0,C18)</f>
        <v>0</v>
      </c>
      <c r="D19" s="139">
        <f t="shared" si="0"/>
        <v>0</v>
      </c>
      <c r="E19" s="139">
        <f t="shared" si="1"/>
        <v>0</v>
      </c>
      <c r="F19" s="139">
        <f t="shared" si="2"/>
        <v>0</v>
      </c>
      <c r="G19" s="154"/>
      <c r="I19" t="s">
        <v>0</v>
      </c>
    </row>
    <row r="20" spans="2:7" ht="12.75">
      <c r="B20" s="138">
        <v>5</v>
      </c>
      <c r="C20" s="131">
        <f>+IF(SUM($C$16:C19)=$C$8,0,C19)</f>
        <v>0</v>
      </c>
      <c r="D20" s="139">
        <f t="shared" si="0"/>
        <v>0</v>
      </c>
      <c r="E20" s="139">
        <f t="shared" si="1"/>
        <v>0</v>
      </c>
      <c r="F20" s="139">
        <f t="shared" si="2"/>
        <v>0</v>
      </c>
      <c r="G20" s="154"/>
    </row>
    <row r="21" spans="2:9" ht="12.75">
      <c r="B21" s="138">
        <v>6</v>
      </c>
      <c r="C21" s="131">
        <f>+IF(SUM($C$16:C20)=$C$8,0,C20)</f>
        <v>0</v>
      </c>
      <c r="D21" s="139">
        <f t="shared" si="0"/>
        <v>0</v>
      </c>
      <c r="E21" s="139">
        <f t="shared" si="1"/>
        <v>0</v>
      </c>
      <c r="F21" s="139">
        <f t="shared" si="2"/>
        <v>0</v>
      </c>
      <c r="G21" s="154"/>
      <c r="I21" t="s">
        <v>0</v>
      </c>
    </row>
    <row r="22" spans="2:7" ht="12.75">
      <c r="B22" s="138">
        <v>7</v>
      </c>
      <c r="C22" s="131">
        <f>+IF(SUM($C$16:C21)=$C$8,0,C21)</f>
        <v>0</v>
      </c>
      <c r="D22" s="139">
        <f t="shared" si="0"/>
        <v>0</v>
      </c>
      <c r="E22" s="139">
        <f t="shared" si="1"/>
        <v>0</v>
      </c>
      <c r="F22" s="139">
        <f t="shared" si="2"/>
        <v>0</v>
      </c>
      <c r="G22" s="154"/>
    </row>
    <row r="23" spans="2:7" ht="12.75">
      <c r="B23" s="138">
        <v>8</v>
      </c>
      <c r="C23" s="131">
        <f>+IF(SUM($C$16:C22)=$C$8,0,C22)</f>
        <v>0</v>
      </c>
      <c r="D23" s="139">
        <f t="shared" si="0"/>
        <v>0</v>
      </c>
      <c r="E23" s="139">
        <f t="shared" si="1"/>
        <v>0</v>
      </c>
      <c r="F23" s="139">
        <f t="shared" si="2"/>
        <v>0</v>
      </c>
      <c r="G23" s="154"/>
    </row>
    <row r="24" spans="2:7" ht="12.75">
      <c r="B24" s="138">
        <v>9</v>
      </c>
      <c r="C24" s="131">
        <f>+IF(SUM($C$16:C23)=$C$8,0,C23)</f>
        <v>0</v>
      </c>
      <c r="D24" s="139">
        <f t="shared" si="0"/>
        <v>0</v>
      </c>
      <c r="E24" s="139">
        <f t="shared" si="1"/>
        <v>0</v>
      </c>
      <c r="F24" s="139">
        <f t="shared" si="2"/>
        <v>0</v>
      </c>
      <c r="G24" s="154"/>
    </row>
    <row r="25" spans="2:7" ht="12.75">
      <c r="B25" s="138">
        <v>10</v>
      </c>
      <c r="C25" s="131">
        <f>+IF(SUM($C$16:C24)=$C$8,0,C24)</f>
        <v>0</v>
      </c>
      <c r="D25" s="139">
        <f t="shared" si="0"/>
        <v>0</v>
      </c>
      <c r="E25" s="139">
        <f t="shared" si="1"/>
        <v>0</v>
      </c>
      <c r="F25" s="139">
        <f t="shared" si="2"/>
        <v>0</v>
      </c>
      <c r="G25" s="154"/>
    </row>
    <row r="26" spans="2:7" ht="12.75">
      <c r="B26" s="138">
        <v>11</v>
      </c>
      <c r="C26" s="131">
        <f>+IF(SUM($C$16:C25)=$C$8,0,C25)</f>
        <v>0</v>
      </c>
      <c r="D26" s="139">
        <f t="shared" si="0"/>
        <v>0</v>
      </c>
      <c r="E26" s="139">
        <f t="shared" si="1"/>
        <v>0</v>
      </c>
      <c r="F26" s="139">
        <f t="shared" si="2"/>
        <v>0</v>
      </c>
      <c r="G26" s="154"/>
    </row>
    <row r="27" spans="2:7" ht="12.75">
      <c r="B27" s="138">
        <v>12</v>
      </c>
      <c r="C27" s="131">
        <f>+IF(SUM($C$16:C26)=$C$8,0,C26)</f>
        <v>0</v>
      </c>
      <c r="D27" s="139">
        <f t="shared" si="0"/>
        <v>0</v>
      </c>
      <c r="E27" s="139">
        <f t="shared" si="1"/>
        <v>0</v>
      </c>
      <c r="F27" s="139">
        <f t="shared" si="2"/>
        <v>0</v>
      </c>
      <c r="G27" s="154"/>
    </row>
    <row r="28" spans="2:7" ht="12.75">
      <c r="B28" s="138">
        <v>13</v>
      </c>
      <c r="C28" s="131">
        <f>+IF(SUM($C$16:C27)=$C$8,0,C27)</f>
        <v>0</v>
      </c>
      <c r="D28" s="139">
        <f t="shared" si="0"/>
        <v>0</v>
      </c>
      <c r="E28" s="139">
        <f t="shared" si="1"/>
        <v>0</v>
      </c>
      <c r="F28" s="139">
        <f t="shared" si="2"/>
        <v>0</v>
      </c>
      <c r="G28" s="154"/>
    </row>
    <row r="29" spans="2:7" ht="12.75">
      <c r="B29" s="138">
        <v>14</v>
      </c>
      <c r="C29" s="131">
        <f>+IF(SUM($C$16:C28)=$C$8,0,C28)</f>
        <v>0</v>
      </c>
      <c r="D29" s="139">
        <f t="shared" si="0"/>
        <v>0</v>
      </c>
      <c r="E29" s="139">
        <f t="shared" si="1"/>
        <v>0</v>
      </c>
      <c r="F29" s="139">
        <f t="shared" si="2"/>
        <v>0</v>
      </c>
      <c r="G29" s="154"/>
    </row>
    <row r="30" spans="2:7" ht="12.75">
      <c r="B30" s="138">
        <v>15</v>
      </c>
      <c r="C30" s="131">
        <f>+IF(SUM($C$16:C29)=$C$8,0,C29)</f>
        <v>0</v>
      </c>
      <c r="D30" s="139">
        <f t="shared" si="0"/>
        <v>0</v>
      </c>
      <c r="E30" s="139">
        <f t="shared" si="1"/>
        <v>0</v>
      </c>
      <c r="F30" s="139">
        <f t="shared" si="2"/>
        <v>0</v>
      </c>
      <c r="G30" s="154"/>
    </row>
    <row r="31" spans="2:7" ht="12.75">
      <c r="B31" s="138">
        <v>16</v>
      </c>
      <c r="C31" s="131">
        <f>+IF(SUM($C$16:C30)=$C$8,0,C30)</f>
        <v>0</v>
      </c>
      <c r="D31" s="139">
        <f t="shared" si="0"/>
        <v>0</v>
      </c>
      <c r="E31" s="139">
        <f t="shared" si="1"/>
        <v>0</v>
      </c>
      <c r="F31" s="139">
        <f t="shared" si="2"/>
        <v>0</v>
      </c>
      <c r="G31" s="154"/>
    </row>
    <row r="32" spans="2:7" ht="12.75">
      <c r="B32" s="138">
        <v>17</v>
      </c>
      <c r="C32" s="131">
        <f>+IF(SUM($C$16:C31)=$C$8,0,C31)</f>
        <v>0</v>
      </c>
      <c r="D32" s="139">
        <f t="shared" si="0"/>
        <v>0</v>
      </c>
      <c r="E32" s="139">
        <f t="shared" si="1"/>
        <v>0</v>
      </c>
      <c r="F32" s="139">
        <f t="shared" si="2"/>
        <v>0</v>
      </c>
      <c r="G32" s="154"/>
    </row>
    <row r="33" spans="2:7" ht="12.75">
      <c r="B33" s="138">
        <v>18</v>
      </c>
      <c r="C33" s="131">
        <f>+IF(SUM($C$16:C32)=$C$8,0,C32)</f>
        <v>0</v>
      </c>
      <c r="D33" s="139">
        <f t="shared" si="0"/>
        <v>0</v>
      </c>
      <c r="E33" s="139">
        <f t="shared" si="1"/>
        <v>0</v>
      </c>
      <c r="F33" s="139">
        <f t="shared" si="2"/>
        <v>0</v>
      </c>
      <c r="G33" s="154"/>
    </row>
    <row r="34" spans="2:7" ht="12.75">
      <c r="B34" s="138">
        <v>19</v>
      </c>
      <c r="C34" s="131">
        <f>+IF(SUM($C$16:C33)=$C$8,0,C33)</f>
        <v>0</v>
      </c>
      <c r="D34" s="139">
        <f t="shared" si="0"/>
        <v>0</v>
      </c>
      <c r="E34" s="139">
        <f t="shared" si="1"/>
        <v>0</v>
      </c>
      <c r="F34" s="139">
        <f t="shared" si="2"/>
        <v>0</v>
      </c>
      <c r="G34" s="154"/>
    </row>
    <row r="35" spans="2:7" ht="12.75">
      <c r="B35" s="138">
        <v>20</v>
      </c>
      <c r="C35" s="131">
        <f>+IF(SUM($C$16:C34)=$C$8,0,C34)</f>
        <v>0</v>
      </c>
      <c r="D35" s="139">
        <f t="shared" si="0"/>
        <v>0</v>
      </c>
      <c r="E35" s="139">
        <f t="shared" si="1"/>
        <v>0</v>
      </c>
      <c r="F35" s="139">
        <f t="shared" si="2"/>
        <v>0</v>
      </c>
      <c r="G35" s="154"/>
    </row>
    <row r="36" spans="2:7" ht="12.75">
      <c r="B36" s="138">
        <v>21</v>
      </c>
      <c r="C36" s="131">
        <f>+IF(SUM($C$16:C35)=$C$8,0,C35)</f>
        <v>0</v>
      </c>
      <c r="D36" s="139">
        <f t="shared" si="0"/>
        <v>0</v>
      </c>
      <c r="E36" s="139">
        <f t="shared" si="1"/>
        <v>0</v>
      </c>
      <c r="F36" s="139">
        <f t="shared" si="2"/>
        <v>0</v>
      </c>
      <c r="G36" s="154"/>
    </row>
    <row r="37" spans="2:7" ht="12.75">
      <c r="B37" s="138">
        <v>22</v>
      </c>
      <c r="C37" s="131">
        <f>+IF(SUM($C$16:C36)=$C$8,0,C36)</f>
        <v>0</v>
      </c>
      <c r="D37" s="139">
        <f t="shared" si="0"/>
        <v>0</v>
      </c>
      <c r="E37" s="139">
        <f t="shared" si="1"/>
        <v>0</v>
      </c>
      <c r="F37" s="139">
        <f t="shared" si="2"/>
        <v>0</v>
      </c>
      <c r="G37" s="154"/>
    </row>
    <row r="38" spans="2:7" ht="12.75">
      <c r="B38" s="138">
        <v>23</v>
      </c>
      <c r="C38" s="131">
        <f>+IF(SUM($C$16:C37)=$C$8,0,C37)</f>
        <v>0</v>
      </c>
      <c r="D38" s="139">
        <f t="shared" si="0"/>
        <v>0</v>
      </c>
      <c r="E38" s="139">
        <f t="shared" si="1"/>
        <v>0</v>
      </c>
      <c r="F38" s="139">
        <f t="shared" si="2"/>
        <v>0</v>
      </c>
      <c r="G38" s="154"/>
    </row>
    <row r="39" spans="2:7" ht="12.75">
      <c r="B39" s="138">
        <v>24</v>
      </c>
      <c r="C39" s="131">
        <f>+IF(SUM($C$16:C38)=$C$8,0,C38)</f>
        <v>0</v>
      </c>
      <c r="D39" s="139">
        <f t="shared" si="0"/>
        <v>0</v>
      </c>
      <c r="E39" s="139">
        <f t="shared" si="1"/>
        <v>0</v>
      </c>
      <c r="F39" s="139">
        <f t="shared" si="2"/>
        <v>0</v>
      </c>
      <c r="G39" s="154"/>
    </row>
    <row r="40" spans="2:7" ht="12.75">
      <c r="B40" s="138">
        <v>25</v>
      </c>
      <c r="C40" s="131">
        <f>+IF(SUM($C$16:C39)=$C$8,0,C39)</f>
        <v>0</v>
      </c>
      <c r="D40" s="139">
        <f t="shared" si="0"/>
        <v>0</v>
      </c>
      <c r="E40" s="139">
        <f t="shared" si="1"/>
        <v>0</v>
      </c>
      <c r="F40" s="139">
        <f t="shared" si="2"/>
        <v>0</v>
      </c>
      <c r="G40" s="154"/>
    </row>
    <row r="41" spans="2:9" ht="12.75">
      <c r="B41" s="138">
        <v>26</v>
      </c>
      <c r="C41" s="131">
        <f>+IF(SUM($C$16:C40)=$C$8,0,C40)</f>
        <v>0</v>
      </c>
      <c r="D41" s="139">
        <f t="shared" si="0"/>
        <v>0</v>
      </c>
      <c r="E41" s="139">
        <f t="shared" si="1"/>
        <v>0</v>
      </c>
      <c r="F41" s="139">
        <f t="shared" si="2"/>
        <v>0</v>
      </c>
      <c r="G41" s="154"/>
      <c r="I41" t="s">
        <v>0</v>
      </c>
    </row>
    <row r="42" spans="2:7" ht="12.75">
      <c r="B42" s="138">
        <v>27</v>
      </c>
      <c r="C42" s="131">
        <f>+IF(SUM($C$16:C41)=$C$8,0,C41)</f>
        <v>0</v>
      </c>
      <c r="D42" s="139">
        <f t="shared" si="0"/>
        <v>0</v>
      </c>
      <c r="E42" s="139">
        <f t="shared" si="1"/>
        <v>0</v>
      </c>
      <c r="F42" s="139">
        <f t="shared" si="2"/>
        <v>0</v>
      </c>
      <c r="G42" s="154"/>
    </row>
    <row r="43" spans="2:7" ht="12.75">
      <c r="B43" s="138">
        <v>28</v>
      </c>
      <c r="C43" s="131">
        <f>+IF(SUM($C$16:C42)=$C$8,0,C42)</f>
        <v>0</v>
      </c>
      <c r="D43" s="139">
        <f t="shared" si="0"/>
        <v>0</v>
      </c>
      <c r="E43" s="139">
        <f t="shared" si="1"/>
        <v>0</v>
      </c>
      <c r="F43" s="139">
        <f t="shared" si="2"/>
        <v>0</v>
      </c>
      <c r="G43" s="154"/>
    </row>
    <row r="44" spans="2:7" ht="12.75">
      <c r="B44" s="138">
        <v>29</v>
      </c>
      <c r="C44" s="131">
        <f>+IF(SUM($C$16:C43)=$C$8,0,C43)</f>
        <v>0</v>
      </c>
      <c r="D44" s="139">
        <f t="shared" si="0"/>
        <v>0</v>
      </c>
      <c r="E44" s="139">
        <f t="shared" si="1"/>
        <v>0</v>
      </c>
      <c r="F44" s="139">
        <f t="shared" si="2"/>
        <v>0</v>
      </c>
      <c r="G44" s="154"/>
    </row>
    <row r="45" spans="2:7" ht="12.75">
      <c r="B45" s="138">
        <v>30</v>
      </c>
      <c r="C45" s="131">
        <f>+IF(SUM($C$16:C44)=$C$8,0,C44)</f>
        <v>0</v>
      </c>
      <c r="D45" s="139">
        <f t="shared" si="0"/>
        <v>0</v>
      </c>
      <c r="E45" s="139">
        <f t="shared" si="1"/>
        <v>0</v>
      </c>
      <c r="F45" s="139">
        <f t="shared" si="2"/>
        <v>0</v>
      </c>
      <c r="G45" s="154"/>
    </row>
    <row r="46" spans="2:7" ht="12.75">
      <c r="B46" s="138">
        <v>31</v>
      </c>
      <c r="C46" s="131">
        <f>+IF(SUM($C$16:C45)=$C$8,0,C45)</f>
        <v>0</v>
      </c>
      <c r="D46" s="139">
        <f t="shared" si="0"/>
        <v>0</v>
      </c>
      <c r="E46" s="139">
        <f t="shared" si="1"/>
        <v>0</v>
      </c>
      <c r="F46" s="139">
        <f t="shared" si="2"/>
        <v>0</v>
      </c>
      <c r="G46" s="154"/>
    </row>
    <row r="47" spans="2:7" ht="12.75">
      <c r="B47" s="138">
        <v>32</v>
      </c>
      <c r="C47" s="131">
        <f>+IF(SUM($C$16:C46)=$C$8,0,C46)</f>
        <v>0</v>
      </c>
      <c r="D47" s="139">
        <f t="shared" si="0"/>
        <v>0</v>
      </c>
      <c r="E47" s="139">
        <f t="shared" si="1"/>
        <v>0</v>
      </c>
      <c r="F47" s="139">
        <f t="shared" si="2"/>
        <v>0</v>
      </c>
      <c r="G47" s="154"/>
    </row>
    <row r="48" spans="2:7" ht="12.75">
      <c r="B48" s="138">
        <v>33</v>
      </c>
      <c r="C48" s="131">
        <f>+IF(SUM($C$16:C47)=$C$8,0,C47)</f>
        <v>0</v>
      </c>
      <c r="D48" s="139">
        <f t="shared" si="0"/>
        <v>0</v>
      </c>
      <c r="E48" s="139">
        <f t="shared" si="1"/>
        <v>0</v>
      </c>
      <c r="F48" s="139">
        <f t="shared" si="2"/>
        <v>0</v>
      </c>
      <c r="G48" s="154"/>
    </row>
    <row r="49" spans="2:7" ht="12.75">
      <c r="B49" s="138">
        <v>34</v>
      </c>
      <c r="C49" s="131">
        <f>+IF(SUM($C$16:C48)=$C$8,0,C48)</f>
        <v>0</v>
      </c>
      <c r="D49" s="139">
        <f t="shared" si="0"/>
        <v>0</v>
      </c>
      <c r="E49" s="139">
        <f t="shared" si="1"/>
        <v>0</v>
      </c>
      <c r="F49" s="139">
        <f t="shared" si="2"/>
        <v>0</v>
      </c>
      <c r="G49" s="154"/>
    </row>
    <row r="50" spans="2:7" ht="12.75">
      <c r="B50" s="138">
        <v>35</v>
      </c>
      <c r="C50" s="131">
        <f>+IF(SUM($C$16:C49)=$C$8,0,C49)</f>
        <v>0</v>
      </c>
      <c r="D50" s="139">
        <f t="shared" si="0"/>
        <v>0</v>
      </c>
      <c r="E50" s="139">
        <f t="shared" si="1"/>
        <v>0</v>
      </c>
      <c r="F50" s="139">
        <f t="shared" si="2"/>
        <v>0</v>
      </c>
      <c r="G50" s="154"/>
    </row>
    <row r="51" spans="2:7" ht="12.75">
      <c r="B51" s="138">
        <v>36</v>
      </c>
      <c r="C51" s="131">
        <f>+IF(SUM($C$16:C50)=$C$8,0,C50)</f>
        <v>0</v>
      </c>
      <c r="D51" s="139">
        <f t="shared" si="0"/>
        <v>0</v>
      </c>
      <c r="E51" s="139">
        <f t="shared" si="1"/>
        <v>0</v>
      </c>
      <c r="F51" s="139">
        <f t="shared" si="2"/>
        <v>0</v>
      </c>
      <c r="G51" s="154"/>
    </row>
    <row r="52" spans="2:7" ht="12.75">
      <c r="B52" s="138">
        <v>37</v>
      </c>
      <c r="C52" s="131">
        <f>+IF(SUM($C$16:C51)=$C$8,0,C51)</f>
        <v>0</v>
      </c>
      <c r="D52" s="139">
        <f t="shared" si="0"/>
        <v>0</v>
      </c>
      <c r="E52" s="139">
        <f t="shared" si="1"/>
        <v>0</v>
      </c>
      <c r="F52" s="139">
        <f t="shared" si="2"/>
        <v>0</v>
      </c>
      <c r="G52" s="154"/>
    </row>
    <row r="53" spans="2:7" ht="12.75">
      <c r="B53" s="138">
        <v>38</v>
      </c>
      <c r="C53" s="131">
        <f>+IF(SUM($C$16:C52)=$C$8,0,C52)</f>
        <v>0</v>
      </c>
      <c r="D53" s="139">
        <f t="shared" si="0"/>
        <v>0</v>
      </c>
      <c r="E53" s="139">
        <f t="shared" si="1"/>
        <v>0</v>
      </c>
      <c r="F53" s="139">
        <f t="shared" si="2"/>
        <v>0</v>
      </c>
      <c r="G53" s="154"/>
    </row>
    <row r="54" spans="2:7" ht="12.75">
      <c r="B54" s="138">
        <v>39</v>
      </c>
      <c r="C54" s="131">
        <f>+IF(SUM($C$16:C53)=$C$8,0,C53)</f>
        <v>0</v>
      </c>
      <c r="D54" s="139">
        <f t="shared" si="0"/>
        <v>0</v>
      </c>
      <c r="E54" s="139">
        <f t="shared" si="1"/>
        <v>0</v>
      </c>
      <c r="F54" s="139">
        <f t="shared" si="2"/>
        <v>0</v>
      </c>
      <c r="G54" s="154"/>
    </row>
    <row r="55" spans="2:7" ht="12.75">
      <c r="B55" s="138">
        <v>40</v>
      </c>
      <c r="C55" s="131">
        <f>+IF(SUM($C$16:C54)=$C$8,0,C54)</f>
        <v>0</v>
      </c>
      <c r="D55" s="139">
        <f t="shared" si="0"/>
        <v>0</v>
      </c>
      <c r="E55" s="139">
        <f t="shared" si="1"/>
        <v>0</v>
      </c>
      <c r="F55" s="139">
        <f t="shared" si="2"/>
        <v>0</v>
      </c>
      <c r="G55" s="154"/>
    </row>
    <row r="56" spans="2:7" ht="12.75">
      <c r="B56" s="138">
        <v>41</v>
      </c>
      <c r="C56" s="131">
        <f>+IF(SUM($C$16:C55)=$C$8,0,C55)</f>
        <v>0</v>
      </c>
      <c r="D56" s="139">
        <f t="shared" si="0"/>
        <v>0</v>
      </c>
      <c r="E56" s="139">
        <f t="shared" si="1"/>
        <v>0</v>
      </c>
      <c r="F56" s="139">
        <f t="shared" si="2"/>
        <v>0</v>
      </c>
      <c r="G56" s="154"/>
    </row>
    <row r="57" spans="2:7" ht="12.75">
      <c r="B57" s="138">
        <v>42</v>
      </c>
      <c r="C57" s="131">
        <f>+IF(SUM($C$16:C56)=$C$8,0,C56)</f>
        <v>0</v>
      </c>
      <c r="D57" s="139">
        <f t="shared" si="0"/>
        <v>0</v>
      </c>
      <c r="E57" s="139">
        <f t="shared" si="1"/>
        <v>0</v>
      </c>
      <c r="F57" s="139">
        <f t="shared" si="2"/>
        <v>0</v>
      </c>
      <c r="G57" s="154"/>
    </row>
    <row r="58" spans="2:7" ht="12.75">
      <c r="B58" s="138">
        <v>43</v>
      </c>
      <c r="C58" s="131">
        <f>+IF(SUM($C$16:C57)=$C$8,0,C57)</f>
        <v>0</v>
      </c>
      <c r="D58" s="139">
        <f t="shared" si="0"/>
        <v>0</v>
      </c>
      <c r="E58" s="139">
        <f t="shared" si="1"/>
        <v>0</v>
      </c>
      <c r="F58" s="139">
        <f t="shared" si="2"/>
        <v>0</v>
      </c>
      <c r="G58" s="154"/>
    </row>
    <row r="59" spans="2:7" ht="12.75">
      <c r="B59" s="138">
        <v>44</v>
      </c>
      <c r="C59" s="131">
        <f>+IF(SUM($C$16:C58)=$C$8,0,C58)</f>
        <v>0</v>
      </c>
      <c r="D59" s="139">
        <f t="shared" si="0"/>
        <v>0</v>
      </c>
      <c r="E59" s="139">
        <f t="shared" si="1"/>
        <v>0</v>
      </c>
      <c r="F59" s="139">
        <f t="shared" si="2"/>
        <v>0</v>
      </c>
      <c r="G59" s="154"/>
    </row>
    <row r="60" spans="2:7" ht="12.75">
      <c r="B60" s="138">
        <v>45</v>
      </c>
      <c r="C60" s="185">
        <f>+IF(SUM($C$16:C59)=$C$8,0,C59)</f>
        <v>0</v>
      </c>
      <c r="D60" s="139">
        <f t="shared" si="0"/>
        <v>0</v>
      </c>
      <c r="E60" s="139">
        <f t="shared" si="1"/>
        <v>0</v>
      </c>
      <c r="F60" s="139">
        <f t="shared" si="2"/>
        <v>0</v>
      </c>
      <c r="G60" s="154"/>
    </row>
    <row r="61" spans="2:9" ht="12.75">
      <c r="B61" s="138">
        <v>46</v>
      </c>
      <c r="C61" s="131">
        <f>+IF(SUM($C$16:C60)=$C$8,0,C60)</f>
        <v>0</v>
      </c>
      <c r="D61" s="139">
        <f t="shared" si="0"/>
        <v>0</v>
      </c>
      <c r="E61" s="139">
        <f t="shared" si="1"/>
        <v>0</v>
      </c>
      <c r="F61" s="139">
        <f t="shared" si="2"/>
        <v>0</v>
      </c>
      <c r="G61" s="154"/>
      <c r="I61" s="5" t="s">
        <v>0</v>
      </c>
    </row>
    <row r="62" spans="2:7" ht="12.75">
      <c r="B62" s="138">
        <v>47</v>
      </c>
      <c r="C62" s="131">
        <f>+IF(SUM($C$16:C61)=$C$8,0,C61)</f>
        <v>0</v>
      </c>
      <c r="D62" s="139">
        <f>+$I12*F61</f>
        <v>0</v>
      </c>
      <c r="E62" s="139">
        <f t="shared" si="1"/>
        <v>0</v>
      </c>
      <c r="F62" s="139">
        <f t="shared" si="2"/>
        <v>0</v>
      </c>
      <c r="G62" s="154"/>
    </row>
    <row r="63" spans="2:7" ht="12.75">
      <c r="B63" s="138">
        <v>48</v>
      </c>
      <c r="C63" s="131">
        <f>+IF(SUM($C$16:C62)=$C$8,0,C62)</f>
        <v>0</v>
      </c>
      <c r="D63" s="139">
        <f>+$I$12*F62</f>
        <v>0</v>
      </c>
      <c r="E63" s="139">
        <f t="shared" si="1"/>
        <v>0</v>
      </c>
      <c r="F63" s="139">
        <f t="shared" si="2"/>
        <v>0</v>
      </c>
      <c r="G63" s="154"/>
    </row>
    <row r="64" spans="2:7" ht="12.75">
      <c r="B64" s="138">
        <v>49</v>
      </c>
      <c r="C64" s="131">
        <f>+IF(SUM($C$16:C63)=$C$8,0,C63)</f>
        <v>0</v>
      </c>
      <c r="D64" s="139">
        <f>+$I12*F63</f>
        <v>0</v>
      </c>
      <c r="E64" s="139">
        <f t="shared" si="1"/>
        <v>0</v>
      </c>
      <c r="F64" s="139">
        <f t="shared" si="2"/>
        <v>0</v>
      </c>
      <c r="G64" s="154"/>
    </row>
    <row r="65" spans="2:7" ht="12.75">
      <c r="B65" s="138">
        <v>50</v>
      </c>
      <c r="C65" s="131">
        <f>+IF(SUM($C$16:C64)=$C$8,0,C64)</f>
        <v>0</v>
      </c>
      <c r="D65" s="139">
        <f>+$I12*F64</f>
        <v>0</v>
      </c>
      <c r="E65" s="139">
        <f t="shared" si="1"/>
        <v>0</v>
      </c>
      <c r="F65" s="139">
        <f t="shared" si="2"/>
        <v>0</v>
      </c>
      <c r="G65" s="154"/>
    </row>
    <row r="66" spans="2:7" ht="12.75">
      <c r="B66" s="138">
        <v>51</v>
      </c>
      <c r="C66" s="131">
        <f>+IF(SUM($C$16:C65)=$C$8,0,C65)</f>
        <v>0</v>
      </c>
      <c r="D66" s="139">
        <f aca="true" t="shared" si="3" ref="D66:D75">+$I$12*F65</f>
        <v>0</v>
      </c>
      <c r="E66" s="139">
        <f t="shared" si="1"/>
        <v>0</v>
      </c>
      <c r="F66" s="139">
        <f t="shared" si="2"/>
        <v>0</v>
      </c>
      <c r="G66" s="154"/>
    </row>
    <row r="67" spans="2:7" ht="12.75">
      <c r="B67" s="138">
        <v>52</v>
      </c>
      <c r="C67" s="131">
        <f>+IF(SUM($C$16:C66)=$C$8,0,C66)</f>
        <v>0</v>
      </c>
      <c r="D67" s="139">
        <f t="shared" si="3"/>
        <v>0</v>
      </c>
      <c r="E67" s="139">
        <f t="shared" si="1"/>
        <v>0</v>
      </c>
      <c r="F67" s="139">
        <f t="shared" si="2"/>
        <v>0</v>
      </c>
      <c r="G67" s="154"/>
    </row>
    <row r="68" spans="2:7" ht="12.75">
      <c r="B68" s="138">
        <v>53</v>
      </c>
      <c r="C68" s="131">
        <f>+IF(SUM($C$16:C67)=$C$8,0,C67)</f>
        <v>0</v>
      </c>
      <c r="D68" s="139">
        <f t="shared" si="3"/>
        <v>0</v>
      </c>
      <c r="E68" s="139">
        <f t="shared" si="1"/>
        <v>0</v>
      </c>
      <c r="F68" s="139">
        <f t="shared" si="2"/>
        <v>0</v>
      </c>
      <c r="G68" s="154"/>
    </row>
    <row r="69" spans="2:7" ht="12.75">
      <c r="B69" s="138">
        <v>54</v>
      </c>
      <c r="C69" s="131">
        <f>+IF(SUM($C$16:C68)=$C$8,0,C68)</f>
        <v>0</v>
      </c>
      <c r="D69" s="139">
        <f t="shared" si="3"/>
        <v>0</v>
      </c>
      <c r="E69" s="139">
        <f t="shared" si="1"/>
        <v>0</v>
      </c>
      <c r="F69" s="139">
        <f t="shared" si="2"/>
        <v>0</v>
      </c>
      <c r="G69" s="154"/>
    </row>
    <row r="70" spans="2:7" ht="12.75">
      <c r="B70" s="138">
        <v>55</v>
      </c>
      <c r="C70" s="131">
        <f>+IF(SUM($C$16:C69)=$C$8,0,C69)</f>
        <v>0</v>
      </c>
      <c r="D70" s="139">
        <f t="shared" si="3"/>
        <v>0</v>
      </c>
      <c r="E70" s="139">
        <f t="shared" si="1"/>
        <v>0</v>
      </c>
      <c r="F70" s="139">
        <f t="shared" si="2"/>
        <v>0</v>
      </c>
      <c r="G70" s="154"/>
    </row>
    <row r="71" spans="2:9" ht="12.75">
      <c r="B71" s="138">
        <v>56</v>
      </c>
      <c r="C71" s="131">
        <f>+IF(SUM($C$16:C70)=$C$8,0,C70)</f>
        <v>0</v>
      </c>
      <c r="D71" s="139">
        <f t="shared" si="3"/>
        <v>0</v>
      </c>
      <c r="E71" s="139">
        <f t="shared" si="1"/>
        <v>0</v>
      </c>
      <c r="F71" s="139">
        <f t="shared" si="2"/>
        <v>0</v>
      </c>
      <c r="G71" s="154"/>
      <c r="I71" s="5" t="s">
        <v>0</v>
      </c>
    </row>
    <row r="72" spans="2:7" ht="12.75">
      <c r="B72" s="138">
        <v>57</v>
      </c>
      <c r="C72" s="131">
        <f>+IF(SUM($C$16:C71)=$C$8,0,C71)</f>
        <v>0</v>
      </c>
      <c r="D72" s="139">
        <f t="shared" si="3"/>
        <v>0</v>
      </c>
      <c r="E72" s="139">
        <f t="shared" si="1"/>
        <v>0</v>
      </c>
      <c r="F72" s="139">
        <f t="shared" si="2"/>
        <v>0</v>
      </c>
      <c r="G72" s="154"/>
    </row>
    <row r="73" spans="2:7" ht="12.75">
      <c r="B73" s="138">
        <v>58</v>
      </c>
      <c r="C73" s="131">
        <f>+IF(SUM($C$16:C72)=$C$8,0,C72)</f>
        <v>0</v>
      </c>
      <c r="D73" s="139">
        <f t="shared" si="3"/>
        <v>0</v>
      </c>
      <c r="E73" s="139">
        <f t="shared" si="1"/>
        <v>0</v>
      </c>
      <c r="F73" s="139">
        <f t="shared" si="2"/>
        <v>0</v>
      </c>
      <c r="G73" s="154"/>
    </row>
    <row r="74" spans="2:7" ht="12.75">
      <c r="B74" s="138">
        <v>59</v>
      </c>
      <c r="C74" s="131">
        <f>+IF(SUM($C$16:C73)=$C$8,0,C73)</f>
        <v>0</v>
      </c>
      <c r="D74" s="139">
        <f t="shared" si="3"/>
        <v>0</v>
      </c>
      <c r="E74" s="139">
        <f t="shared" si="1"/>
        <v>0</v>
      </c>
      <c r="F74" s="139">
        <f t="shared" si="2"/>
        <v>0</v>
      </c>
      <c r="G74" s="154"/>
    </row>
    <row r="75" spans="2:7" ht="12.75">
      <c r="B75" s="138">
        <v>60</v>
      </c>
      <c r="C75" s="131">
        <f>+IF(SUM($C$16:C74)=$C$8,0,C74)</f>
        <v>0</v>
      </c>
      <c r="D75" s="139">
        <f t="shared" si="3"/>
        <v>0</v>
      </c>
      <c r="E75" s="139">
        <f t="shared" si="1"/>
        <v>0</v>
      </c>
      <c r="F75" s="139">
        <f t="shared" si="2"/>
        <v>0</v>
      </c>
      <c r="G75" s="154"/>
    </row>
    <row r="76" spans="2:7" ht="12.75">
      <c r="B76" s="134" t="s">
        <v>2</v>
      </c>
      <c r="C76" s="140">
        <f>SUM(C14:C75)</f>
        <v>1.00001</v>
      </c>
      <c r="D76" s="125">
        <f>SUM(D14:D75)</f>
        <v>0.0008333416666666668</v>
      </c>
      <c r="E76" s="125">
        <f>SUM(E14:E75)</f>
        <v>1.0008433416666667</v>
      </c>
      <c r="F76" s="125" t="s">
        <v>0</v>
      </c>
      <c r="G76" s="154"/>
    </row>
    <row r="77" ht="12.75">
      <c r="G77" s="154"/>
    </row>
    <row r="78" spans="4:7" ht="12.75">
      <c r="D78" t="s">
        <v>0</v>
      </c>
      <c r="E78" t="s">
        <v>0</v>
      </c>
      <c r="G78" s="154"/>
    </row>
    <row r="79" spans="4:7" ht="12.75">
      <c r="D79" s="5" t="s">
        <v>0</v>
      </c>
      <c r="E79" s="5" t="s">
        <v>0</v>
      </c>
      <c r="G79" s="154"/>
    </row>
    <row r="80" ht="12.75">
      <c r="G80" s="154"/>
    </row>
    <row r="81" ht="12.75">
      <c r="G81" s="154"/>
    </row>
    <row r="82" ht="12.75">
      <c r="G82" s="155"/>
    </row>
    <row r="83" ht="12.75">
      <c r="G83" s="61"/>
    </row>
    <row r="84" ht="12.75">
      <c r="G84" s="61"/>
    </row>
  </sheetData>
  <sheetProtection/>
  <mergeCells count="2">
    <mergeCell ref="B5:F5"/>
    <mergeCell ref="H5:J5"/>
  </mergeCells>
  <printOptions/>
  <pageMargins left="0.75" right="0.75" top="1" bottom="1" header="0" footer="0"/>
  <pageSetup horizontalDpi="300" verticalDpi="3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"/>
  <dimension ref="B1:Q25"/>
  <sheetViews>
    <sheetView showGridLines="0" zoomScale="75" zoomScaleNormal="75" zoomScalePageLayoutView="0" workbookViewId="0" topLeftCell="A1">
      <selection activeCell="C26" sqref="C26"/>
    </sheetView>
  </sheetViews>
  <sheetFormatPr defaultColWidth="11.421875" defaultRowHeight="12.75"/>
  <cols>
    <col min="1" max="1" width="5.7109375" style="0" customWidth="1"/>
    <col min="2" max="2" width="3.421875" style="0" customWidth="1"/>
    <col min="3" max="3" width="69.7109375" style="0" customWidth="1"/>
    <col min="4" max="6" width="15.7109375" style="0" customWidth="1"/>
    <col min="7" max="7" width="17.7109375" style="0" customWidth="1"/>
    <col min="8" max="8" width="15.7109375" style="0" customWidth="1"/>
    <col min="9" max="9" width="18.421875" style="0" customWidth="1"/>
    <col min="10" max="10" width="2.00390625" style="0" customWidth="1"/>
    <col min="11" max="11" width="7.28125" style="0" customWidth="1"/>
  </cols>
  <sheetData>
    <row r="1" spans="2:10" ht="13.5" customHeight="1">
      <c r="B1" s="316"/>
      <c r="C1" s="313"/>
      <c r="D1" s="312"/>
      <c r="E1" s="312"/>
      <c r="F1" s="310"/>
      <c r="G1" s="312"/>
      <c r="H1" s="310"/>
      <c r="I1" s="312"/>
      <c r="J1" s="172"/>
    </row>
    <row r="2" spans="2:10" ht="13.5" customHeight="1">
      <c r="B2" s="326" t="s">
        <v>274</v>
      </c>
      <c r="C2" s="600" t="s">
        <v>275</v>
      </c>
      <c r="D2" s="600"/>
      <c r="E2" s="600"/>
      <c r="F2" s="600"/>
      <c r="G2" s="600"/>
      <c r="H2" s="600"/>
      <c r="I2" s="600"/>
      <c r="J2" s="172"/>
    </row>
    <row r="3" spans="2:10" ht="13.5" customHeight="1">
      <c r="B3" s="316"/>
      <c r="C3" s="313" t="s">
        <v>0</v>
      </c>
      <c r="D3" s="312"/>
      <c r="E3" s="312"/>
      <c r="F3" s="312"/>
      <c r="G3" s="312"/>
      <c r="H3" s="312"/>
      <c r="I3" s="312"/>
      <c r="J3" s="172"/>
    </row>
    <row r="4" spans="2:10" ht="13.5" customHeight="1">
      <c r="B4" s="316">
        <v>1</v>
      </c>
      <c r="C4" s="311" t="s">
        <v>157</v>
      </c>
      <c r="D4" s="432" t="s">
        <v>158</v>
      </c>
      <c r="E4" s="433">
        <f>+'FLUJO DE EFECTIVO'!B54</f>
        <v>-119923500</v>
      </c>
      <c r="F4" s="312"/>
      <c r="G4" s="312"/>
      <c r="H4" s="312"/>
      <c r="I4" s="312"/>
      <c r="J4" s="172"/>
    </row>
    <row r="5" spans="2:10" ht="24.75" customHeight="1">
      <c r="B5" s="316" t="s">
        <v>0</v>
      </c>
      <c r="C5" s="547" t="s">
        <v>276</v>
      </c>
      <c r="D5" s="430" t="s">
        <v>176</v>
      </c>
      <c r="E5" s="431">
        <f>+'FLUJO DE EFECTIVO'!$D$50</f>
        <v>16993479.471156657</v>
      </c>
      <c r="F5" s="430" t="s">
        <v>179</v>
      </c>
      <c r="G5" s="431">
        <f>+'FLUJO DE EFECTIVO'!$G$50</f>
        <v>103245561.4669123</v>
      </c>
      <c r="H5" s="312"/>
      <c r="I5" s="312"/>
      <c r="J5" s="172"/>
    </row>
    <row r="6" spans="2:10" ht="25.5" customHeight="1">
      <c r="B6" s="316"/>
      <c r="C6" s="547" t="s">
        <v>277</v>
      </c>
      <c r="D6" s="430" t="s">
        <v>177</v>
      </c>
      <c r="E6" s="431">
        <f>+'FLUJO DE EFECTIVO'!$E$50</f>
        <v>45935508.075871676</v>
      </c>
      <c r="F6" s="430" t="s">
        <v>180</v>
      </c>
      <c r="G6" s="431">
        <f>+'FLUJO DE EFECTIVO'!$H$50</f>
        <v>143436551.98775178</v>
      </c>
      <c r="H6" s="314" t="s">
        <v>0</v>
      </c>
      <c r="I6" s="312" t="s">
        <v>278</v>
      </c>
      <c r="J6" s="172"/>
    </row>
    <row r="7" spans="2:10" ht="13.5" customHeight="1">
      <c r="B7" s="316"/>
      <c r="C7" s="547" t="s">
        <v>279</v>
      </c>
      <c r="D7" s="430" t="s">
        <v>178</v>
      </c>
      <c r="E7" s="431">
        <f>+'FLUJO DE EFECTIVO'!$F$50</f>
        <v>85689641.90237772</v>
      </c>
      <c r="F7" s="312"/>
      <c r="G7" s="317"/>
      <c r="H7" s="314" t="s">
        <v>0</v>
      </c>
      <c r="I7" s="312" t="s">
        <v>280</v>
      </c>
      <c r="J7" s="172"/>
    </row>
    <row r="8" spans="2:10" ht="13.5" customHeight="1">
      <c r="B8" s="316"/>
      <c r="C8" s="313" t="s">
        <v>281</v>
      </c>
      <c r="D8" s="598" t="s">
        <v>295</v>
      </c>
      <c r="E8" s="599"/>
      <c r="F8" s="548">
        <f>+F14</f>
        <v>0.2</v>
      </c>
      <c r="G8" s="434"/>
      <c r="H8" s="424"/>
      <c r="I8" s="425">
        <f>IRR('FLUJO DE EFECTIVO'!B54:H54,F8)</f>
        <v>0.40151453671679854</v>
      </c>
      <c r="J8" s="423"/>
    </row>
    <row r="9" spans="2:10" ht="13.5" customHeight="1">
      <c r="B9" s="316"/>
      <c r="C9" s="315" t="s">
        <v>0</v>
      </c>
      <c r="D9" s="312"/>
      <c r="E9" s="312"/>
      <c r="F9" s="312"/>
      <c r="G9" s="317"/>
      <c r="H9" s="312"/>
      <c r="I9" s="421"/>
      <c r="J9" s="172"/>
    </row>
    <row r="10" spans="2:10" ht="13.5" customHeight="1">
      <c r="B10" s="316">
        <v>2</v>
      </c>
      <c r="C10" s="311" t="s">
        <v>159</v>
      </c>
      <c r="D10" s="432" t="s">
        <v>158</v>
      </c>
      <c r="E10" s="433">
        <f>+E4</f>
        <v>-119923500</v>
      </c>
      <c r="F10" s="312"/>
      <c r="G10" s="317"/>
      <c r="H10" s="312"/>
      <c r="I10" s="312" t="s">
        <v>0</v>
      </c>
      <c r="J10" s="172"/>
    </row>
    <row r="11" spans="2:13" ht="26.25" customHeight="1">
      <c r="B11" s="316"/>
      <c r="C11" s="547" t="s">
        <v>282</v>
      </c>
      <c r="D11" s="430" t="s">
        <v>176</v>
      </c>
      <c r="E11" s="431">
        <f>+'FLUJO DE EFECTIVO'!$D$50</f>
        <v>16993479.471156657</v>
      </c>
      <c r="F11" s="430" t="s">
        <v>179</v>
      </c>
      <c r="G11" s="431">
        <f>+'FLUJO DE EFECTIVO'!$G$50</f>
        <v>103245561.4669123</v>
      </c>
      <c r="H11" s="312"/>
      <c r="I11" s="561">
        <f>NPV(F14,'FLUJO DE EFECTIVO'!B54:H54)</f>
        <v>69300606.95367664</v>
      </c>
      <c r="J11" s="172"/>
      <c r="K11" s="426" t="s">
        <v>0</v>
      </c>
      <c r="M11" s="429"/>
    </row>
    <row r="12" spans="2:10" ht="24" customHeight="1">
      <c r="B12" s="316" t="s">
        <v>0</v>
      </c>
      <c r="C12" s="547" t="s">
        <v>283</v>
      </c>
      <c r="D12" s="430" t="s">
        <v>177</v>
      </c>
      <c r="E12" s="431">
        <f>+'FLUJO DE EFECTIVO'!$E$50</f>
        <v>45935508.075871676</v>
      </c>
      <c r="F12" s="430" t="s">
        <v>180</v>
      </c>
      <c r="G12" s="431">
        <f>+'FLUJO DE EFECTIVO'!$H$50</f>
        <v>143436551.98775178</v>
      </c>
      <c r="H12" s="314" t="s">
        <v>0</v>
      </c>
      <c r="I12" s="312" t="s">
        <v>284</v>
      </c>
      <c r="J12" s="172"/>
    </row>
    <row r="13" spans="2:10" ht="13.5" customHeight="1">
      <c r="B13" s="316"/>
      <c r="C13" s="547" t="s">
        <v>285</v>
      </c>
      <c r="D13" s="430" t="s">
        <v>178</v>
      </c>
      <c r="E13" s="431">
        <f>+'FLUJO DE EFECTIVO'!$F$50</f>
        <v>85689641.90237772</v>
      </c>
      <c r="F13" s="312"/>
      <c r="G13" s="317"/>
      <c r="H13" s="314" t="s">
        <v>0</v>
      </c>
      <c r="I13" s="312" t="s">
        <v>280</v>
      </c>
      <c r="J13" s="172"/>
    </row>
    <row r="14" spans="2:10" ht="13.5" customHeight="1">
      <c r="B14" s="316"/>
      <c r="C14" s="547" t="s">
        <v>286</v>
      </c>
      <c r="D14" s="598" t="s">
        <v>295</v>
      </c>
      <c r="E14" s="599"/>
      <c r="F14" s="543">
        <v>0.2</v>
      </c>
      <c r="G14" s="427"/>
      <c r="H14" s="428"/>
      <c r="I14" s="422">
        <f>+I11*(F14)+I11</f>
        <v>83160728.34441197</v>
      </c>
      <c r="J14" s="423"/>
    </row>
    <row r="15" spans="2:10" ht="13.5" customHeight="1">
      <c r="B15" s="316"/>
      <c r="C15" s="313" t="s">
        <v>0</v>
      </c>
      <c r="D15" s="312"/>
      <c r="E15" s="312"/>
      <c r="F15" s="312"/>
      <c r="G15" s="421"/>
      <c r="H15" s="312"/>
      <c r="I15" s="421"/>
      <c r="J15" s="172"/>
    </row>
    <row r="25" ht="12.75">
      <c r="Q25" t="s">
        <v>0</v>
      </c>
    </row>
  </sheetData>
  <sheetProtection/>
  <mergeCells count="3">
    <mergeCell ref="D14:E14"/>
    <mergeCell ref="C2:I2"/>
    <mergeCell ref="D8:E8"/>
  </mergeCells>
  <printOptions/>
  <pageMargins left="0.75" right="0.75" top="1" bottom="1" header="0" footer="0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"/>
  <dimension ref="B2:H49"/>
  <sheetViews>
    <sheetView showGridLines="0" zoomScale="75" zoomScaleNormal="75" zoomScalePageLayoutView="0" workbookViewId="0" topLeftCell="A14">
      <selection activeCell="E53" sqref="E53"/>
    </sheetView>
  </sheetViews>
  <sheetFormatPr defaultColWidth="11.421875" defaultRowHeight="12.75"/>
  <cols>
    <col min="1" max="1" width="4.8515625" style="0" customWidth="1"/>
    <col min="2" max="2" width="20.00390625" style="0" customWidth="1"/>
    <col min="3" max="3" width="13.421875" style="0" customWidth="1"/>
    <col min="4" max="4" width="15.8515625" style="0" customWidth="1"/>
    <col min="5" max="5" width="18.57421875" style="0" customWidth="1"/>
    <col min="6" max="15" width="15.8515625" style="0" bestFit="1" customWidth="1"/>
  </cols>
  <sheetData>
    <row r="2" spans="2:7" ht="12.75">
      <c r="B2" s="1" t="str">
        <f>+'PERIODO DE RECUPERACIÓN'!B2</f>
        <v>NOMBRE DE LA EMPRESA:</v>
      </c>
      <c r="D2" s="328" t="str">
        <f>+'PERIODO DE RECUPERACIÓN'!C2</f>
        <v>Gas Metano</v>
      </c>
      <c r="E2" s="327"/>
      <c r="F2" s="327"/>
      <c r="G2" s="327"/>
    </row>
    <row r="4" spans="2:8" ht="12.75">
      <c r="B4" s="25"/>
      <c r="C4" s="89"/>
      <c r="D4" s="89" t="s">
        <v>170</v>
      </c>
      <c r="E4" s="89" t="s">
        <v>171</v>
      </c>
      <c r="F4" s="89" t="s">
        <v>172</v>
      </c>
      <c r="G4" s="89" t="s">
        <v>173</v>
      </c>
      <c r="H4" s="89" t="s">
        <v>174</v>
      </c>
    </row>
    <row r="5" spans="2:8" ht="12.75">
      <c r="B5" s="86" t="s">
        <v>95</v>
      </c>
      <c r="C5" s="55">
        <f>+D5</f>
        <v>84593001.33333334</v>
      </c>
      <c r="D5" s="56">
        <f>+'GASTOS DE ADMÓN'!C19+'GASTOS DE VENTAS'!C19</f>
        <v>84593001.33333334</v>
      </c>
      <c r="E5" s="56">
        <f>+'GASTOS DE ADMÓN'!$D$19+'GASTOS DE VENTAS'!$D$19</f>
        <v>88113779.73333335</v>
      </c>
      <c r="F5" s="56">
        <f>+'GASTOS DE ADMÓN'!$E$19+'GASTOS DE VENTAS'!$E$19</f>
        <v>92420360.51733333</v>
      </c>
      <c r="G5" s="56">
        <f>+'GASTOS DE ADMÓN'!$F$19+'GASTOS DE VENTAS'!$F$19</f>
        <v>95962354.81503999</v>
      </c>
      <c r="H5" s="56">
        <f>+'GASTOS DE ADMÓN'!$G$19+'GASTOS DE VENTAS'!$G$19</f>
        <v>101167644.9039424</v>
      </c>
    </row>
    <row r="6" spans="2:8" ht="12.75">
      <c r="B6" s="86" t="s">
        <v>96</v>
      </c>
      <c r="C6" s="57">
        <v>0</v>
      </c>
      <c r="D6" s="58">
        <f>+'COMPRA DE MAT. PRIMAS'!$J$18+'MANO DE OBRA DIRECTA'!$F$14+'DATOS GENERALES'!$C$85</f>
        <v>66230952.528</v>
      </c>
      <c r="E6" s="58">
        <f>+'COMPRA DE MAT. PRIMAS'!$J$32+'MANO DE OBRA DIRECTA'!$F$23+'DATOS GENERALES'!$C$85</f>
        <v>69894521.2698</v>
      </c>
      <c r="F6" s="58">
        <f>+'COMPRA DE MAT. PRIMAS'!$J$46+'MANO DE OBRA DIRECTA'!$F$32+'DATOS GENERALES'!$C$85</f>
        <v>74084714.820528</v>
      </c>
      <c r="G6" s="58">
        <f>+'COMPRA DE MAT. PRIMAS'!$J$60+'MANO DE OBRA DIRECTA'!$F$41+'DATOS GENERALES'!$C$85</f>
        <v>113028950.87191969</v>
      </c>
      <c r="H6" s="58">
        <f>+'COMPRA DE MAT. PRIMAS'!$J$74+'MANO DE OBRA DIRECTA'!$F$50+'DATOS GENERALES'!$C$85</f>
        <v>119786343.84601486</v>
      </c>
    </row>
    <row r="7" spans="2:8" ht="12.75">
      <c r="B7" s="87" t="s">
        <v>97</v>
      </c>
      <c r="C7" s="53">
        <f>+C5</f>
        <v>84593001.33333334</v>
      </c>
      <c r="D7" s="53">
        <f>SUM(D5:D6)</f>
        <v>150823953.86133334</v>
      </c>
      <c r="E7" s="53">
        <f>SUM(E5:E6)</f>
        <v>158008301.00313336</v>
      </c>
      <c r="F7" s="53">
        <f>SUM(F5:F6)</f>
        <v>166505075.33786133</v>
      </c>
      <c r="G7" s="53">
        <f>SUM(G5:G6)</f>
        <v>208991305.68695968</v>
      </c>
      <c r="H7" s="53">
        <f>SUM(H5:H6)</f>
        <v>220953988.74995726</v>
      </c>
    </row>
    <row r="8" spans="2:8" ht="12.75">
      <c r="B8" s="88" t="s">
        <v>98</v>
      </c>
      <c r="C8" s="54">
        <v>0</v>
      </c>
      <c r="D8" s="54">
        <f>+VENTAS!D11</f>
        <v>159840000</v>
      </c>
      <c r="E8" s="54">
        <f>+VENTAS!E11</f>
        <v>181718100</v>
      </c>
      <c r="F8" s="54">
        <f>+VENTAS!F11</f>
        <v>205875918.00000003</v>
      </c>
      <c r="G8" s="54">
        <f>+VENTAS!G11</f>
        <v>232525411.83000004</v>
      </c>
      <c r="H8" s="54">
        <f>+VENTAS!H11</f>
        <v>261897042.79800004</v>
      </c>
    </row>
    <row r="11" ht="12.75">
      <c r="B11" s="3" t="s">
        <v>0</v>
      </c>
    </row>
    <row r="12" ht="12.75">
      <c r="B12" s="3" t="s">
        <v>99</v>
      </c>
    </row>
    <row r="13" spans="2:6" ht="12.75">
      <c r="B13" s="167" t="s">
        <v>100</v>
      </c>
      <c r="C13" s="168"/>
      <c r="D13" s="168"/>
      <c r="E13" s="168"/>
      <c r="F13" s="169"/>
    </row>
    <row r="14" spans="2:6" ht="12.75">
      <c r="B14" s="170" t="s">
        <v>101</v>
      </c>
      <c r="C14" s="171"/>
      <c r="D14" s="171"/>
      <c r="E14" s="171"/>
      <c r="F14" s="172"/>
    </row>
    <row r="15" spans="2:6" ht="12.75">
      <c r="B15" s="173" t="s">
        <v>102</v>
      </c>
      <c r="C15" s="470">
        <f>+VENTAS!I22</f>
        <v>600</v>
      </c>
      <c r="D15" s="470">
        <f>-D6/PRODUCCIÓN!F11</f>
        <v>-248.61468666666664</v>
      </c>
      <c r="E15" s="471">
        <f>+C15+D15</f>
        <v>351.38531333333333</v>
      </c>
      <c r="F15" s="174" t="s">
        <v>0</v>
      </c>
    </row>
    <row r="16" spans="2:6" ht="12.75">
      <c r="B16" s="173"/>
      <c r="C16" s="470">
        <f>+VENTAS!I24</f>
        <v>642</v>
      </c>
      <c r="D16" s="470">
        <f>-E6/PRODUCCIÓN!F17</f>
        <v>-246.93347913725492</v>
      </c>
      <c r="E16" s="471">
        <f>+C16+D16</f>
        <v>395.06652086274505</v>
      </c>
      <c r="F16" s="174" t="s">
        <v>0</v>
      </c>
    </row>
    <row r="17" spans="2:6" ht="12.75">
      <c r="B17" s="173"/>
      <c r="C17" s="470">
        <f>+VENTAS!I26</f>
        <v>686.94</v>
      </c>
      <c r="D17" s="470">
        <f>-F6/PRODUCCIÓN!F23</f>
        <v>-247.1962456474074</v>
      </c>
      <c r="E17" s="471">
        <f>+C17+D17</f>
        <v>439.74375435259265</v>
      </c>
      <c r="F17" s="174" t="s">
        <v>0</v>
      </c>
    </row>
    <row r="18" spans="2:6" ht="12.75">
      <c r="B18" s="173"/>
      <c r="C18" s="470">
        <f>+VENTAS!I28</f>
        <v>735.0258000000001</v>
      </c>
      <c r="D18" s="470">
        <f>-G6/PRODUCCIÓN!F29</f>
        <v>-357.2908198891092</v>
      </c>
      <c r="E18" s="471">
        <f>+C18+D18</f>
        <v>377.73498011089094</v>
      </c>
      <c r="F18" s="174" t="s">
        <v>0</v>
      </c>
    </row>
    <row r="19" spans="2:6" ht="12.75">
      <c r="B19" s="173"/>
      <c r="C19" s="470">
        <f>+VENTAS!I30</f>
        <v>786.4776060000002</v>
      </c>
      <c r="D19" s="470">
        <f>-H6/PRODUCCIÓN!F35</f>
        <v>-359.7187502883329</v>
      </c>
      <c r="E19" s="471">
        <f>+C19+D19</f>
        <v>426.75885571166725</v>
      </c>
      <c r="F19" s="174" t="s">
        <v>0</v>
      </c>
    </row>
    <row r="20" spans="2:6" ht="12.75">
      <c r="B20" s="472" t="s">
        <v>103</v>
      </c>
      <c r="C20" s="473"/>
      <c r="D20" s="473"/>
      <c r="E20" s="176"/>
      <c r="F20" s="174"/>
    </row>
    <row r="21" spans="2:6" ht="12.75">
      <c r="B21" s="170" t="s">
        <v>105</v>
      </c>
      <c r="C21" s="176"/>
      <c r="D21" s="176"/>
      <c r="E21" s="176"/>
      <c r="F21" s="174"/>
    </row>
    <row r="22" spans="2:6" ht="12.75">
      <c r="B22" s="173" t="s">
        <v>104</v>
      </c>
      <c r="C22" s="165">
        <f>+D5</f>
        <v>84593001.33333334</v>
      </c>
      <c r="D22" s="165">
        <f>+E15</f>
        <v>351.38531333333333</v>
      </c>
      <c r="E22" s="353">
        <f>+C22/D22</f>
        <v>240741.42578943304</v>
      </c>
      <c r="F22" s="174" t="s">
        <v>301</v>
      </c>
    </row>
    <row r="23" spans="2:6" ht="12.75">
      <c r="B23" s="173"/>
      <c r="C23" s="165">
        <f>+E5</f>
        <v>88113779.73333335</v>
      </c>
      <c r="D23" s="165">
        <f>+E16</f>
        <v>395.06652086274505</v>
      </c>
      <c r="E23" s="353">
        <f>+C23/D23</f>
        <v>223035.29932354367</v>
      </c>
      <c r="F23" s="174" t="s">
        <v>302</v>
      </c>
    </row>
    <row r="24" spans="2:6" ht="12.75">
      <c r="B24" s="173"/>
      <c r="C24" s="165">
        <f>+F5</f>
        <v>92420360.51733333</v>
      </c>
      <c r="D24" s="165">
        <f>+E17</f>
        <v>439.74375435259265</v>
      </c>
      <c r="E24" s="353">
        <f>+C24/D24</f>
        <v>210168.67119215388</v>
      </c>
      <c r="F24" s="174" t="s">
        <v>303</v>
      </c>
    </row>
    <row r="25" spans="2:6" ht="12.75">
      <c r="B25" s="173"/>
      <c r="C25" s="165">
        <f>+G5</f>
        <v>95962354.81503999</v>
      </c>
      <c r="D25" s="165">
        <f>+E18</f>
        <v>377.73498011089094</v>
      </c>
      <c r="E25" s="353">
        <f>+C25/D25</f>
        <v>254046.77847645592</v>
      </c>
      <c r="F25" s="174" t="s">
        <v>304</v>
      </c>
    </row>
    <row r="26" spans="2:6" ht="12.75">
      <c r="B26" s="173"/>
      <c r="C26" s="165">
        <f>+H5</f>
        <v>101167644.9039424</v>
      </c>
      <c r="D26" s="165">
        <f>+E19</f>
        <v>426.75885571166725</v>
      </c>
      <c r="E26" s="353">
        <f>+C26/D26</f>
        <v>237060.44654945532</v>
      </c>
      <c r="F26" s="174" t="s">
        <v>305</v>
      </c>
    </row>
    <row r="27" spans="2:6" ht="12.75">
      <c r="B27" s="170"/>
      <c r="C27" s="176"/>
      <c r="D27" s="176"/>
      <c r="E27" s="176"/>
      <c r="F27" s="174"/>
    </row>
    <row r="28" spans="2:6" ht="12.75">
      <c r="B28" s="175" t="s">
        <v>106</v>
      </c>
      <c r="C28" s="176"/>
      <c r="D28" s="176"/>
      <c r="E28" s="176"/>
      <c r="F28" s="174"/>
    </row>
    <row r="29" spans="2:6" ht="12.75">
      <c r="B29" s="170" t="s">
        <v>107</v>
      </c>
      <c r="C29" s="176"/>
      <c r="D29" s="176"/>
      <c r="E29" s="176"/>
      <c r="F29" s="174"/>
    </row>
    <row r="30" spans="2:6" ht="12.75">
      <c r="B30" s="173" t="s">
        <v>102</v>
      </c>
      <c r="C30" s="470">
        <f>+D8</f>
        <v>159840000</v>
      </c>
      <c r="D30" s="470">
        <f>+D6</f>
        <v>66230952.528</v>
      </c>
      <c r="E30" s="474">
        <f>+(C30+D30)/C30</f>
        <v>1.414357811111111</v>
      </c>
      <c r="F30" s="172"/>
    </row>
    <row r="31" spans="2:6" ht="12.75">
      <c r="B31" s="173"/>
      <c r="C31" s="470">
        <f>+E8</f>
        <v>181718100</v>
      </c>
      <c r="D31" s="470">
        <f>+E6</f>
        <v>69894521.2698</v>
      </c>
      <c r="E31" s="474">
        <f>+(C31+D31)/C31</f>
        <v>1.384631587441207</v>
      </c>
      <c r="F31" s="172"/>
    </row>
    <row r="32" spans="2:6" ht="12.75">
      <c r="B32" s="173"/>
      <c r="C32" s="470">
        <f>+F8</f>
        <v>205875918.00000003</v>
      </c>
      <c r="D32" s="470">
        <f>+F6</f>
        <v>74084714.820528</v>
      </c>
      <c r="E32" s="474">
        <f>+(C32+D32)/C32</f>
        <v>1.3598512907203066</v>
      </c>
      <c r="F32" s="172"/>
    </row>
    <row r="33" spans="2:6" ht="12.75">
      <c r="B33" s="173"/>
      <c r="C33" s="470">
        <f>+G8</f>
        <v>232525411.83000004</v>
      </c>
      <c r="D33" s="470">
        <f>+G6</f>
        <v>113028950.87191969</v>
      </c>
      <c r="E33" s="474">
        <f>+(C33+D33)/C33</f>
        <v>1.4860928961801192</v>
      </c>
      <c r="F33" s="172"/>
    </row>
    <row r="34" spans="2:6" ht="12.75">
      <c r="B34" s="173"/>
      <c r="C34" s="470">
        <f>+H8</f>
        <v>261897042.79800004</v>
      </c>
      <c r="D34" s="470">
        <f>+H6</f>
        <v>119786343.84601486</v>
      </c>
      <c r="E34" s="474">
        <f>+(C34+D34)/C34</f>
        <v>1.4573795204644808</v>
      </c>
      <c r="F34" s="172"/>
    </row>
    <row r="35" spans="2:6" ht="12.75">
      <c r="B35" s="472" t="s">
        <v>110</v>
      </c>
      <c r="C35" s="473"/>
      <c r="D35" s="473"/>
      <c r="E35" s="176"/>
      <c r="F35" s="174"/>
    </row>
    <row r="36" spans="2:6" ht="12.75">
      <c r="B36" s="170" t="s">
        <v>108</v>
      </c>
      <c r="C36" s="176"/>
      <c r="D36" s="176"/>
      <c r="E36" s="176"/>
      <c r="F36" s="174"/>
    </row>
    <row r="37" spans="2:6" ht="12.75">
      <c r="B37" s="173" t="s">
        <v>109</v>
      </c>
      <c r="C37" s="165">
        <f>+C5</f>
        <v>84593001.33333334</v>
      </c>
      <c r="D37" s="166">
        <f>+E30</f>
        <v>1.414357811111111</v>
      </c>
      <c r="E37" s="352">
        <f>+C37/D37</f>
        <v>59810184.28913514</v>
      </c>
      <c r="F37" s="174" t="s">
        <v>301</v>
      </c>
    </row>
    <row r="38" spans="2:6" ht="12.75">
      <c r="B38" s="173"/>
      <c r="C38" s="165">
        <f>+D5</f>
        <v>84593001.33333334</v>
      </c>
      <c r="D38" s="166">
        <f>+E31</f>
        <v>1.384631587441207</v>
      </c>
      <c r="E38" s="352">
        <f>+C38/D38</f>
        <v>61094230.48022531</v>
      </c>
      <c r="F38" s="174" t="s">
        <v>302</v>
      </c>
    </row>
    <row r="39" spans="2:6" ht="12.75">
      <c r="B39" s="173"/>
      <c r="C39" s="165">
        <f>+E5</f>
        <v>88113779.73333335</v>
      </c>
      <c r="D39" s="166">
        <f>+E32</f>
        <v>1.3598512907203066</v>
      </c>
      <c r="E39" s="352">
        <f>+C39/D39</f>
        <v>64796629.11277593</v>
      </c>
      <c r="F39" s="174" t="s">
        <v>303</v>
      </c>
    </row>
    <row r="40" spans="2:6" ht="12.75">
      <c r="B40" s="173"/>
      <c r="C40" s="165">
        <f>+F5</f>
        <v>92420360.51733333</v>
      </c>
      <c r="D40" s="166">
        <f>+E33</f>
        <v>1.4860928961801192</v>
      </c>
      <c r="E40" s="352">
        <f>+C40/D40</f>
        <v>62190163.72051326</v>
      </c>
      <c r="F40" s="174" t="s">
        <v>304</v>
      </c>
    </row>
    <row r="41" spans="2:6" ht="12.75">
      <c r="B41" s="173"/>
      <c r="C41" s="165">
        <f>+G5</f>
        <v>95962354.81503999</v>
      </c>
      <c r="D41" s="166">
        <f>+E34</f>
        <v>1.4573795204644808</v>
      </c>
      <c r="E41" s="352">
        <f>+C41/D41</f>
        <v>65845823.594705015</v>
      </c>
      <c r="F41" s="174" t="s">
        <v>305</v>
      </c>
    </row>
    <row r="42" spans="2:6" ht="12.75">
      <c r="B42" s="170"/>
      <c r="C42" s="176"/>
      <c r="D42" s="176"/>
      <c r="E42" s="176"/>
      <c r="F42" s="174"/>
    </row>
    <row r="43" spans="2:6" ht="12.75">
      <c r="B43" s="175" t="s">
        <v>111</v>
      </c>
      <c r="C43" s="176"/>
      <c r="D43" s="176"/>
      <c r="E43" s="176"/>
      <c r="F43" s="174"/>
    </row>
    <row r="44" spans="2:6" ht="12.75">
      <c r="B44" s="173" t="s">
        <v>112</v>
      </c>
      <c r="C44" s="475">
        <f>+E37/E22</f>
        <v>248.44159700810584</v>
      </c>
      <c r="D44" s="176" t="s">
        <v>0</v>
      </c>
      <c r="E44" s="176" t="s">
        <v>0</v>
      </c>
      <c r="F44" s="174"/>
    </row>
    <row r="45" spans="2:6" ht="12.75">
      <c r="B45" s="173"/>
      <c r="C45" s="475">
        <f>+E38/E23</f>
        <v>273.92179921977123</v>
      </c>
      <c r="D45" s="176"/>
      <c r="E45" s="176"/>
      <c r="F45" s="174"/>
    </row>
    <row r="46" spans="2:6" ht="12.75">
      <c r="B46" s="173"/>
      <c r="C46" s="475">
        <f>+E39/E24</f>
        <v>308.30774513263873</v>
      </c>
      <c r="D46" s="176"/>
      <c r="E46" s="176"/>
      <c r="F46" s="174"/>
    </row>
    <row r="47" spans="2:6" ht="12.75">
      <c r="B47" s="173"/>
      <c r="C47" s="475">
        <f>+E40/E25</f>
        <v>244.7980804695652</v>
      </c>
      <c r="D47" s="176"/>
      <c r="E47" s="176"/>
      <c r="F47" s="174"/>
    </row>
    <row r="48" spans="2:6" ht="12.75">
      <c r="B48" s="173"/>
      <c r="C48" s="475">
        <f>+E41/E26</f>
        <v>277.7596370593537</v>
      </c>
      <c r="D48" s="176"/>
      <c r="E48" s="176"/>
      <c r="F48" s="174"/>
    </row>
    <row r="49" spans="2:6" ht="12.75">
      <c r="B49" s="177"/>
      <c r="C49" s="178"/>
      <c r="D49" s="178"/>
      <c r="E49" s="178"/>
      <c r="F49" s="17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55"/>
  <sheetViews>
    <sheetView showGridLines="0" zoomScale="75" zoomScaleNormal="75" zoomScalePageLayoutView="0" workbookViewId="0" topLeftCell="A25">
      <selection activeCell="G45" sqref="G45"/>
    </sheetView>
  </sheetViews>
  <sheetFormatPr defaultColWidth="11.421875" defaultRowHeight="12.75"/>
  <cols>
    <col min="1" max="1" width="1.421875" style="0" customWidth="1"/>
    <col min="2" max="2" width="35.140625" style="0" customWidth="1"/>
    <col min="3" max="8" width="22.7109375" style="0" customWidth="1"/>
    <col min="9" max="14" width="13.8515625" style="0" bestFit="1" customWidth="1"/>
    <col min="15" max="15" width="2.7109375" style="0" customWidth="1"/>
  </cols>
  <sheetData>
    <row r="2" spans="1:7" ht="12.75">
      <c r="A2" s="1" t="s">
        <v>0</v>
      </c>
      <c r="B2" s="1" t="str">
        <f>+'PREST. FINANCIERO'!B3</f>
        <v>NOMBRE DE LA EMPRESA:</v>
      </c>
      <c r="C2" s="328" t="str">
        <f>+'PREST. FINANCIERO'!D3</f>
        <v>Gas Metano</v>
      </c>
      <c r="D2" s="327"/>
      <c r="E2" s="327"/>
      <c r="F2" s="327"/>
      <c r="G2" s="327"/>
    </row>
    <row r="4" spans="1:7" ht="12.75">
      <c r="A4" s="142" t="s">
        <v>0</v>
      </c>
      <c r="B4" s="412" t="s">
        <v>156</v>
      </c>
      <c r="C4" s="145"/>
      <c r="D4" s="145"/>
      <c r="E4" s="145"/>
      <c r="F4" s="145"/>
      <c r="G4" s="145"/>
    </row>
    <row r="5" spans="1:7" ht="12.75">
      <c r="A5" s="143"/>
      <c r="B5" s="144" t="s">
        <v>155</v>
      </c>
      <c r="C5" s="144" t="s">
        <v>170</v>
      </c>
      <c r="D5" s="144" t="s">
        <v>171</v>
      </c>
      <c r="E5" s="144" t="s">
        <v>172</v>
      </c>
      <c r="F5" s="144" t="s">
        <v>173</v>
      </c>
      <c r="G5" s="144" t="s">
        <v>174</v>
      </c>
    </row>
    <row r="6" spans="1:7" ht="12.75">
      <c r="A6" s="48"/>
      <c r="B6" s="141">
        <f>+'FLUJO DE EFECTIVO'!B54</f>
        <v>-119923500</v>
      </c>
      <c r="C6" s="141">
        <f>+B6+'FLUJO DE EFECTIVO'!D54</f>
        <v>-102930020.52884334</v>
      </c>
      <c r="D6" s="141">
        <f>+C6+'FLUJO DE EFECTIVO'!E54</f>
        <v>-56994512.45297167</v>
      </c>
      <c r="E6" s="141">
        <f>+D6+'FLUJO DE EFECTIVO'!F54</f>
        <v>28695129.449406058</v>
      </c>
      <c r="F6" s="141">
        <f>+'FLUJO DE EFECTIVO'!G54+E6</f>
        <v>131940690.91631836</v>
      </c>
      <c r="G6" s="141">
        <f>+F6+'FLUJO DE EFECTIVO'!H54</f>
        <v>275377242.90407014</v>
      </c>
    </row>
    <row r="40" spans="3:7" ht="15.75">
      <c r="C40" s="502" t="s">
        <v>314</v>
      </c>
      <c r="D40" s="503"/>
      <c r="E40" s="503"/>
      <c r="F40" s="503"/>
      <c r="G40" s="503"/>
    </row>
    <row r="42" spans="1:9" ht="12.75">
      <c r="A42" s="167" t="s">
        <v>0</v>
      </c>
      <c r="B42" s="492" t="s">
        <v>309</v>
      </c>
      <c r="C42" s="168"/>
      <c r="D42" s="168"/>
      <c r="E42" s="168"/>
      <c r="F42" s="168"/>
      <c r="G42" s="168"/>
      <c r="H42" s="168"/>
      <c r="I42" s="169"/>
    </row>
    <row r="43" spans="1:9" ht="12.75" customHeight="1">
      <c r="A43" s="170" t="s">
        <v>0</v>
      </c>
      <c r="B43" s="601"/>
      <c r="C43" s="493" t="s">
        <v>158</v>
      </c>
      <c r="D43" s="493" t="s">
        <v>170</v>
      </c>
      <c r="E43" s="493" t="s">
        <v>171</v>
      </c>
      <c r="F43" s="493" t="s">
        <v>172</v>
      </c>
      <c r="G43" s="493" t="s">
        <v>173</v>
      </c>
      <c r="H43" s="493" t="s">
        <v>174</v>
      </c>
      <c r="I43" s="172"/>
    </row>
    <row r="44" spans="1:9" ht="12.75" customHeight="1">
      <c r="A44" s="170"/>
      <c r="B44" s="601"/>
      <c r="C44" s="494">
        <f>+'FLUJO DE EFECTIVO'!B54*-1</f>
        <v>119923500</v>
      </c>
      <c r="D44" s="494">
        <f>+'FLUJO DE EFECTIVO'!D54</f>
        <v>16993479.471156657</v>
      </c>
      <c r="E44" s="494">
        <f>+'FLUJO DE EFECTIVO'!E54</f>
        <v>45935508.075871676</v>
      </c>
      <c r="F44" s="494">
        <f>+'FLUJO DE EFECTIVO'!F54</f>
        <v>85689641.90237772</v>
      </c>
      <c r="G44" s="494">
        <f>+'FLUJO DE EFECTIVO'!G54</f>
        <v>103245561.4669123</v>
      </c>
      <c r="H44" s="494">
        <f>+'FLUJO DE EFECTIVO'!H54</f>
        <v>143436551.98775178</v>
      </c>
      <c r="I44" s="172"/>
    </row>
    <row r="45" spans="1:9" ht="12.75">
      <c r="A45" s="170"/>
      <c r="B45" s="601" t="s">
        <v>0</v>
      </c>
      <c r="C45" s="494"/>
      <c r="D45" s="494">
        <f>+D44</f>
        <v>16993479.471156657</v>
      </c>
      <c r="E45" s="494">
        <f>+D45+E44</f>
        <v>62928987.54702833</v>
      </c>
      <c r="F45" s="494">
        <f>+E45+F44</f>
        <v>148618629.44940606</v>
      </c>
      <c r="G45" s="494">
        <f>+F45+G44</f>
        <v>251864190.91631836</v>
      </c>
      <c r="H45" s="494">
        <f>+G45+H44</f>
        <v>395300742.90407014</v>
      </c>
      <c r="I45" s="172"/>
    </row>
    <row r="46" spans="1:9" ht="12.75">
      <c r="A46" s="170"/>
      <c r="B46" s="601"/>
      <c r="C46" s="495"/>
      <c r="D46" s="495">
        <f>+IF(D45&gt;=C44,(C44/D45),0)</f>
        <v>0</v>
      </c>
      <c r="E46" s="495">
        <f>+IF(AND((E45&gt;=$C$44),$C$44&gt;D45),(($C$44-D45)/E44)+1,0)</f>
        <v>0</v>
      </c>
      <c r="F46" s="495">
        <f>+IF(AND((F45&gt;=$C$44),$C$44&gt;E45),(($C$44-E45)/F44)+2,0)</f>
        <v>2.6651272100997097</v>
      </c>
      <c r="G46" s="495">
        <f>+IF(AND((G45&gt;=$C$44),$C$44&gt;F45),(($C$44-F45)/G44)+3,0)</f>
        <v>0</v>
      </c>
      <c r="H46" s="496">
        <f>+IF(AND((H45&gt;=$C$44),$C$44&gt;G45),(($C$44-G45)/H44)+4,0)</f>
        <v>0</v>
      </c>
      <c r="I46" s="172"/>
    </row>
    <row r="47" spans="1:9" ht="12.75" hidden="1">
      <c r="A47" s="170"/>
      <c r="B47" s="171"/>
      <c r="C47" s="495"/>
      <c r="D47" s="495">
        <f>+IF(D46=0,0,0)</f>
        <v>0</v>
      </c>
      <c r="E47" s="495">
        <f>+IF(AND(E46&gt;D46,E46&gt;F46),1,0)</f>
        <v>0</v>
      </c>
      <c r="F47" s="495">
        <f>+IF(AND(F46&gt;E46,F46&gt;G46),2,0)</f>
        <v>2</v>
      </c>
      <c r="G47" s="495">
        <f>+IF(AND(G46&gt;F46,G46&gt;H46),3,0)</f>
        <v>0</v>
      </c>
      <c r="H47" s="495">
        <f>+IF(H46&gt;G46,4,0)</f>
        <v>0</v>
      </c>
      <c r="I47" s="172"/>
    </row>
    <row r="48" spans="1:9" ht="12.75" hidden="1">
      <c r="A48" s="170"/>
      <c r="B48" s="171"/>
      <c r="C48" s="495"/>
      <c r="D48" s="495">
        <f>+(D46-D47)*12</f>
        <v>0</v>
      </c>
      <c r="E48" s="495">
        <f>+(E46-E47)*12</f>
        <v>0</v>
      </c>
      <c r="F48" s="495">
        <f>+(F46-F47)*12</f>
        <v>7.981526521196516</v>
      </c>
      <c r="G48" s="495">
        <f>+(G46-G47)*12</f>
        <v>0</v>
      </c>
      <c r="H48" s="496">
        <f>+(H46-H47)*12</f>
        <v>0</v>
      </c>
      <c r="I48" s="172"/>
    </row>
    <row r="49" spans="1:9" ht="12.75" hidden="1">
      <c r="A49" s="170"/>
      <c r="B49" s="171"/>
      <c r="C49" s="495"/>
      <c r="D49" s="495">
        <f>+INT(D48)</f>
        <v>0</v>
      </c>
      <c r="E49" s="495">
        <f>+INT(E48)</f>
        <v>0</v>
      </c>
      <c r="F49" s="495">
        <f>+INT(F48)</f>
        <v>7</v>
      </c>
      <c r="G49" s="495">
        <f>+INT(G48)</f>
        <v>0</v>
      </c>
      <c r="H49" s="495">
        <f>+INT(H48)</f>
        <v>0</v>
      </c>
      <c r="I49" s="172"/>
    </row>
    <row r="50" spans="1:9" ht="12.75" hidden="1">
      <c r="A50" s="170"/>
      <c r="B50" s="171"/>
      <c r="C50" s="495"/>
      <c r="D50" s="495">
        <f>+ROUND((D48-D49)*30,0.5)</f>
        <v>0</v>
      </c>
      <c r="E50" s="495">
        <f>+ROUND((E48-E49)*30,0.5)</f>
        <v>0</v>
      </c>
      <c r="F50" s="495">
        <f>+ROUND((F48-F49)*30,0.5)</f>
        <v>29</v>
      </c>
      <c r="G50" s="495">
        <f>+ROUND((G48-G49)*30,0.5)</f>
        <v>0</v>
      </c>
      <c r="H50" s="497">
        <f>+ROUND((H48-H49)*30,0.5)</f>
        <v>0</v>
      </c>
      <c r="I50" s="172"/>
    </row>
    <row r="51" spans="1:9" ht="12.75" hidden="1">
      <c r="A51" s="170"/>
      <c r="B51" s="171"/>
      <c r="C51" s="495"/>
      <c r="D51" s="495"/>
      <c r="E51" s="495"/>
      <c r="F51" s="495"/>
      <c r="G51" s="495"/>
      <c r="H51" s="495"/>
      <c r="I51" s="172"/>
    </row>
    <row r="52" spans="1:9" ht="12.75">
      <c r="A52" s="170"/>
      <c r="B52" s="601" t="s">
        <v>0</v>
      </c>
      <c r="C52" s="498" t="s">
        <v>310</v>
      </c>
      <c r="D52" s="499">
        <f>+SUM(D46:H46)</f>
        <v>2.6651272100997097</v>
      </c>
      <c r="E52" s="495"/>
      <c r="F52" s="495"/>
      <c r="G52" s="495"/>
      <c r="H52" s="495"/>
      <c r="I52" s="172"/>
    </row>
    <row r="53" spans="1:9" ht="12.75" customHeight="1">
      <c r="A53" s="170"/>
      <c r="B53" s="601"/>
      <c r="C53" s="171"/>
      <c r="D53" s="171"/>
      <c r="E53" s="171"/>
      <c r="F53" s="171"/>
      <c r="G53" s="171"/>
      <c r="H53" s="171"/>
      <c r="I53" s="172"/>
    </row>
    <row r="54" spans="1:9" ht="12.75" customHeight="1">
      <c r="A54" s="170"/>
      <c r="B54" s="601" t="s">
        <v>0</v>
      </c>
      <c r="C54" s="500" t="s">
        <v>311</v>
      </c>
      <c r="D54" s="500" t="s">
        <v>312</v>
      </c>
      <c r="E54" s="500" t="s">
        <v>313</v>
      </c>
      <c r="F54" s="171"/>
      <c r="G54" s="171"/>
      <c r="H54" s="171"/>
      <c r="I54" s="172"/>
    </row>
    <row r="55" spans="1:9" ht="15.75">
      <c r="A55" s="177"/>
      <c r="B55" s="601"/>
      <c r="C55" s="501">
        <f>+SUM(D47:H47)</f>
        <v>2</v>
      </c>
      <c r="D55" s="501">
        <f>+SUM(D49:H49)</f>
        <v>7</v>
      </c>
      <c r="E55" s="501">
        <f>+SUM(D50:H50)</f>
        <v>29</v>
      </c>
      <c r="F55" s="178"/>
      <c r="G55" s="178"/>
      <c r="H55" s="178"/>
      <c r="I55" s="179"/>
    </row>
  </sheetData>
  <sheetProtection/>
  <mergeCells count="4">
    <mergeCell ref="B43:B44"/>
    <mergeCell ref="B45:B46"/>
    <mergeCell ref="B52:B53"/>
    <mergeCell ref="B54:B5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L44"/>
  <sheetViews>
    <sheetView showGridLines="0" zoomScale="75" zoomScaleNormal="75" zoomScalePageLayoutView="0" workbookViewId="0" topLeftCell="A1">
      <selection activeCell="D40" sqref="D40"/>
    </sheetView>
  </sheetViews>
  <sheetFormatPr defaultColWidth="11.421875" defaultRowHeight="12.75"/>
  <cols>
    <col min="1" max="1" width="4.140625" style="0" customWidth="1"/>
    <col min="2" max="2" width="4.421875" style="0" customWidth="1"/>
    <col min="3" max="3" width="31.00390625" style="0" customWidth="1"/>
    <col min="4" max="4" width="22.00390625" style="0" customWidth="1"/>
    <col min="5" max="5" width="20.8515625" style="0" bestFit="1" customWidth="1"/>
    <col min="6" max="6" width="15.57421875" style="0" customWidth="1"/>
    <col min="7" max="7" width="15.7109375" style="0" customWidth="1"/>
    <col min="8" max="8" width="14.8515625" style="0" customWidth="1"/>
    <col min="9" max="9" width="16.140625" style="0" bestFit="1" customWidth="1"/>
    <col min="11" max="11" width="14.8515625" style="0" bestFit="1" customWidth="1"/>
    <col min="16" max="16" width="12.7109375" style="0" bestFit="1" customWidth="1"/>
  </cols>
  <sheetData>
    <row r="2" spans="3:9" ht="12.75">
      <c r="C2" s="4" t="str">
        <f>+'DATOS GENERALES'!B1</f>
        <v>NOMBRE DE LA EMPRESA:</v>
      </c>
      <c r="D2" s="576" t="str">
        <f>+'DATOS GENERALES'!C1</f>
        <v>Gas Metano</v>
      </c>
      <c r="E2" s="576"/>
      <c r="F2" s="576"/>
      <c r="G2" s="576"/>
      <c r="H2" s="576"/>
      <c r="I2" s="576"/>
    </row>
    <row r="3" ht="12.75">
      <c r="B3" t="s">
        <v>0</v>
      </c>
    </row>
    <row r="4" ht="12.75">
      <c r="C4" s="1" t="s">
        <v>6</v>
      </c>
    </row>
    <row r="6" spans="3:9" ht="15">
      <c r="C6" s="286" t="s">
        <v>3</v>
      </c>
      <c r="D6" s="271" t="s">
        <v>176</v>
      </c>
      <c r="E6" s="271" t="s">
        <v>177</v>
      </c>
      <c r="F6" s="271" t="s">
        <v>178</v>
      </c>
      <c r="G6" s="271" t="s">
        <v>179</v>
      </c>
      <c r="H6" s="271" t="s">
        <v>180</v>
      </c>
      <c r="I6" s="272" t="s">
        <v>2</v>
      </c>
    </row>
    <row r="7" spans="3:12" ht="12.75">
      <c r="C7" s="287" t="str">
        <f>+'DATOS GENERALES'!B8</f>
        <v>Gas Metano en MTS3</v>
      </c>
      <c r="D7" s="97">
        <f>+'DATOS GENERALES'!C8</f>
        <v>266400</v>
      </c>
      <c r="E7" s="97">
        <f>+'DATOS GENERALES'!D8</f>
        <v>283050</v>
      </c>
      <c r="F7" s="97">
        <f>+'DATOS GENERALES'!E8</f>
        <v>299700</v>
      </c>
      <c r="G7" s="488">
        <f>+'DATOS GENERALES'!F8</f>
        <v>316350</v>
      </c>
      <c r="H7" s="488">
        <f>+'DATOS GENERALES'!G8</f>
        <v>333000</v>
      </c>
      <c r="I7" s="288">
        <f>SUM(D7:H7)</f>
        <v>1498500</v>
      </c>
      <c r="K7" s="532"/>
      <c r="L7" s="532"/>
    </row>
    <row r="8" spans="3:12" ht="6.75" customHeight="1">
      <c r="C8" s="287" t="s">
        <v>0</v>
      </c>
      <c r="D8" s="12" t="s">
        <v>0</v>
      </c>
      <c r="E8" s="13" t="s">
        <v>0</v>
      </c>
      <c r="F8" s="13" t="s">
        <v>0</v>
      </c>
      <c r="G8" s="13" t="s">
        <v>0</v>
      </c>
      <c r="H8" s="13" t="s">
        <v>0</v>
      </c>
      <c r="I8" s="263" t="s">
        <v>0</v>
      </c>
      <c r="K8" s="532">
        <v>6</v>
      </c>
      <c r="L8" s="532"/>
    </row>
    <row r="9" spans="3:12" ht="12.75">
      <c r="C9" s="80" t="s">
        <v>113</v>
      </c>
      <c r="D9" s="7">
        <f>SUM(D7:D8)</f>
        <v>266400</v>
      </c>
      <c r="E9" s="7">
        <f>SUM(E7:E8)</f>
        <v>283050</v>
      </c>
      <c r="F9" s="7">
        <f>SUM(F7:F8)</f>
        <v>299700</v>
      </c>
      <c r="G9" s="7">
        <f>SUM(G7:G8)</f>
        <v>316350</v>
      </c>
      <c r="H9" s="7">
        <f>SUM(H7:H8)</f>
        <v>333000</v>
      </c>
      <c r="I9" s="82">
        <f>SUM(D9:H9)</f>
        <v>1498500</v>
      </c>
      <c r="K9" s="532">
        <v>30</v>
      </c>
      <c r="L9" s="532" t="s">
        <v>339</v>
      </c>
    </row>
    <row r="10" spans="3:12" ht="12.75">
      <c r="C10" s="289" t="s">
        <v>137</v>
      </c>
      <c r="D10" s="420">
        <f>+I22</f>
        <v>600</v>
      </c>
      <c r="E10" s="420">
        <f>+I24</f>
        <v>642</v>
      </c>
      <c r="F10" s="420">
        <f>+I26</f>
        <v>686.94</v>
      </c>
      <c r="G10" s="420">
        <f>+I28</f>
        <v>735.0258000000001</v>
      </c>
      <c r="H10" s="420">
        <f>+I30</f>
        <v>786.4776060000002</v>
      </c>
      <c r="I10" s="263" t="s">
        <v>0</v>
      </c>
      <c r="K10" s="532">
        <v>925</v>
      </c>
      <c r="L10" s="532"/>
    </row>
    <row r="11" spans="3:12" ht="12.75">
      <c r="C11" s="290" t="s">
        <v>114</v>
      </c>
      <c r="D11" s="268">
        <f>+D9*D10</f>
        <v>159840000</v>
      </c>
      <c r="E11" s="268">
        <f>+E9*E10</f>
        <v>181718100</v>
      </c>
      <c r="F11" s="268">
        <f>+F9*F10</f>
        <v>205875918.00000003</v>
      </c>
      <c r="G11" s="268">
        <f>+G9*G10</f>
        <v>232525411.83000004</v>
      </c>
      <c r="H11" s="268">
        <f>+H9*H10</f>
        <v>261897042.79800004</v>
      </c>
      <c r="I11" s="151">
        <f>SUM(D11:H11)</f>
        <v>1041856472.628</v>
      </c>
      <c r="K11" s="532">
        <f>K10*K9*12</f>
        <v>333000</v>
      </c>
      <c r="L11" s="532"/>
    </row>
    <row r="12" spans="11:12" ht="12.75">
      <c r="K12" s="532">
        <v>65000</v>
      </c>
      <c r="L12" s="532"/>
    </row>
    <row r="13" spans="3:12" ht="12.75">
      <c r="C13" t="s">
        <v>0</v>
      </c>
      <c r="K13" s="560">
        <f>K12*K10</f>
        <v>60125000</v>
      </c>
      <c r="L13" s="532"/>
    </row>
    <row r="14" spans="3:6" ht="12.75" hidden="1">
      <c r="C14" t="s">
        <v>0</v>
      </c>
      <c r="E14" s="184" t="s">
        <v>0</v>
      </c>
      <c r="F14" s="184" t="s">
        <v>0</v>
      </c>
    </row>
    <row r="15" ht="13.5" hidden="1" thickBot="1">
      <c r="C15" t="s">
        <v>0</v>
      </c>
    </row>
    <row r="16" spans="2:10" ht="12.75" hidden="1">
      <c r="B16" s="344" t="s">
        <v>290</v>
      </c>
      <c r="C16" s="295"/>
      <c r="D16" s="295"/>
      <c r="E16" s="295"/>
      <c r="F16" s="295"/>
      <c r="G16" s="295"/>
      <c r="H16" s="295"/>
      <c r="I16" s="295"/>
      <c r="J16" s="296"/>
    </row>
    <row r="17" spans="2:10" ht="12.75" hidden="1">
      <c r="B17" s="297"/>
      <c r="C17" s="171" t="s">
        <v>0</v>
      </c>
      <c r="D17" s="171"/>
      <c r="E17" s="171"/>
      <c r="F17" s="171"/>
      <c r="G17" s="171"/>
      <c r="H17" s="171"/>
      <c r="I17" s="171"/>
      <c r="J17" s="298"/>
    </row>
    <row r="18" spans="2:11" ht="12.75" hidden="1">
      <c r="B18" s="579" t="s">
        <v>40</v>
      </c>
      <c r="C18" s="580"/>
      <c r="D18" s="299" t="s">
        <v>272</v>
      </c>
      <c r="E18" s="171"/>
      <c r="F18" s="171"/>
      <c r="G18" s="299" t="s">
        <v>296</v>
      </c>
      <c r="H18" s="299"/>
      <c r="I18" s="172"/>
      <c r="J18" s="343">
        <f>+G19-H19-I19</f>
        <v>0.54</v>
      </c>
      <c r="K18" s="294"/>
    </row>
    <row r="19" spans="2:11" ht="12.75" hidden="1">
      <c r="B19" s="297"/>
      <c r="C19" s="171" t="s">
        <v>0</v>
      </c>
      <c r="D19" s="192" t="s">
        <v>237</v>
      </c>
      <c r="E19" s="171"/>
      <c r="F19" s="171"/>
      <c r="G19" s="300">
        <v>1</v>
      </c>
      <c r="H19" s="301">
        <f>+'DATOS GENERALES'!B12</f>
        <v>0.13</v>
      </c>
      <c r="I19" s="301">
        <f>+'DATOS GENERALES'!B143</f>
        <v>0.33</v>
      </c>
      <c r="J19" s="298"/>
      <c r="K19" s="294"/>
    </row>
    <row r="20" spans="2:10" ht="13.5" hidden="1" thickBot="1">
      <c r="B20" s="297"/>
      <c r="C20" s="171" t="s">
        <v>0</v>
      </c>
      <c r="D20" s="171"/>
      <c r="E20" s="171"/>
      <c r="F20" s="171"/>
      <c r="G20" s="171"/>
      <c r="H20" s="171"/>
      <c r="I20" s="171"/>
      <c r="J20" s="298"/>
    </row>
    <row r="21" spans="2:10" ht="15.75" hidden="1" thickBot="1">
      <c r="B21" s="297"/>
      <c r="C21" s="339" t="s">
        <v>267</v>
      </c>
      <c r="D21" s="340">
        <f>+'COSTO DE VENTAS'!D11-('COSTO DE VENTAS'!D11*('DATOS GENERALES'!B143))</f>
        <v>46872196.69375999</v>
      </c>
      <c r="E21" s="341">
        <f>+D21/D22</f>
        <v>86800364.24770369</v>
      </c>
      <c r="F21" s="171" t="s">
        <v>0</v>
      </c>
      <c r="G21" s="171"/>
      <c r="H21" s="171"/>
      <c r="I21" s="171"/>
      <c r="J21" s="298"/>
    </row>
    <row r="22" spans="2:11" ht="12.75" hidden="1">
      <c r="B22" s="297"/>
      <c r="C22" s="308"/>
      <c r="D22" s="302">
        <f>+J18</f>
        <v>0.54</v>
      </c>
      <c r="E22" s="342"/>
      <c r="F22" s="581" t="s">
        <v>266</v>
      </c>
      <c r="G22" s="582"/>
      <c r="H22" s="583"/>
      <c r="I22" s="445">
        <v>600</v>
      </c>
      <c r="J22" s="438"/>
      <c r="K22" s="514">
        <f>+I22*$K$9</f>
        <v>18000</v>
      </c>
    </row>
    <row r="23" spans="2:11" ht="13.5" hidden="1" thickBot="1">
      <c r="B23" s="297"/>
      <c r="C23" s="308"/>
      <c r="D23" s="300"/>
      <c r="E23" s="300"/>
      <c r="F23" s="192"/>
      <c r="G23" s="192"/>
      <c r="H23" s="192"/>
      <c r="I23" s="443"/>
      <c r="J23" s="298"/>
      <c r="K23" s="515" t="s">
        <v>340</v>
      </c>
    </row>
    <row r="24" spans="2:11" ht="15.75" hidden="1" thickBot="1">
      <c r="B24" s="297"/>
      <c r="C24" s="339" t="s">
        <v>268</v>
      </c>
      <c r="D24" s="340">
        <f>+'COSTO DE VENTAS'!E11-('COSTO DE VENTAS'!E11*('DATOS GENERALES'!B143))</f>
        <v>49326787.75076601</v>
      </c>
      <c r="E24" s="440">
        <f>+D24/D25</f>
        <v>91345903.24215928</v>
      </c>
      <c r="F24" s="581" t="s">
        <v>266</v>
      </c>
      <c r="G24" s="582"/>
      <c r="H24" s="583"/>
      <c r="I24" s="444">
        <f>+I22*1.07</f>
        <v>642</v>
      </c>
      <c r="J24" s="438"/>
      <c r="K24" s="514">
        <f>+I24*$K$9</f>
        <v>19260</v>
      </c>
    </row>
    <row r="25" spans="2:10" ht="13.5" hidden="1" thickBot="1">
      <c r="B25" s="297"/>
      <c r="C25" s="308"/>
      <c r="D25" s="303">
        <f>+D22</f>
        <v>0.54</v>
      </c>
      <c r="E25" s="300"/>
      <c r="F25" s="192"/>
      <c r="G25" s="192"/>
      <c r="H25" s="192"/>
      <c r="I25" s="443"/>
      <c r="J25" s="298"/>
    </row>
    <row r="26" spans="2:11" ht="15.75" hidden="1" thickBot="1">
      <c r="B26" s="297"/>
      <c r="C26" s="339" t="s">
        <v>269</v>
      </c>
      <c r="D26" s="340">
        <f>+'COSTO DE VENTAS'!F11-('COSTO DE VENTAS'!F11*('DATOS GENERALES'!B143))</f>
        <v>52134217.42975376</v>
      </c>
      <c r="E26" s="440">
        <f>+D26/D27</f>
        <v>96544847.09213658</v>
      </c>
      <c r="F26" s="581" t="s">
        <v>266</v>
      </c>
      <c r="G26" s="582"/>
      <c r="H26" s="583"/>
      <c r="I26" s="444">
        <f>+I24*1.07</f>
        <v>686.94</v>
      </c>
      <c r="J26" s="438"/>
      <c r="K26" s="514">
        <f>+I26*$K$9</f>
        <v>20608.2</v>
      </c>
    </row>
    <row r="27" spans="2:10" ht="13.5" hidden="1" thickBot="1">
      <c r="B27" s="297"/>
      <c r="C27" s="308"/>
      <c r="D27" s="303">
        <f>+D25</f>
        <v>0.54</v>
      </c>
      <c r="E27" s="300"/>
      <c r="F27" s="441"/>
      <c r="G27" s="441"/>
      <c r="H27" s="441"/>
      <c r="I27" s="443"/>
      <c r="J27" s="298"/>
    </row>
    <row r="28" spans="2:11" ht="15.75" hidden="1" thickBot="1">
      <c r="B28" s="297"/>
      <c r="C28" s="339" t="s">
        <v>270</v>
      </c>
      <c r="D28" s="340">
        <f>+'COSTO DE VENTAS'!G11-('COSTO DE VENTAS'!G11*('DATOS GENERALES'!B143))</f>
        <v>78226855.5841862</v>
      </c>
      <c r="E28" s="440">
        <f>+D28/D29</f>
        <v>144864547.37812257</v>
      </c>
      <c r="F28" s="581" t="s">
        <v>266</v>
      </c>
      <c r="G28" s="582"/>
      <c r="H28" s="583"/>
      <c r="I28" s="444">
        <f>+I26*1.07</f>
        <v>735.0258000000001</v>
      </c>
      <c r="J28" s="438"/>
      <c r="K28" s="514">
        <f>+I28*$K$9</f>
        <v>22050.774000000005</v>
      </c>
    </row>
    <row r="29" spans="2:10" ht="13.5" hidden="1" thickBot="1">
      <c r="B29" s="297"/>
      <c r="C29" s="308"/>
      <c r="D29" s="303">
        <f>+D27</f>
        <v>0.54</v>
      </c>
      <c r="E29" s="300"/>
      <c r="F29" s="192"/>
      <c r="G29" s="192"/>
      <c r="H29" s="192"/>
      <c r="I29" s="192"/>
      <c r="J29" s="298"/>
    </row>
    <row r="30" spans="2:11" ht="15.75" hidden="1" thickBot="1">
      <c r="B30" s="297"/>
      <c r="C30" s="339" t="s">
        <v>271</v>
      </c>
      <c r="D30" s="340">
        <f>+'COSTO DE VENTAS'!H11-('COSTO DE VENTAS'!H11*('DATOS GENERALES'!B143))</f>
        <v>82754308.87682995</v>
      </c>
      <c r="E30" s="442">
        <f>+D30/D31</f>
        <v>153248720.1422777</v>
      </c>
      <c r="F30" s="577" t="s">
        <v>266</v>
      </c>
      <c r="G30" s="577"/>
      <c r="H30" s="578"/>
      <c r="I30" s="444">
        <f>+I28*1.07</f>
        <v>786.4776060000002</v>
      </c>
      <c r="J30" s="438"/>
      <c r="K30" s="514">
        <f>+I30*$K$9</f>
        <v>23594.328180000004</v>
      </c>
    </row>
    <row r="31" spans="2:10" ht="13.5" hidden="1" thickBot="1">
      <c r="B31" s="304"/>
      <c r="C31" s="305"/>
      <c r="D31" s="306">
        <f>+D29</f>
        <v>0.54</v>
      </c>
      <c r="E31" s="305"/>
      <c r="F31" s="439"/>
      <c r="G31" s="439"/>
      <c r="H31" s="439"/>
      <c r="I31" s="439"/>
      <c r="J31" s="307"/>
    </row>
    <row r="33" ht="13.5" thickBot="1"/>
    <row r="34" spans="2:5" ht="12.75">
      <c r="B34" s="573" t="s">
        <v>359</v>
      </c>
      <c r="C34" s="574"/>
      <c r="D34" s="574"/>
      <c r="E34" s="575"/>
    </row>
    <row r="35" spans="2:5" ht="25.5">
      <c r="B35" s="556"/>
      <c r="C35" s="557"/>
      <c r="D35" s="557" t="s">
        <v>360</v>
      </c>
      <c r="E35" s="558" t="s">
        <v>361</v>
      </c>
    </row>
    <row r="36" spans="2:5" ht="12.75">
      <c r="B36" s="297"/>
      <c r="C36" s="339" t="s">
        <v>267</v>
      </c>
      <c r="D36" s="553">
        <v>600</v>
      </c>
      <c r="E36" s="554">
        <f>+D36*30</f>
        <v>18000</v>
      </c>
    </row>
    <row r="37" spans="2:5" ht="12.75">
      <c r="B37" s="297"/>
      <c r="C37" s="308"/>
      <c r="D37" s="553"/>
      <c r="E37" s="554"/>
    </row>
    <row r="38" spans="2:5" ht="12.75">
      <c r="B38" s="297"/>
      <c r="C38" s="339" t="s">
        <v>268</v>
      </c>
      <c r="D38" s="553">
        <f>+D36*1.07</f>
        <v>642</v>
      </c>
      <c r="E38" s="554">
        <f>+D38*30</f>
        <v>19260</v>
      </c>
    </row>
    <row r="39" spans="2:5" ht="12.75">
      <c r="B39" s="297"/>
      <c r="C39" s="308"/>
      <c r="D39" s="553"/>
      <c r="E39" s="554"/>
    </row>
    <row r="40" spans="2:5" ht="12.75">
      <c r="B40" s="297"/>
      <c r="C40" s="339" t="s">
        <v>269</v>
      </c>
      <c r="D40" s="553">
        <f>+D38*1.07</f>
        <v>686.94</v>
      </c>
      <c r="E40" s="554">
        <f>+D40*30</f>
        <v>20608.2</v>
      </c>
    </row>
    <row r="41" spans="2:5" ht="12.75">
      <c r="B41" s="297"/>
      <c r="C41" s="308"/>
      <c r="D41" s="553"/>
      <c r="E41" s="554"/>
    </row>
    <row r="42" spans="2:5" ht="12.75">
      <c r="B42" s="297"/>
      <c r="C42" s="339" t="s">
        <v>270</v>
      </c>
      <c r="D42" s="553">
        <f>+D40*1.07</f>
        <v>735.0258000000001</v>
      </c>
      <c r="E42" s="554">
        <f>+D42*30</f>
        <v>22050.774000000005</v>
      </c>
    </row>
    <row r="43" spans="2:5" ht="12.75">
      <c r="B43" s="297"/>
      <c r="C43" s="308"/>
      <c r="D43" s="553"/>
      <c r="E43" s="554"/>
    </row>
    <row r="44" spans="2:5" ht="13.5" thickBot="1">
      <c r="B44" s="304"/>
      <c r="C44" s="552" t="s">
        <v>271</v>
      </c>
      <c r="D44" s="559">
        <f>+D42*1.07</f>
        <v>786.4776060000002</v>
      </c>
      <c r="E44" s="555">
        <f>+D44*30</f>
        <v>23594.328180000004</v>
      </c>
    </row>
  </sheetData>
  <sheetProtection/>
  <mergeCells count="8">
    <mergeCell ref="B34:E34"/>
    <mergeCell ref="D2:I2"/>
    <mergeCell ref="F30:H30"/>
    <mergeCell ref="B18:C18"/>
    <mergeCell ref="F24:H24"/>
    <mergeCell ref="F26:H26"/>
    <mergeCell ref="F28:H28"/>
    <mergeCell ref="F22:H22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H35"/>
  <sheetViews>
    <sheetView showGridLines="0" zoomScale="75" zoomScaleNormal="75" zoomScalePageLayoutView="0" workbookViewId="0" topLeftCell="A1">
      <selection activeCell="E33" sqref="E33"/>
    </sheetView>
  </sheetViews>
  <sheetFormatPr defaultColWidth="11.421875" defaultRowHeight="12.75"/>
  <cols>
    <col min="1" max="1" width="5.57421875" style="0" customWidth="1"/>
    <col min="2" max="2" width="22.57421875" style="0" customWidth="1"/>
    <col min="3" max="5" width="10.28125" style="0" customWidth="1"/>
    <col min="6" max="6" width="24.140625" style="0" customWidth="1"/>
  </cols>
  <sheetData>
    <row r="2" spans="2:8" ht="12.75">
      <c r="B2" s="4" t="str">
        <f>+VENTAS!C2</f>
        <v>NOMBRE DE LA EMPRESA:</v>
      </c>
      <c r="D2" s="584" t="str">
        <f>+VENTAS!D2</f>
        <v>Gas Metano</v>
      </c>
      <c r="E2" s="584"/>
      <c r="F2" s="584"/>
      <c r="G2" s="584"/>
      <c r="H2" s="584"/>
    </row>
    <row r="4" ht="12.75">
      <c r="B4" s="1" t="s">
        <v>181</v>
      </c>
    </row>
    <row r="6" ht="12.75">
      <c r="B6" s="1" t="s">
        <v>13</v>
      </c>
    </row>
    <row r="8" spans="2:6" ht="15">
      <c r="B8" s="286" t="s">
        <v>3</v>
      </c>
      <c r="C8" s="271" t="s">
        <v>1</v>
      </c>
      <c r="D8" s="271" t="s">
        <v>8</v>
      </c>
      <c r="E8" s="271" t="s">
        <v>7</v>
      </c>
      <c r="F8" s="272" t="s">
        <v>9</v>
      </c>
    </row>
    <row r="9" spans="2:6" ht="12.75">
      <c r="B9" s="287" t="str">
        <f>+'DATOS GENERALES'!B8</f>
        <v>Gas Metano en MTS3</v>
      </c>
      <c r="C9" s="17">
        <f>+VENTAS!D9</f>
        <v>266400</v>
      </c>
      <c r="D9" s="18">
        <v>0</v>
      </c>
      <c r="E9" s="19">
        <v>0</v>
      </c>
      <c r="F9" s="82">
        <f>+C9-D9+E9</f>
        <v>266400</v>
      </c>
    </row>
    <row r="10" spans="2:6" ht="12.75">
      <c r="B10" s="287" t="s">
        <v>0</v>
      </c>
      <c r="C10" s="12" t="s">
        <v>0</v>
      </c>
      <c r="D10" s="13" t="s">
        <v>0</v>
      </c>
      <c r="E10" s="15" t="s">
        <v>0</v>
      </c>
      <c r="F10" s="263" t="s">
        <v>0</v>
      </c>
    </row>
    <row r="11" spans="2:6" ht="12.75">
      <c r="B11" s="281" t="s">
        <v>2</v>
      </c>
      <c r="C11" s="284">
        <f>+C9</f>
        <v>266400</v>
      </c>
      <c r="D11" s="284">
        <f>+D9</f>
        <v>0</v>
      </c>
      <c r="E11" s="284">
        <f>+E9</f>
        <v>0</v>
      </c>
      <c r="F11" s="285">
        <f>+F9</f>
        <v>266400</v>
      </c>
    </row>
    <row r="13" ht="12.75">
      <c r="B13" s="1" t="s">
        <v>182</v>
      </c>
    </row>
    <row r="14" spans="2:6" ht="15">
      <c r="B14" s="286" t="s">
        <v>3</v>
      </c>
      <c r="C14" s="271" t="s">
        <v>1</v>
      </c>
      <c r="D14" s="271" t="s">
        <v>8</v>
      </c>
      <c r="E14" s="271" t="s">
        <v>7</v>
      </c>
      <c r="F14" s="272" t="s">
        <v>9</v>
      </c>
    </row>
    <row r="15" spans="2:6" ht="12.75">
      <c r="B15" s="287" t="str">
        <f>+B9</f>
        <v>Gas Metano en MTS3</v>
      </c>
      <c r="C15" s="17">
        <f>+VENTAS!E9</f>
        <v>283050</v>
      </c>
      <c r="D15" s="18">
        <v>0</v>
      </c>
      <c r="E15" s="18">
        <v>0</v>
      </c>
      <c r="F15" s="82">
        <f>+C15-D15+E15</f>
        <v>283050</v>
      </c>
    </row>
    <row r="16" spans="2:6" ht="12.75">
      <c r="B16" s="287" t="s">
        <v>0</v>
      </c>
      <c r="C16" s="12" t="s">
        <v>0</v>
      </c>
      <c r="D16" s="13" t="s">
        <v>0</v>
      </c>
      <c r="E16" s="15" t="s">
        <v>0</v>
      </c>
      <c r="F16" s="263" t="s">
        <v>0</v>
      </c>
    </row>
    <row r="17" spans="2:6" ht="12.75">
      <c r="B17" s="281" t="s">
        <v>2</v>
      </c>
      <c r="C17" s="284">
        <f>+C15</f>
        <v>283050</v>
      </c>
      <c r="D17" s="284">
        <f>+D15</f>
        <v>0</v>
      </c>
      <c r="E17" s="284">
        <f>+E15</f>
        <v>0</v>
      </c>
      <c r="F17" s="285">
        <f>+F15</f>
        <v>283050</v>
      </c>
    </row>
    <row r="19" ht="12.75">
      <c r="B19" s="1" t="s">
        <v>183</v>
      </c>
    </row>
    <row r="20" spans="2:6" ht="15">
      <c r="B20" s="286" t="s">
        <v>3</v>
      </c>
      <c r="C20" s="271" t="s">
        <v>1</v>
      </c>
      <c r="D20" s="271" t="s">
        <v>8</v>
      </c>
      <c r="E20" s="271" t="s">
        <v>7</v>
      </c>
      <c r="F20" s="272" t="s">
        <v>9</v>
      </c>
    </row>
    <row r="21" spans="2:6" ht="12.75">
      <c r="B21" s="287" t="str">
        <f>+B15</f>
        <v>Gas Metano en MTS3</v>
      </c>
      <c r="C21" s="17">
        <f>+VENTAS!F9</f>
        <v>299700</v>
      </c>
      <c r="D21" s="18">
        <v>0</v>
      </c>
      <c r="E21" s="18">
        <v>0</v>
      </c>
      <c r="F21" s="82">
        <f>+C21-D21+E21</f>
        <v>299700</v>
      </c>
    </row>
    <row r="22" spans="2:6" ht="12.75">
      <c r="B22" s="287" t="s">
        <v>0</v>
      </c>
      <c r="C22" s="12" t="s">
        <v>0</v>
      </c>
      <c r="D22" s="13" t="s">
        <v>0</v>
      </c>
      <c r="E22" s="15" t="s">
        <v>0</v>
      </c>
      <c r="F22" s="263" t="s">
        <v>0</v>
      </c>
    </row>
    <row r="23" spans="2:6" ht="12.75">
      <c r="B23" s="281" t="s">
        <v>2</v>
      </c>
      <c r="C23" s="284">
        <f>+C21</f>
        <v>299700</v>
      </c>
      <c r="D23" s="284">
        <f>+D21</f>
        <v>0</v>
      </c>
      <c r="E23" s="284">
        <f>+E21</f>
        <v>0</v>
      </c>
      <c r="F23" s="285">
        <f>+F21</f>
        <v>299700</v>
      </c>
    </row>
    <row r="25" ht="12.75">
      <c r="B25" s="1" t="s">
        <v>184</v>
      </c>
    </row>
    <row r="26" spans="2:6" ht="15">
      <c r="B26" s="286" t="s">
        <v>3</v>
      </c>
      <c r="C26" s="271" t="s">
        <v>1</v>
      </c>
      <c r="D26" s="271" t="s">
        <v>8</v>
      </c>
      <c r="E26" s="271" t="s">
        <v>7</v>
      </c>
      <c r="F26" s="272" t="s">
        <v>9</v>
      </c>
    </row>
    <row r="27" spans="2:6" ht="12.75">
      <c r="B27" s="287" t="str">
        <f>+B21</f>
        <v>Gas Metano en MTS3</v>
      </c>
      <c r="C27" s="17">
        <f>+VENTAS!G9</f>
        <v>316350</v>
      </c>
      <c r="D27" s="18">
        <v>0</v>
      </c>
      <c r="E27" s="18">
        <v>0</v>
      </c>
      <c r="F27" s="82">
        <f>+C27-D27+E27</f>
        <v>316350</v>
      </c>
    </row>
    <row r="28" spans="2:6" ht="12.75">
      <c r="B28" s="287" t="s">
        <v>0</v>
      </c>
      <c r="C28" s="12" t="s">
        <v>0</v>
      </c>
      <c r="D28" s="13" t="s">
        <v>0</v>
      </c>
      <c r="E28" s="15" t="s">
        <v>0</v>
      </c>
      <c r="F28" s="263" t="s">
        <v>0</v>
      </c>
    </row>
    <row r="29" spans="2:6" ht="12.75">
      <c r="B29" s="281" t="s">
        <v>2</v>
      </c>
      <c r="C29" s="284">
        <f>+C27</f>
        <v>316350</v>
      </c>
      <c r="D29" s="284">
        <f>+D27</f>
        <v>0</v>
      </c>
      <c r="E29" s="284">
        <f>+E27</f>
        <v>0</v>
      </c>
      <c r="F29" s="285">
        <f>+F27</f>
        <v>316350</v>
      </c>
    </row>
    <row r="31" ht="12.75">
      <c r="B31" s="1" t="s">
        <v>185</v>
      </c>
    </row>
    <row r="32" spans="2:6" ht="15">
      <c r="B32" s="286" t="s">
        <v>3</v>
      </c>
      <c r="C32" s="271" t="s">
        <v>1</v>
      </c>
      <c r="D32" s="271" t="s">
        <v>8</v>
      </c>
      <c r="E32" s="271" t="s">
        <v>7</v>
      </c>
      <c r="F32" s="272" t="s">
        <v>9</v>
      </c>
    </row>
    <row r="33" spans="2:6" ht="12.75">
      <c r="B33" s="287" t="str">
        <f>+B27</f>
        <v>Gas Metano en MTS3</v>
      </c>
      <c r="C33" s="17">
        <f>+VENTAS!H9</f>
        <v>333000</v>
      </c>
      <c r="D33" s="18">
        <v>0</v>
      </c>
      <c r="E33" s="18">
        <v>0</v>
      </c>
      <c r="F33" s="82">
        <f>+C33-D33+E33</f>
        <v>333000</v>
      </c>
    </row>
    <row r="34" spans="2:6" ht="12.75">
      <c r="B34" s="287" t="s">
        <v>0</v>
      </c>
      <c r="C34" s="12" t="s">
        <v>0</v>
      </c>
      <c r="D34" s="13" t="s">
        <v>0</v>
      </c>
      <c r="E34" s="15" t="s">
        <v>0</v>
      </c>
      <c r="F34" s="263" t="s">
        <v>0</v>
      </c>
    </row>
    <row r="35" spans="2:6" ht="12.75">
      <c r="B35" s="281" t="s">
        <v>2</v>
      </c>
      <c r="C35" s="284">
        <f>+C33</f>
        <v>333000</v>
      </c>
      <c r="D35" s="284">
        <f>+D33</f>
        <v>0</v>
      </c>
      <c r="E35" s="284">
        <f>+E33</f>
        <v>0</v>
      </c>
      <c r="F35" s="285">
        <f>+F33</f>
        <v>333000</v>
      </c>
    </row>
  </sheetData>
  <sheetProtection/>
  <mergeCells count="1">
    <mergeCell ref="D2:H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CD213"/>
  <sheetViews>
    <sheetView showGridLines="0" zoomScale="75" zoomScaleNormal="75" zoomScalePageLayoutView="0" workbookViewId="0" topLeftCell="A1">
      <selection activeCell="A28" sqref="A28"/>
    </sheetView>
  </sheetViews>
  <sheetFormatPr defaultColWidth="11.421875" defaultRowHeight="12.75"/>
  <cols>
    <col min="1" max="1" width="3.28125" style="0" customWidth="1"/>
    <col min="2" max="2" width="28.421875" style="0" customWidth="1"/>
    <col min="3" max="3" width="18.7109375" style="2" customWidth="1"/>
    <col min="4" max="5" width="17.00390625" style="0" customWidth="1"/>
    <col min="6" max="7" width="17.00390625" style="0" bestFit="1" customWidth="1"/>
    <col min="8" max="8" width="26.421875" style="0" customWidth="1"/>
    <col min="10" max="10" width="17.57421875" style="0" customWidth="1"/>
    <col min="11" max="11" width="15.7109375" style="2" customWidth="1"/>
    <col min="12" max="15" width="17.00390625" style="0" customWidth="1"/>
    <col min="16" max="16" width="15.00390625" style="0" customWidth="1"/>
    <col min="17" max="17" width="9.140625" style="0" customWidth="1"/>
    <col min="18" max="18" width="14.00390625" style="0" customWidth="1"/>
    <col min="19" max="19" width="18.7109375" style="2" customWidth="1"/>
    <col min="20" max="20" width="17.00390625" style="0" bestFit="1" customWidth="1"/>
    <col min="21" max="23" width="17.00390625" style="0" customWidth="1"/>
    <col min="24" max="24" width="15.00390625" style="0" customWidth="1"/>
    <col min="26" max="26" width="14.7109375" style="0" bestFit="1" customWidth="1"/>
    <col min="27" max="27" width="18.7109375" style="2" bestFit="1" customWidth="1"/>
    <col min="28" max="28" width="17.00390625" style="0" customWidth="1"/>
    <col min="29" max="31" width="17.00390625" style="0" bestFit="1" customWidth="1"/>
    <col min="32" max="32" width="15.00390625" style="0" customWidth="1"/>
    <col min="34" max="34" width="13.7109375" style="0" bestFit="1" customWidth="1"/>
    <col min="35" max="35" width="18.7109375" style="2" bestFit="1" customWidth="1"/>
    <col min="36" max="36" width="17.00390625" style="0" customWidth="1"/>
    <col min="37" max="39" width="17.00390625" style="0" bestFit="1" customWidth="1"/>
    <col min="40" max="40" width="15.00390625" style="0" customWidth="1"/>
    <col min="42" max="42" width="13.7109375" style="0" bestFit="1" customWidth="1"/>
    <col min="43" max="43" width="18.7109375" style="2" bestFit="1" customWidth="1"/>
    <col min="44" max="44" width="17.00390625" style="0" customWidth="1"/>
    <col min="45" max="47" width="17.00390625" style="0" bestFit="1" customWidth="1"/>
    <col min="48" max="48" width="15.00390625" style="0" customWidth="1"/>
    <col min="50" max="50" width="13.7109375" style="0" bestFit="1" customWidth="1"/>
    <col min="51" max="51" width="18.7109375" style="2" bestFit="1" customWidth="1"/>
    <col min="52" max="52" width="17.00390625" style="0" customWidth="1"/>
    <col min="53" max="55" width="17.00390625" style="0" bestFit="1" customWidth="1"/>
    <col min="56" max="56" width="15.00390625" style="0" customWidth="1"/>
    <col min="58" max="58" width="15.421875" style="0" customWidth="1"/>
    <col min="59" max="59" width="18.7109375" style="2" bestFit="1" customWidth="1"/>
    <col min="60" max="60" width="17.00390625" style="0" customWidth="1"/>
    <col min="61" max="63" width="17.00390625" style="0" bestFit="1" customWidth="1"/>
    <col min="64" max="64" width="15.00390625" style="0" customWidth="1"/>
    <col min="66" max="66" width="13.7109375" style="0" bestFit="1" customWidth="1"/>
    <col min="67" max="67" width="18.7109375" style="2" bestFit="1" customWidth="1"/>
    <col min="68" max="68" width="17.00390625" style="0" customWidth="1"/>
    <col min="69" max="71" width="17.00390625" style="0" bestFit="1" customWidth="1"/>
    <col min="72" max="72" width="15.00390625" style="0" customWidth="1"/>
    <col min="74" max="74" width="12.140625" style="0" customWidth="1"/>
    <col min="75" max="75" width="14.140625" style="0" customWidth="1"/>
    <col min="76" max="76" width="17.00390625" style="0" customWidth="1"/>
    <col min="77" max="79" width="17.00390625" style="0" bestFit="1" customWidth="1"/>
    <col min="80" max="80" width="15.00390625" style="0" customWidth="1"/>
  </cols>
  <sheetData>
    <row r="2" spans="2:6" ht="12.75">
      <c r="B2" s="4" t="str">
        <f>+PRODUCCIÓN!B2</f>
        <v>NOMBRE DE LA EMPRESA:</v>
      </c>
      <c r="C2" s="334" t="str">
        <f>+PRODUCCIÓN!D2</f>
        <v>Gas Metano</v>
      </c>
      <c r="D2" s="327"/>
      <c r="E2" s="327"/>
      <c r="F2" s="327"/>
    </row>
    <row r="3" spans="8:13" ht="12.75">
      <c r="H3" s="4" t="str">
        <f>+B2</f>
        <v>NOMBRE DE LA EMPRESA:</v>
      </c>
      <c r="I3" s="334" t="str">
        <f>+C2</f>
        <v>Gas Metano</v>
      </c>
      <c r="J3" s="327"/>
      <c r="K3" s="335"/>
      <c r="L3" s="327"/>
      <c r="M3" s="327"/>
    </row>
    <row r="4" spans="2:8" ht="12.75">
      <c r="B4" s="1" t="s">
        <v>15</v>
      </c>
      <c r="H4" s="1" t="s">
        <v>0</v>
      </c>
    </row>
    <row r="5" spans="2:8" ht="12.75">
      <c r="B5" t="s">
        <v>0</v>
      </c>
      <c r="H5" s="1" t="s">
        <v>78</v>
      </c>
    </row>
    <row r="6" spans="2:8" ht="12.75">
      <c r="B6" s="1" t="s">
        <v>17</v>
      </c>
      <c r="C6" s="101" t="str">
        <f>+'DATOS GENERALES'!B8</f>
        <v>Gas Metano en MTS3</v>
      </c>
      <c r="H6" s="1" t="s">
        <v>0</v>
      </c>
    </row>
    <row r="8" spans="2:19" ht="12.75">
      <c r="B8" s="270" t="s">
        <v>3</v>
      </c>
      <c r="C8" s="271" t="s">
        <v>4</v>
      </c>
      <c r="D8" s="272" t="s">
        <v>16</v>
      </c>
      <c r="G8" s="271" t="s">
        <v>154</v>
      </c>
      <c r="H8" s="277" t="s">
        <v>3</v>
      </c>
      <c r="I8" s="278" t="s">
        <v>79</v>
      </c>
      <c r="J8" s="279" t="s">
        <v>80</v>
      </c>
      <c r="K8" s="271" t="s">
        <v>77</v>
      </c>
      <c r="L8" s="271" t="s">
        <v>176</v>
      </c>
      <c r="M8" s="271" t="s">
        <v>177</v>
      </c>
      <c r="N8" s="271" t="s">
        <v>178</v>
      </c>
      <c r="O8" s="271" t="s">
        <v>179</v>
      </c>
      <c r="P8" s="272" t="s">
        <v>180</v>
      </c>
      <c r="S8"/>
    </row>
    <row r="9" spans="2:19" ht="12.75">
      <c r="B9" s="273" t="str">
        <f>+'DATOS GENERALES'!M22</f>
        <v>Agua</v>
      </c>
      <c r="C9" s="92" t="str">
        <f>+'DATOS GENERALES'!O22</f>
        <v>Mts3</v>
      </c>
      <c r="D9" s="551">
        <f>+'DATOS GENERALES'!P22</f>
        <v>0.011</v>
      </c>
      <c r="G9" s="467">
        <f>+K9*J9</f>
        <v>10.44362</v>
      </c>
      <c r="H9" s="195" t="str">
        <f>+'DATOS GENERALES'!M22</f>
        <v>Agua</v>
      </c>
      <c r="I9" s="95" t="str">
        <f>+'DATOS GENERALES'!O22</f>
        <v>Mts3</v>
      </c>
      <c r="J9" s="96">
        <f>+'DATOS GENERALES'!P22</f>
        <v>0.011</v>
      </c>
      <c r="K9" s="98">
        <f>+'DATOS GENERALES'!Q22</f>
        <v>949.42</v>
      </c>
      <c r="L9" s="18">
        <f>+G28*$K$9</f>
        <v>0</v>
      </c>
      <c r="M9" s="18">
        <f>+G34*$K$9</f>
        <v>0</v>
      </c>
      <c r="N9" s="18">
        <f>+$G$40*$K$9</f>
        <v>0</v>
      </c>
      <c r="O9" s="18">
        <f>+$G$46*$K$9</f>
        <v>0</v>
      </c>
      <c r="P9" s="280">
        <f>+$G$52*$K$9</f>
        <v>0</v>
      </c>
      <c r="S9"/>
    </row>
    <row r="10" spans="2:19" ht="12.75">
      <c r="B10" s="273" t="str">
        <f>+'DATOS GENERALES'!M23</f>
        <v>Residuos Orgánicos</v>
      </c>
      <c r="C10" s="92" t="str">
        <f>+'DATOS GENERALES'!O23</f>
        <v>Kgm</v>
      </c>
      <c r="D10" s="274">
        <f>+'DATOS GENERALES'!P23</f>
        <v>1.2</v>
      </c>
      <c r="G10" s="467">
        <f aca="true" t="shared" si="0" ref="G10:G18">+K10*J10</f>
        <v>0</v>
      </c>
      <c r="H10" s="195" t="str">
        <f>+'DATOS GENERALES'!M23</f>
        <v>Residuos Orgánicos</v>
      </c>
      <c r="I10" s="95" t="str">
        <f>+'DATOS GENERALES'!O23</f>
        <v>Kgm</v>
      </c>
      <c r="J10" s="96">
        <f>+'DATOS GENERALES'!P23</f>
        <v>1.2</v>
      </c>
      <c r="K10" s="98">
        <f>+'DATOS GENERALES'!Q23</f>
        <v>0</v>
      </c>
      <c r="L10" s="7">
        <f>+$O$28*$K$10</f>
        <v>0</v>
      </c>
      <c r="M10" s="7">
        <f>+$O$34*$K$10</f>
        <v>0</v>
      </c>
      <c r="N10" s="7">
        <f>+$O$40*$K$10</f>
        <v>0</v>
      </c>
      <c r="O10" s="7">
        <f>+$O$46*$K$10</f>
        <v>0</v>
      </c>
      <c r="P10" s="82">
        <f>+$O$52*$K$10</f>
        <v>0</v>
      </c>
      <c r="S10"/>
    </row>
    <row r="11" spans="2:19" ht="12.75">
      <c r="B11" s="273" t="str">
        <f>+'DATOS GENERALES'!M24</f>
        <v>Estiercol</v>
      </c>
      <c r="C11" s="92" t="str">
        <f>+'DATOS GENERALES'!O24</f>
        <v>Kgm</v>
      </c>
      <c r="D11" s="274">
        <f>+'DATOS GENERALES'!P24</f>
        <v>2.5</v>
      </c>
      <c r="G11" s="467">
        <f t="shared" si="0"/>
        <v>0</v>
      </c>
      <c r="H11" s="195" t="str">
        <f>+'DATOS GENERALES'!M24</f>
        <v>Estiercol</v>
      </c>
      <c r="I11" s="95" t="str">
        <f>+'DATOS GENERALES'!O24</f>
        <v>Kgm</v>
      </c>
      <c r="J11" s="96">
        <f>+'DATOS GENERALES'!P24</f>
        <v>2.5</v>
      </c>
      <c r="K11" s="98">
        <f>+'DATOS GENERALES'!Q24</f>
        <v>0</v>
      </c>
      <c r="L11" s="7">
        <f>+$W$28*$K$11</f>
        <v>0</v>
      </c>
      <c r="M11" s="7">
        <f>+$W$34*$K$11</f>
        <v>0</v>
      </c>
      <c r="N11" s="7">
        <f>+$W$40*$K$11</f>
        <v>0</v>
      </c>
      <c r="O11" s="7">
        <f>+$W$46*$K$11</f>
        <v>0</v>
      </c>
      <c r="P11" s="82">
        <f>+$W$52*$K$11</f>
        <v>0</v>
      </c>
      <c r="S11"/>
    </row>
    <row r="12" spans="2:19" ht="12.75">
      <c r="B12" s="273">
        <f>+'DATOS GENERALES'!M25</f>
        <v>0</v>
      </c>
      <c r="C12" s="92">
        <f>+'DATOS GENERALES'!O25</f>
        <v>0</v>
      </c>
      <c r="D12" s="274">
        <f>+'DATOS GENERALES'!P25</f>
        <v>0</v>
      </c>
      <c r="G12" s="467">
        <f t="shared" si="0"/>
        <v>0</v>
      </c>
      <c r="H12" s="195">
        <f>+'DATOS GENERALES'!M25</f>
        <v>0</v>
      </c>
      <c r="I12" s="95">
        <f>+'DATOS GENERALES'!O25</f>
        <v>0</v>
      </c>
      <c r="J12" s="96">
        <f>+'DATOS GENERALES'!P25</f>
        <v>0</v>
      </c>
      <c r="K12" s="98">
        <f>+'DATOS GENERALES'!Q25</f>
        <v>0</v>
      </c>
      <c r="L12" s="7">
        <f>+$AE$28*$K$12</f>
        <v>0</v>
      </c>
      <c r="M12" s="7">
        <f>+$AE$34*$K$12</f>
        <v>0</v>
      </c>
      <c r="N12" s="7">
        <f>+$AE$40*$K$12</f>
        <v>0</v>
      </c>
      <c r="O12" s="7">
        <f>+$AE$46*$K$12</f>
        <v>0</v>
      </c>
      <c r="P12" s="82">
        <f>+$AE$52*$K$12</f>
        <v>0</v>
      </c>
      <c r="S12"/>
    </row>
    <row r="13" spans="2:19" ht="12.75">
      <c r="B13" s="273">
        <f>+'DATOS GENERALES'!M26</f>
        <v>0</v>
      </c>
      <c r="C13" s="92">
        <f>+'DATOS GENERALES'!O26</f>
        <v>0</v>
      </c>
      <c r="D13" s="274">
        <f>+'DATOS GENERALES'!P26</f>
        <v>0</v>
      </c>
      <c r="G13" s="467">
        <f t="shared" si="0"/>
        <v>0</v>
      </c>
      <c r="H13" s="195">
        <f>+'DATOS GENERALES'!M26</f>
        <v>0</v>
      </c>
      <c r="I13" s="95">
        <f>+'DATOS GENERALES'!O26</f>
        <v>0</v>
      </c>
      <c r="J13" s="96">
        <f>+'DATOS GENERALES'!P26</f>
        <v>0</v>
      </c>
      <c r="K13" s="98">
        <f>+'DATOS GENERALES'!Q26</f>
        <v>0</v>
      </c>
      <c r="L13" s="7">
        <f>+$AM$28*$K$13</f>
        <v>0</v>
      </c>
      <c r="M13" s="7">
        <f>+$AM$34*$K$13</f>
        <v>0</v>
      </c>
      <c r="N13" s="7">
        <f>+$AM$40*$K$13</f>
        <v>0</v>
      </c>
      <c r="O13" s="7">
        <f>+$AM$46*$K$13</f>
        <v>0</v>
      </c>
      <c r="P13" s="82">
        <f>+$AM$52*$K$13</f>
        <v>0</v>
      </c>
      <c r="S13"/>
    </row>
    <row r="14" spans="2:19" ht="12.75">
      <c r="B14" s="273">
        <f>+'DATOS GENERALES'!M27</f>
        <v>0</v>
      </c>
      <c r="C14" s="92">
        <f>+'DATOS GENERALES'!O27</f>
        <v>0</v>
      </c>
      <c r="D14" s="274">
        <f>+'DATOS GENERALES'!P27</f>
        <v>0</v>
      </c>
      <c r="G14" s="467">
        <f t="shared" si="0"/>
        <v>0</v>
      </c>
      <c r="H14" s="195">
        <f>+'DATOS GENERALES'!M27</f>
        <v>0</v>
      </c>
      <c r="I14" s="95">
        <f>+'DATOS GENERALES'!O27</f>
        <v>0</v>
      </c>
      <c r="J14" s="96">
        <f>+'DATOS GENERALES'!P27</f>
        <v>0</v>
      </c>
      <c r="K14" s="98">
        <f>+'DATOS GENERALES'!Q27</f>
        <v>0</v>
      </c>
      <c r="L14" s="7">
        <f>+$AU$28*$K$14</f>
        <v>0</v>
      </c>
      <c r="M14" s="7">
        <f>+$AU$34*$K$14</f>
        <v>0</v>
      </c>
      <c r="N14" s="7">
        <f>+$AU$40*$K$14</f>
        <v>0</v>
      </c>
      <c r="O14" s="7">
        <f>+$AU$46*$K$14</f>
        <v>0</v>
      </c>
      <c r="P14" s="82">
        <f>+$AU$52*$K$14</f>
        <v>0</v>
      </c>
      <c r="S14"/>
    </row>
    <row r="15" spans="2:19" ht="12.75">
      <c r="B15" s="273">
        <f>+'DATOS GENERALES'!M28</f>
        <v>0</v>
      </c>
      <c r="C15" s="92">
        <f>+'DATOS GENERALES'!O28</f>
        <v>0</v>
      </c>
      <c r="D15" s="274">
        <f>+'DATOS GENERALES'!P28</f>
        <v>0</v>
      </c>
      <c r="G15" s="467">
        <f t="shared" si="0"/>
        <v>0</v>
      </c>
      <c r="H15" s="195">
        <f>+'DATOS GENERALES'!M28</f>
        <v>0</v>
      </c>
      <c r="I15" s="95">
        <f>+'DATOS GENERALES'!O28</f>
        <v>0</v>
      </c>
      <c r="J15" s="96">
        <f>+'DATOS GENERALES'!P28</f>
        <v>0</v>
      </c>
      <c r="K15" s="98">
        <f>+'DATOS GENERALES'!Q28</f>
        <v>0</v>
      </c>
      <c r="L15" s="7">
        <f>+$BC$28*$K$15</f>
        <v>0</v>
      </c>
      <c r="M15" s="7">
        <f>+$BC$28*$K$15</f>
        <v>0</v>
      </c>
      <c r="N15" s="7">
        <f>+$BC$28*$K$15</f>
        <v>0</v>
      </c>
      <c r="O15" s="7">
        <f>+$BC$28*$K$15</f>
        <v>0</v>
      </c>
      <c r="P15" s="82">
        <f>+$BC$28*$K$15</f>
        <v>0</v>
      </c>
      <c r="S15"/>
    </row>
    <row r="16" spans="2:19" ht="12.75">
      <c r="B16" s="273">
        <f>+'DATOS GENERALES'!M29</f>
        <v>0</v>
      </c>
      <c r="C16" s="92">
        <f>+'DATOS GENERALES'!O29</f>
        <v>0</v>
      </c>
      <c r="D16" s="274">
        <f>+'DATOS GENERALES'!P29</f>
        <v>0</v>
      </c>
      <c r="G16" s="467">
        <f t="shared" si="0"/>
        <v>0</v>
      </c>
      <c r="H16" s="195">
        <f>+'DATOS GENERALES'!M29</f>
        <v>0</v>
      </c>
      <c r="I16" s="95">
        <f>+'DATOS GENERALES'!O29</f>
        <v>0</v>
      </c>
      <c r="J16" s="96">
        <f>+'DATOS GENERALES'!P29</f>
        <v>0</v>
      </c>
      <c r="K16" s="98">
        <f>+'DATOS GENERALES'!Q29</f>
        <v>0</v>
      </c>
      <c r="L16" s="7">
        <f>+$BK$28*$K$16</f>
        <v>0</v>
      </c>
      <c r="M16" s="7">
        <f>+$BK$34*$K$16</f>
        <v>0</v>
      </c>
      <c r="N16" s="7">
        <f>+$BK$40*$K$16</f>
        <v>0</v>
      </c>
      <c r="O16" s="7">
        <f>+$BK$46*$K$16</f>
        <v>0</v>
      </c>
      <c r="P16" s="82">
        <f>+$BK$52*$K$16</f>
        <v>0</v>
      </c>
      <c r="S16"/>
    </row>
    <row r="17" spans="2:19" ht="12.75">
      <c r="B17" s="273">
        <f>+'DATOS GENERALES'!M30</f>
        <v>0</v>
      </c>
      <c r="C17" s="92">
        <f>+'DATOS GENERALES'!O30</f>
        <v>0</v>
      </c>
      <c r="D17" s="274">
        <f>+'DATOS GENERALES'!P30</f>
        <v>0</v>
      </c>
      <c r="G17" s="467">
        <f t="shared" si="0"/>
        <v>0</v>
      </c>
      <c r="H17" s="195">
        <f>+'DATOS GENERALES'!M30</f>
        <v>0</v>
      </c>
      <c r="I17" s="95">
        <f>+'DATOS GENERALES'!O30</f>
        <v>0</v>
      </c>
      <c r="J17" s="96">
        <f>+'DATOS GENERALES'!P30</f>
        <v>0</v>
      </c>
      <c r="K17" s="98">
        <f>+'DATOS GENERALES'!Q30</f>
        <v>0</v>
      </c>
      <c r="L17" s="7">
        <f>+$BS$28*$K$17</f>
        <v>0</v>
      </c>
      <c r="M17" s="7">
        <f>+$BS$34*$K$17</f>
        <v>0</v>
      </c>
      <c r="N17" s="7">
        <f>+$BS$40*$K$17</f>
        <v>0</v>
      </c>
      <c r="O17" s="7">
        <f>+$BS$46*$K$17</f>
        <v>0</v>
      </c>
      <c r="P17" s="82">
        <f>+$BS$52*$K$17</f>
        <v>0</v>
      </c>
      <c r="S17"/>
    </row>
    <row r="18" spans="2:19" ht="12.75">
      <c r="B18" s="76">
        <f>+'DATOS GENERALES'!M31</f>
        <v>0</v>
      </c>
      <c r="C18" s="275">
        <f>+'DATOS GENERALES'!O31</f>
        <v>0</v>
      </c>
      <c r="D18" s="276">
        <f>+'DATOS GENERALES'!P31</f>
        <v>0</v>
      </c>
      <c r="G18" s="467">
        <f t="shared" si="0"/>
        <v>0</v>
      </c>
      <c r="H18" s="195">
        <f>+'DATOS GENERALES'!M31</f>
        <v>0</v>
      </c>
      <c r="I18" s="95">
        <f>+'DATOS GENERALES'!O31</f>
        <v>0</v>
      </c>
      <c r="J18" s="96">
        <f>+'DATOS GENERALES'!P31</f>
        <v>0</v>
      </c>
      <c r="K18" s="98">
        <f>+'DATOS GENERALES'!Q31</f>
        <v>0</v>
      </c>
      <c r="L18" s="24">
        <f>+$CA$28*$K$18</f>
        <v>0</v>
      </c>
      <c r="M18" s="24">
        <f>+$CA$34*$K$18</f>
        <v>0</v>
      </c>
      <c r="N18" s="24">
        <f>+$CA$40*$K$18</f>
        <v>0</v>
      </c>
      <c r="O18" s="24">
        <f>+$CA$46*$K$18</f>
        <v>0</v>
      </c>
      <c r="P18" s="188">
        <f>+$CA$52*$K$18</f>
        <v>0</v>
      </c>
      <c r="S18"/>
    </row>
    <row r="19" spans="8:19" ht="12.75">
      <c r="H19" s="281" t="s">
        <v>2</v>
      </c>
      <c r="I19" s="282" t="s">
        <v>0</v>
      </c>
      <c r="J19" s="282" t="s">
        <v>0</v>
      </c>
      <c r="K19" s="283" t="s">
        <v>0</v>
      </c>
      <c r="L19" s="284">
        <f>SUM(L9:L18)</f>
        <v>0</v>
      </c>
      <c r="M19" s="284">
        <f>SUM(M9:M18)</f>
        <v>0</v>
      </c>
      <c r="N19" s="284">
        <f>SUM(N9:N18)</f>
        <v>0</v>
      </c>
      <c r="O19" s="284">
        <f>SUM(O9:O18)</f>
        <v>0</v>
      </c>
      <c r="P19" s="285">
        <f>SUM(P9:P18)</f>
        <v>0</v>
      </c>
      <c r="S19"/>
    </row>
    <row r="21" spans="2:76" ht="12.75">
      <c r="B21" s="1" t="str">
        <f>+B2</f>
        <v>NOMBRE DE LA EMPRESA:</v>
      </c>
      <c r="C21" s="328" t="str">
        <f>+C2</f>
        <v>Gas Metano</v>
      </c>
      <c r="D21" s="327"/>
      <c r="E21" s="327"/>
      <c r="F21" s="327"/>
      <c r="J21" s="1" t="str">
        <f>+$B$2</f>
        <v>NOMBRE DE LA EMPRESA:</v>
      </c>
      <c r="L21" s="328" t="str">
        <f>+I3</f>
        <v>Gas Metano</v>
      </c>
      <c r="M21" s="327"/>
      <c r="N21" s="327"/>
      <c r="O21" s="327"/>
      <c r="R21" t="s">
        <v>0</v>
      </c>
      <c r="S21" s="101" t="s">
        <v>0</v>
      </c>
      <c r="Z21" t="s">
        <v>0</v>
      </c>
      <c r="AA21" s="101" t="s">
        <v>0</v>
      </c>
      <c r="AH21" t="s">
        <v>0</v>
      </c>
      <c r="AI21" s="101" t="s">
        <v>0</v>
      </c>
      <c r="AP21" t="s">
        <v>0</v>
      </c>
      <c r="AQ21" s="101" t="s">
        <v>0</v>
      </c>
      <c r="AR21" t="s">
        <v>0</v>
      </c>
      <c r="AX21" t="s">
        <v>0</v>
      </c>
      <c r="AY21" s="101" t="s">
        <v>0</v>
      </c>
      <c r="AZ21" t="s">
        <v>0</v>
      </c>
      <c r="BF21" t="s">
        <v>0</v>
      </c>
      <c r="BG21" s="101" t="s">
        <v>0</v>
      </c>
      <c r="BN21" t="s">
        <v>0</v>
      </c>
      <c r="BO21" s="101" t="s">
        <v>0</v>
      </c>
      <c r="BV21" t="s">
        <v>0</v>
      </c>
      <c r="BW21" s="1" t="s">
        <v>0</v>
      </c>
      <c r="BX21" t="s">
        <v>0</v>
      </c>
    </row>
    <row r="23" spans="2:74" ht="12.75">
      <c r="B23" s="1" t="s">
        <v>186</v>
      </c>
      <c r="J23" s="1" t="s">
        <v>186</v>
      </c>
      <c r="R23" s="1" t="s">
        <v>186</v>
      </c>
      <c r="Z23" s="1" t="s">
        <v>186</v>
      </c>
      <c r="AH23" s="1" t="s">
        <v>186</v>
      </c>
      <c r="AP23" s="1" t="s">
        <v>186</v>
      </c>
      <c r="AX23" s="1" t="s">
        <v>186</v>
      </c>
      <c r="BF23" s="1" t="s">
        <v>186</v>
      </c>
      <c r="BN23" s="1" t="s">
        <v>186</v>
      </c>
      <c r="BV23" s="1" t="s">
        <v>186</v>
      </c>
    </row>
    <row r="24" spans="2:74" ht="12.75">
      <c r="B24" s="1" t="s">
        <v>14</v>
      </c>
      <c r="J24" s="1" t="s">
        <v>14</v>
      </c>
      <c r="R24" s="1" t="s">
        <v>14</v>
      </c>
      <c r="Z24" s="1" t="s">
        <v>14</v>
      </c>
      <c r="AH24" s="1" t="s">
        <v>14</v>
      </c>
      <c r="AP24" s="1" t="s">
        <v>14</v>
      </c>
      <c r="AX24" s="1" t="s">
        <v>14</v>
      </c>
      <c r="BF24" s="1" t="s">
        <v>14</v>
      </c>
      <c r="BN24" s="1" t="s">
        <v>14</v>
      </c>
      <c r="BV24" s="1" t="s">
        <v>14</v>
      </c>
    </row>
    <row r="25" spans="2:80" s="103" customFormat="1" ht="12">
      <c r="B25" s="84" t="s">
        <v>3</v>
      </c>
      <c r="C25" s="94" t="s">
        <v>4</v>
      </c>
      <c r="D25" s="102" t="s">
        <v>12</v>
      </c>
      <c r="E25" s="102" t="s">
        <v>10</v>
      </c>
      <c r="F25" s="102" t="s">
        <v>8</v>
      </c>
      <c r="G25" s="102" t="s">
        <v>7</v>
      </c>
      <c r="H25" s="85" t="s">
        <v>11</v>
      </c>
      <c r="J25" s="84" t="s">
        <v>3</v>
      </c>
      <c r="K25" s="94" t="s">
        <v>4</v>
      </c>
      <c r="L25" s="102" t="s">
        <v>12</v>
      </c>
      <c r="M25" s="102" t="s">
        <v>10</v>
      </c>
      <c r="N25" s="102" t="s">
        <v>8</v>
      </c>
      <c r="O25" s="102" t="s">
        <v>7</v>
      </c>
      <c r="P25" s="85" t="s">
        <v>11</v>
      </c>
      <c r="R25" s="84" t="s">
        <v>3</v>
      </c>
      <c r="S25" s="94" t="s">
        <v>4</v>
      </c>
      <c r="T25" s="102" t="s">
        <v>12</v>
      </c>
      <c r="U25" s="102" t="s">
        <v>10</v>
      </c>
      <c r="V25" s="102" t="s">
        <v>8</v>
      </c>
      <c r="W25" s="102" t="s">
        <v>7</v>
      </c>
      <c r="X25" s="85" t="s">
        <v>11</v>
      </c>
      <c r="Z25" s="84" t="s">
        <v>3</v>
      </c>
      <c r="AA25" s="94" t="s">
        <v>4</v>
      </c>
      <c r="AB25" s="102" t="s">
        <v>12</v>
      </c>
      <c r="AC25" s="102" t="s">
        <v>10</v>
      </c>
      <c r="AD25" s="102" t="s">
        <v>8</v>
      </c>
      <c r="AE25" s="102" t="s">
        <v>7</v>
      </c>
      <c r="AF25" s="85" t="s">
        <v>11</v>
      </c>
      <c r="AH25" s="84" t="s">
        <v>3</v>
      </c>
      <c r="AI25" s="94" t="s">
        <v>4</v>
      </c>
      <c r="AJ25" s="102" t="s">
        <v>12</v>
      </c>
      <c r="AK25" s="102" t="s">
        <v>10</v>
      </c>
      <c r="AL25" s="102" t="s">
        <v>8</v>
      </c>
      <c r="AM25" s="102" t="s">
        <v>7</v>
      </c>
      <c r="AN25" s="85" t="s">
        <v>11</v>
      </c>
      <c r="AP25" s="84" t="s">
        <v>3</v>
      </c>
      <c r="AQ25" s="94" t="s">
        <v>4</v>
      </c>
      <c r="AR25" s="102" t="s">
        <v>12</v>
      </c>
      <c r="AS25" s="102" t="s">
        <v>10</v>
      </c>
      <c r="AT25" s="102" t="s">
        <v>8</v>
      </c>
      <c r="AU25" s="102" t="s">
        <v>7</v>
      </c>
      <c r="AV25" s="85" t="s">
        <v>11</v>
      </c>
      <c r="AX25" s="84" t="s">
        <v>3</v>
      </c>
      <c r="AY25" s="94" t="s">
        <v>4</v>
      </c>
      <c r="AZ25" s="102" t="s">
        <v>12</v>
      </c>
      <c r="BA25" s="102" t="s">
        <v>10</v>
      </c>
      <c r="BB25" s="102" t="s">
        <v>8</v>
      </c>
      <c r="BC25" s="102" t="s">
        <v>7</v>
      </c>
      <c r="BD25" s="85" t="s">
        <v>11</v>
      </c>
      <c r="BF25" s="84" t="s">
        <v>3</v>
      </c>
      <c r="BG25" s="94" t="s">
        <v>4</v>
      </c>
      <c r="BH25" s="102" t="s">
        <v>12</v>
      </c>
      <c r="BI25" s="102" t="s">
        <v>10</v>
      </c>
      <c r="BJ25" s="102" t="s">
        <v>8</v>
      </c>
      <c r="BK25" s="102" t="s">
        <v>7</v>
      </c>
      <c r="BL25" s="85" t="s">
        <v>11</v>
      </c>
      <c r="BN25" s="84" t="s">
        <v>3</v>
      </c>
      <c r="BO25" s="94" t="s">
        <v>4</v>
      </c>
      <c r="BP25" s="102" t="s">
        <v>12</v>
      </c>
      <c r="BQ25" s="102" t="s">
        <v>10</v>
      </c>
      <c r="BR25" s="102" t="s">
        <v>8</v>
      </c>
      <c r="BS25" s="102" t="s">
        <v>7</v>
      </c>
      <c r="BT25" s="85" t="s">
        <v>11</v>
      </c>
      <c r="BV25" s="66" t="s">
        <v>3</v>
      </c>
      <c r="BW25" s="102" t="s">
        <v>4</v>
      </c>
      <c r="BX25" s="102" t="s">
        <v>12</v>
      </c>
      <c r="BY25" s="102" t="s">
        <v>10</v>
      </c>
      <c r="BZ25" s="102" t="s">
        <v>8</v>
      </c>
      <c r="CA25" s="102" t="s">
        <v>7</v>
      </c>
      <c r="CB25" s="85" t="s">
        <v>11</v>
      </c>
    </row>
    <row r="26" spans="2:80" s="2" customFormat="1" ht="12.75">
      <c r="B26" s="11" t="str">
        <f>+$B$9</f>
        <v>Agua</v>
      </c>
      <c r="C26" s="16" t="str">
        <f>+$C$9</f>
        <v>Mts3</v>
      </c>
      <c r="D26" s="17">
        <f>+$D$9</f>
        <v>0.011</v>
      </c>
      <c r="E26" s="18">
        <f>+PRODUCCIÓN!$F$11</f>
        <v>266400</v>
      </c>
      <c r="F26" s="18">
        <v>0</v>
      </c>
      <c r="G26" s="19">
        <v>0</v>
      </c>
      <c r="H26" s="8">
        <f>(D26*E26)-F26+G26</f>
        <v>2930.3999999999996</v>
      </c>
      <c r="J26" s="63" t="str">
        <f>+$B$10</f>
        <v>Residuos Orgánicos</v>
      </c>
      <c r="K26" s="99" t="str">
        <f>+$C$10</f>
        <v>Kgm</v>
      </c>
      <c r="L26" s="17">
        <f>+$D$10</f>
        <v>1.2</v>
      </c>
      <c r="M26" s="18">
        <f>+PRODUCCIÓN!$F$11</f>
        <v>266400</v>
      </c>
      <c r="N26" s="18">
        <v>0</v>
      </c>
      <c r="O26" s="18">
        <v>0</v>
      </c>
      <c r="P26" s="8">
        <f>(L26*M26)-N26+O26</f>
        <v>319680</v>
      </c>
      <c r="R26" s="63" t="str">
        <f>+$B$11</f>
        <v>Estiercol</v>
      </c>
      <c r="S26" s="99" t="str">
        <f>+$C$11</f>
        <v>Kgm</v>
      </c>
      <c r="T26" s="17">
        <f>+$D$11</f>
        <v>2.5</v>
      </c>
      <c r="U26" s="18">
        <f>+PRODUCCIÓN!$F$11</f>
        <v>266400</v>
      </c>
      <c r="V26" s="18">
        <v>0</v>
      </c>
      <c r="W26" s="18">
        <v>0</v>
      </c>
      <c r="X26" s="8">
        <f>(T26*U26)-V26+W26</f>
        <v>666000</v>
      </c>
      <c r="Z26" s="63">
        <f>+$B$12</f>
        <v>0</v>
      </c>
      <c r="AA26" s="99">
        <f>+$C$12</f>
        <v>0</v>
      </c>
      <c r="AB26" s="17">
        <f>+$D$12</f>
        <v>0</v>
      </c>
      <c r="AC26" s="18">
        <f>+PRODUCCIÓN!$F$11</f>
        <v>266400</v>
      </c>
      <c r="AD26" s="18">
        <v>0</v>
      </c>
      <c r="AE26" s="18">
        <v>0</v>
      </c>
      <c r="AF26" s="8">
        <f>(AB26*AC26)-AD26+AE26</f>
        <v>0</v>
      </c>
      <c r="AH26" s="63">
        <f>+$B$13</f>
        <v>0</v>
      </c>
      <c r="AI26" s="99">
        <f>+$C$13</f>
        <v>0</v>
      </c>
      <c r="AJ26" s="17">
        <f>+$D$13</f>
        <v>0</v>
      </c>
      <c r="AK26" s="18">
        <f>+PRODUCCIÓN!$F$11</f>
        <v>266400</v>
      </c>
      <c r="AL26" s="18">
        <v>0</v>
      </c>
      <c r="AM26" s="18">
        <v>0</v>
      </c>
      <c r="AN26" s="8">
        <f>(AJ26*AK26)-AL26+AM26</f>
        <v>0</v>
      </c>
      <c r="AP26" s="63">
        <f>+$B$14</f>
        <v>0</v>
      </c>
      <c r="AQ26" s="99">
        <f>+$C$14</f>
        <v>0</v>
      </c>
      <c r="AR26" s="39">
        <f>+$D$14</f>
        <v>0</v>
      </c>
      <c r="AS26" s="18">
        <f>+PRODUCCIÓN!$F$11</f>
        <v>266400</v>
      </c>
      <c r="AT26" s="18">
        <v>0</v>
      </c>
      <c r="AU26" s="18">
        <v>0</v>
      </c>
      <c r="AV26" s="8">
        <f>(AR26*AS26)-AT26+AU26</f>
        <v>0</v>
      </c>
      <c r="AX26" s="63">
        <f>+$B$15</f>
        <v>0</v>
      </c>
      <c r="AY26" s="99">
        <f>+$C$15</f>
        <v>0</v>
      </c>
      <c r="AZ26" s="17">
        <f>+$D$15</f>
        <v>0</v>
      </c>
      <c r="BA26" s="18">
        <f>+PRODUCCIÓN!$F$11</f>
        <v>266400</v>
      </c>
      <c r="BB26" s="18">
        <v>0</v>
      </c>
      <c r="BC26" s="18">
        <v>0</v>
      </c>
      <c r="BD26" s="8">
        <f>(AZ26*BA26)-BB26+BC26</f>
        <v>0</v>
      </c>
      <c r="BF26" s="63">
        <f>+$B$16</f>
        <v>0</v>
      </c>
      <c r="BG26" s="99">
        <f>+$C$16</f>
        <v>0</v>
      </c>
      <c r="BH26" s="17">
        <f>+$D$16</f>
        <v>0</v>
      </c>
      <c r="BI26" s="18">
        <f>+PRODUCCIÓN!$F$11</f>
        <v>266400</v>
      </c>
      <c r="BJ26" s="18">
        <v>0</v>
      </c>
      <c r="BK26" s="18">
        <v>0</v>
      </c>
      <c r="BL26" s="8">
        <f>(BH26*BI26)-BJ26+BK26</f>
        <v>0</v>
      </c>
      <c r="BN26" s="63">
        <f>+$B$17</f>
        <v>0</v>
      </c>
      <c r="BO26" s="99">
        <f>+$C$17</f>
        <v>0</v>
      </c>
      <c r="BP26" s="17">
        <f>+$D$17</f>
        <v>0</v>
      </c>
      <c r="BQ26" s="18">
        <f>+PRODUCCIÓN!$F$11</f>
        <v>266400</v>
      </c>
      <c r="BR26" s="18">
        <v>0</v>
      </c>
      <c r="BS26" s="18">
        <v>0</v>
      </c>
      <c r="BT26" s="8">
        <f>(BP26*BQ26)-BR26+BS26</f>
        <v>0</v>
      </c>
      <c r="BV26" s="65">
        <f>+$B$18</f>
        <v>0</v>
      </c>
      <c r="BW26" s="27">
        <f>+$C$18</f>
        <v>0</v>
      </c>
      <c r="BX26" s="17">
        <f>+$D$18</f>
        <v>0</v>
      </c>
      <c r="BY26" s="18">
        <f>+PRODUCCIÓN!$F$11</f>
        <v>266400</v>
      </c>
      <c r="BZ26" s="18">
        <v>0</v>
      </c>
      <c r="CA26" s="18">
        <v>0</v>
      </c>
      <c r="CB26" s="8">
        <f>(BX26*BY26)-BZ26+CA26</f>
        <v>0</v>
      </c>
    </row>
    <row r="27" spans="2:80" s="2" customFormat="1" ht="12.75">
      <c r="B27" s="11" t="s">
        <v>0</v>
      </c>
      <c r="C27" s="16"/>
      <c r="D27" s="12"/>
      <c r="E27" s="14" t="s">
        <v>0</v>
      </c>
      <c r="F27" s="13" t="s">
        <v>0</v>
      </c>
      <c r="G27" s="15" t="s">
        <v>0</v>
      </c>
      <c r="H27" s="6" t="s">
        <v>0</v>
      </c>
      <c r="J27" s="63" t="s">
        <v>0</v>
      </c>
      <c r="K27" s="99"/>
      <c r="L27" s="12"/>
      <c r="M27" s="14" t="s">
        <v>0</v>
      </c>
      <c r="N27" s="13" t="s">
        <v>0</v>
      </c>
      <c r="O27" s="15" t="s">
        <v>0</v>
      </c>
      <c r="P27" s="6" t="s">
        <v>0</v>
      </c>
      <c r="R27" s="63" t="s">
        <v>0</v>
      </c>
      <c r="S27" s="99"/>
      <c r="T27" s="12"/>
      <c r="U27" s="14" t="s">
        <v>0</v>
      </c>
      <c r="V27" s="13" t="s">
        <v>0</v>
      </c>
      <c r="W27" s="15" t="s">
        <v>0</v>
      </c>
      <c r="X27" s="6" t="s">
        <v>0</v>
      </c>
      <c r="Z27" s="63" t="s">
        <v>0</v>
      </c>
      <c r="AA27" s="99"/>
      <c r="AB27" s="12"/>
      <c r="AC27" s="14" t="s">
        <v>0</v>
      </c>
      <c r="AD27" s="13" t="s">
        <v>0</v>
      </c>
      <c r="AE27" s="15" t="s">
        <v>0</v>
      </c>
      <c r="AF27" s="6" t="s">
        <v>0</v>
      </c>
      <c r="AH27" s="63" t="s">
        <v>0</v>
      </c>
      <c r="AI27" s="99"/>
      <c r="AJ27" s="12"/>
      <c r="AK27" s="14" t="s">
        <v>0</v>
      </c>
      <c r="AL27" s="13" t="s">
        <v>0</v>
      </c>
      <c r="AM27" s="15" t="s">
        <v>0</v>
      </c>
      <c r="AN27" s="6" t="s">
        <v>0</v>
      </c>
      <c r="AP27" s="63" t="s">
        <v>0</v>
      </c>
      <c r="AQ27" s="99"/>
      <c r="AR27" s="41"/>
      <c r="AS27" s="14" t="s">
        <v>0</v>
      </c>
      <c r="AT27" s="13" t="s">
        <v>0</v>
      </c>
      <c r="AU27" s="15" t="s">
        <v>0</v>
      </c>
      <c r="AV27" s="6" t="s">
        <v>0</v>
      </c>
      <c r="AX27" s="63" t="s">
        <v>0</v>
      </c>
      <c r="AY27" s="99"/>
      <c r="AZ27" s="12"/>
      <c r="BA27" s="14" t="s">
        <v>0</v>
      </c>
      <c r="BB27" s="13" t="s">
        <v>0</v>
      </c>
      <c r="BC27" s="15" t="s">
        <v>0</v>
      </c>
      <c r="BD27" s="6" t="s">
        <v>0</v>
      </c>
      <c r="BF27" s="63" t="s">
        <v>0</v>
      </c>
      <c r="BG27" s="99"/>
      <c r="BH27" s="12"/>
      <c r="BI27" s="14" t="s">
        <v>0</v>
      </c>
      <c r="BJ27" s="13" t="s">
        <v>0</v>
      </c>
      <c r="BK27" s="15" t="s">
        <v>0</v>
      </c>
      <c r="BL27" s="6" t="s">
        <v>0</v>
      </c>
      <c r="BN27" s="63" t="s">
        <v>0</v>
      </c>
      <c r="BO27" s="99"/>
      <c r="BP27" s="12"/>
      <c r="BQ27" s="14" t="s">
        <v>0</v>
      </c>
      <c r="BR27" s="13" t="s">
        <v>0</v>
      </c>
      <c r="BS27" s="15" t="s">
        <v>0</v>
      </c>
      <c r="BT27" s="6" t="s">
        <v>0</v>
      </c>
      <c r="BV27" s="26" t="s">
        <v>0</v>
      </c>
      <c r="BW27" s="27"/>
      <c r="BX27" s="12"/>
      <c r="BY27" s="14" t="s">
        <v>0</v>
      </c>
      <c r="BZ27" s="13" t="s">
        <v>0</v>
      </c>
      <c r="CA27" s="15" t="s">
        <v>0</v>
      </c>
      <c r="CB27" s="6" t="s">
        <v>0</v>
      </c>
    </row>
    <row r="28" spans="2:80" s="2" customFormat="1" ht="12.75">
      <c r="B28" s="20" t="s">
        <v>2</v>
      </c>
      <c r="C28" s="34" t="s">
        <v>0</v>
      </c>
      <c r="D28" s="9">
        <f>+D26</f>
        <v>0.011</v>
      </c>
      <c r="E28" s="9">
        <f>+E26</f>
        <v>266400</v>
      </c>
      <c r="F28" s="9">
        <f>+F26</f>
        <v>0</v>
      </c>
      <c r="G28" s="9">
        <f>+G26</f>
        <v>0</v>
      </c>
      <c r="H28" s="10">
        <f>+H26</f>
        <v>2930.3999999999996</v>
      </c>
      <c r="J28" s="64" t="s">
        <v>2</v>
      </c>
      <c r="K28" s="100" t="s">
        <v>0</v>
      </c>
      <c r="L28" s="9">
        <f>+L26</f>
        <v>1.2</v>
      </c>
      <c r="M28" s="9">
        <f>+M26</f>
        <v>266400</v>
      </c>
      <c r="N28" s="9">
        <f>+N26</f>
        <v>0</v>
      </c>
      <c r="O28" s="9">
        <f>+O26</f>
        <v>0</v>
      </c>
      <c r="P28" s="10">
        <f>+P26</f>
        <v>319680</v>
      </c>
      <c r="R28" s="64" t="s">
        <v>2</v>
      </c>
      <c r="S28" s="100" t="s">
        <v>0</v>
      </c>
      <c r="T28" s="9">
        <f>+T26</f>
        <v>2.5</v>
      </c>
      <c r="U28" s="9">
        <f>+U26</f>
        <v>266400</v>
      </c>
      <c r="V28" s="9">
        <f>+V26</f>
        <v>0</v>
      </c>
      <c r="W28" s="9">
        <f>+W26</f>
        <v>0</v>
      </c>
      <c r="X28" s="10">
        <f>+X26</f>
        <v>666000</v>
      </c>
      <c r="Z28" s="64" t="s">
        <v>2</v>
      </c>
      <c r="AA28" s="100" t="s">
        <v>0</v>
      </c>
      <c r="AB28" s="9">
        <f>+AB26</f>
        <v>0</v>
      </c>
      <c r="AC28" s="9">
        <f>+AC26</f>
        <v>266400</v>
      </c>
      <c r="AD28" s="9">
        <f>+AD26</f>
        <v>0</v>
      </c>
      <c r="AE28" s="9">
        <f>+AE26</f>
        <v>0</v>
      </c>
      <c r="AF28" s="10">
        <f>+AF26</f>
        <v>0</v>
      </c>
      <c r="AH28" s="64" t="s">
        <v>2</v>
      </c>
      <c r="AI28" s="100" t="s">
        <v>0</v>
      </c>
      <c r="AJ28" s="9">
        <f>+AJ26</f>
        <v>0</v>
      </c>
      <c r="AK28" s="9">
        <f>+AK26</f>
        <v>266400</v>
      </c>
      <c r="AL28" s="9">
        <f>+AL26</f>
        <v>0</v>
      </c>
      <c r="AM28" s="9">
        <f>+AM26</f>
        <v>0</v>
      </c>
      <c r="AN28" s="10">
        <f>+AN26</f>
        <v>0</v>
      </c>
      <c r="AP28" s="64" t="s">
        <v>2</v>
      </c>
      <c r="AQ28" s="100" t="s">
        <v>0</v>
      </c>
      <c r="AR28" s="111">
        <f>+AR26</f>
        <v>0</v>
      </c>
      <c r="AS28" s="9">
        <f>+AS26</f>
        <v>266400</v>
      </c>
      <c r="AT28" s="9">
        <f>+AT26</f>
        <v>0</v>
      </c>
      <c r="AU28" s="9">
        <f>+AU26</f>
        <v>0</v>
      </c>
      <c r="AV28" s="10">
        <f>+AV26</f>
        <v>0</v>
      </c>
      <c r="AX28" s="64" t="s">
        <v>2</v>
      </c>
      <c r="AY28" s="100" t="s">
        <v>0</v>
      </c>
      <c r="AZ28" s="9">
        <f>+AZ26</f>
        <v>0</v>
      </c>
      <c r="BA28" s="9">
        <f>+BA26</f>
        <v>266400</v>
      </c>
      <c r="BB28" s="9">
        <f>+BB26</f>
        <v>0</v>
      </c>
      <c r="BC28" s="9">
        <f>+BC26</f>
        <v>0</v>
      </c>
      <c r="BD28" s="10">
        <f>+BD26</f>
        <v>0</v>
      </c>
      <c r="BF28" s="64" t="s">
        <v>2</v>
      </c>
      <c r="BG28" s="100" t="s">
        <v>0</v>
      </c>
      <c r="BH28" s="9">
        <f>+BH26</f>
        <v>0</v>
      </c>
      <c r="BI28" s="9">
        <f>+BI26</f>
        <v>266400</v>
      </c>
      <c r="BJ28" s="9">
        <f>+BJ26</f>
        <v>0</v>
      </c>
      <c r="BK28" s="9">
        <f>+BK26</f>
        <v>0</v>
      </c>
      <c r="BL28" s="10">
        <f>+BL26</f>
        <v>0</v>
      </c>
      <c r="BN28" s="64" t="s">
        <v>2</v>
      </c>
      <c r="BO28" s="100" t="s">
        <v>0</v>
      </c>
      <c r="BP28" s="9">
        <f>+BP26</f>
        <v>0</v>
      </c>
      <c r="BQ28" s="9">
        <f>+BQ26</f>
        <v>266400</v>
      </c>
      <c r="BR28" s="9">
        <f>+BR26</f>
        <v>0</v>
      </c>
      <c r="BS28" s="9">
        <f>+BS26</f>
        <v>0</v>
      </c>
      <c r="BT28" s="10">
        <f>+BT26</f>
        <v>0</v>
      </c>
      <c r="BV28" s="28" t="s">
        <v>2</v>
      </c>
      <c r="BW28" s="9" t="s">
        <v>0</v>
      </c>
      <c r="BX28" s="9">
        <f>+BX26</f>
        <v>0</v>
      </c>
      <c r="BY28" s="9">
        <f>+BY26</f>
        <v>266400</v>
      </c>
      <c r="BZ28" s="9">
        <f>+BZ26</f>
        <v>0</v>
      </c>
      <c r="CA28" s="9">
        <f>+CA26</f>
        <v>0</v>
      </c>
      <c r="CB28" s="10">
        <f>+CB26</f>
        <v>0</v>
      </c>
    </row>
    <row r="29" ht="12.75">
      <c r="AR29" s="112"/>
    </row>
    <row r="30" spans="2:74" ht="12.75">
      <c r="B30" s="1" t="s">
        <v>190</v>
      </c>
      <c r="J30" s="1" t="s">
        <v>190</v>
      </c>
      <c r="R30" s="1" t="s">
        <v>190</v>
      </c>
      <c r="Z30" s="1" t="s">
        <v>190</v>
      </c>
      <c r="AH30" s="1" t="s">
        <v>190</v>
      </c>
      <c r="AP30" s="1" t="s">
        <v>190</v>
      </c>
      <c r="AR30" s="112"/>
      <c r="AX30" s="1" t="s">
        <v>190</v>
      </c>
      <c r="BF30" s="1" t="s">
        <v>190</v>
      </c>
      <c r="BN30" s="1" t="s">
        <v>190</v>
      </c>
      <c r="BV30" s="1" t="s">
        <v>190</v>
      </c>
    </row>
    <row r="31" spans="2:80" s="103" customFormat="1" ht="12">
      <c r="B31" s="84" t="s">
        <v>3</v>
      </c>
      <c r="C31" s="94" t="s">
        <v>4</v>
      </c>
      <c r="D31" s="102" t="s">
        <v>12</v>
      </c>
      <c r="E31" s="102" t="s">
        <v>10</v>
      </c>
      <c r="F31" s="102" t="s">
        <v>8</v>
      </c>
      <c r="G31" s="102" t="s">
        <v>7</v>
      </c>
      <c r="H31" s="85" t="s">
        <v>11</v>
      </c>
      <c r="J31" s="84" t="s">
        <v>3</v>
      </c>
      <c r="K31" s="94" t="s">
        <v>4</v>
      </c>
      <c r="L31" s="102" t="s">
        <v>12</v>
      </c>
      <c r="M31" s="102" t="s">
        <v>10</v>
      </c>
      <c r="N31" s="102" t="s">
        <v>8</v>
      </c>
      <c r="O31" s="102" t="s">
        <v>7</v>
      </c>
      <c r="P31" s="85" t="s">
        <v>11</v>
      </c>
      <c r="R31" s="84" t="s">
        <v>3</v>
      </c>
      <c r="S31" s="94" t="s">
        <v>4</v>
      </c>
      <c r="T31" s="102" t="s">
        <v>12</v>
      </c>
      <c r="U31" s="102" t="s">
        <v>10</v>
      </c>
      <c r="V31" s="102" t="s">
        <v>8</v>
      </c>
      <c r="W31" s="102" t="s">
        <v>7</v>
      </c>
      <c r="X31" s="85" t="s">
        <v>11</v>
      </c>
      <c r="Z31" s="84" t="s">
        <v>3</v>
      </c>
      <c r="AA31" s="94" t="s">
        <v>4</v>
      </c>
      <c r="AB31" s="102" t="s">
        <v>12</v>
      </c>
      <c r="AC31" s="102" t="s">
        <v>10</v>
      </c>
      <c r="AD31" s="102" t="s">
        <v>8</v>
      </c>
      <c r="AE31" s="102" t="s">
        <v>7</v>
      </c>
      <c r="AF31" s="85" t="s">
        <v>11</v>
      </c>
      <c r="AH31" s="84" t="s">
        <v>3</v>
      </c>
      <c r="AI31" s="94" t="s">
        <v>4</v>
      </c>
      <c r="AJ31" s="102" t="s">
        <v>12</v>
      </c>
      <c r="AK31" s="102" t="s">
        <v>10</v>
      </c>
      <c r="AL31" s="102" t="s">
        <v>8</v>
      </c>
      <c r="AM31" s="102" t="s">
        <v>7</v>
      </c>
      <c r="AN31" s="85" t="s">
        <v>11</v>
      </c>
      <c r="AP31" s="84" t="s">
        <v>3</v>
      </c>
      <c r="AQ31" s="94" t="s">
        <v>4</v>
      </c>
      <c r="AR31" s="113" t="s">
        <v>12</v>
      </c>
      <c r="AS31" s="102" t="s">
        <v>10</v>
      </c>
      <c r="AT31" s="102" t="s">
        <v>8</v>
      </c>
      <c r="AU31" s="102" t="s">
        <v>7</v>
      </c>
      <c r="AV31" s="85" t="s">
        <v>11</v>
      </c>
      <c r="AX31" s="84" t="s">
        <v>3</v>
      </c>
      <c r="AY31" s="94" t="s">
        <v>4</v>
      </c>
      <c r="AZ31" s="102" t="s">
        <v>12</v>
      </c>
      <c r="BA31" s="102" t="s">
        <v>10</v>
      </c>
      <c r="BB31" s="102" t="s">
        <v>8</v>
      </c>
      <c r="BC31" s="102" t="s">
        <v>7</v>
      </c>
      <c r="BD31" s="85" t="s">
        <v>11</v>
      </c>
      <c r="BF31" s="84" t="s">
        <v>3</v>
      </c>
      <c r="BG31" s="94" t="s">
        <v>4</v>
      </c>
      <c r="BH31" s="102" t="s">
        <v>12</v>
      </c>
      <c r="BI31" s="102" t="s">
        <v>10</v>
      </c>
      <c r="BJ31" s="102" t="s">
        <v>8</v>
      </c>
      <c r="BK31" s="102" t="s">
        <v>7</v>
      </c>
      <c r="BL31" s="85" t="s">
        <v>11</v>
      </c>
      <c r="BN31" s="84" t="s">
        <v>3</v>
      </c>
      <c r="BO31" s="94" t="s">
        <v>4</v>
      </c>
      <c r="BP31" s="102" t="s">
        <v>12</v>
      </c>
      <c r="BQ31" s="102" t="s">
        <v>10</v>
      </c>
      <c r="BR31" s="102" t="s">
        <v>8</v>
      </c>
      <c r="BS31" s="102" t="s">
        <v>7</v>
      </c>
      <c r="BT31" s="85" t="s">
        <v>11</v>
      </c>
      <c r="BV31" s="66" t="s">
        <v>3</v>
      </c>
      <c r="BW31" s="102" t="s">
        <v>4</v>
      </c>
      <c r="BX31" s="102" t="s">
        <v>12</v>
      </c>
      <c r="BY31" s="102" t="s">
        <v>10</v>
      </c>
      <c r="BZ31" s="102" t="s">
        <v>8</v>
      </c>
      <c r="CA31" s="102" t="s">
        <v>7</v>
      </c>
      <c r="CB31" s="85" t="s">
        <v>11</v>
      </c>
    </row>
    <row r="32" spans="2:80" s="2" customFormat="1" ht="12.75">
      <c r="B32" s="11" t="str">
        <f>+$B$9</f>
        <v>Agua</v>
      </c>
      <c r="C32" s="16" t="str">
        <f>+$C$9</f>
        <v>Mts3</v>
      </c>
      <c r="D32" s="17">
        <f>+$D$9</f>
        <v>0.011</v>
      </c>
      <c r="E32" s="18">
        <f>+PRODUCCIÓN!$F$15</f>
        <v>283050</v>
      </c>
      <c r="F32" s="18">
        <v>0</v>
      </c>
      <c r="G32" s="19">
        <v>0</v>
      </c>
      <c r="H32" s="8">
        <f>(D32*E32)-F32+G32</f>
        <v>3113.5499999999997</v>
      </c>
      <c r="J32" s="63" t="str">
        <f>+$B$10</f>
        <v>Residuos Orgánicos</v>
      </c>
      <c r="K32" s="99" t="str">
        <f>+$C$10</f>
        <v>Kgm</v>
      </c>
      <c r="L32" s="17">
        <f>+$D$10</f>
        <v>1.2</v>
      </c>
      <c r="M32" s="18">
        <f>+PRODUCCIÓN!$F$15</f>
        <v>283050</v>
      </c>
      <c r="N32" s="18">
        <v>0</v>
      </c>
      <c r="O32" s="18">
        <v>0</v>
      </c>
      <c r="P32" s="8">
        <f>(L32*M32)-N32+O32</f>
        <v>339660</v>
      </c>
      <c r="R32" s="63" t="str">
        <f>+$B$11</f>
        <v>Estiercol</v>
      </c>
      <c r="S32" s="99" t="str">
        <f>+$C$11</f>
        <v>Kgm</v>
      </c>
      <c r="T32" s="17">
        <f>+$D$11</f>
        <v>2.5</v>
      </c>
      <c r="U32" s="18">
        <f>+PRODUCCIÓN!$F$15</f>
        <v>283050</v>
      </c>
      <c r="V32" s="18">
        <v>0</v>
      </c>
      <c r="W32" s="18">
        <v>0</v>
      </c>
      <c r="X32" s="8">
        <f>(T32*U32)-V32+W32</f>
        <v>707625</v>
      </c>
      <c r="Z32" s="63">
        <f>+$B$12</f>
        <v>0</v>
      </c>
      <c r="AA32" s="99">
        <f>+$C$12</f>
        <v>0</v>
      </c>
      <c r="AB32" s="17">
        <f>+$D$12</f>
        <v>0</v>
      </c>
      <c r="AC32" s="18">
        <f>+PRODUCCIÓN!$F$15</f>
        <v>283050</v>
      </c>
      <c r="AD32" s="18">
        <v>0</v>
      </c>
      <c r="AE32" s="18">
        <v>0</v>
      </c>
      <c r="AF32" s="8">
        <f>(AB32*AC32)-AD32+AE32</f>
        <v>0</v>
      </c>
      <c r="AH32" s="63">
        <f>+$B$13</f>
        <v>0</v>
      </c>
      <c r="AI32" s="99">
        <f>+$C$13</f>
        <v>0</v>
      </c>
      <c r="AJ32" s="17">
        <f>+$D$13</f>
        <v>0</v>
      </c>
      <c r="AK32" s="18">
        <f>+PRODUCCIÓN!$F$15</f>
        <v>283050</v>
      </c>
      <c r="AL32" s="18">
        <v>0</v>
      </c>
      <c r="AM32" s="18">
        <v>0</v>
      </c>
      <c r="AN32" s="8">
        <f>(AJ32*AK32)-AL32+AM32</f>
        <v>0</v>
      </c>
      <c r="AP32" s="63">
        <f>+$B$14</f>
        <v>0</v>
      </c>
      <c r="AQ32" s="99">
        <f>+$C$14</f>
        <v>0</v>
      </c>
      <c r="AR32" s="39">
        <f>+$D$14</f>
        <v>0</v>
      </c>
      <c r="AS32" s="18">
        <f>+PRODUCCIÓN!$F$15</f>
        <v>283050</v>
      </c>
      <c r="AT32" s="18">
        <v>0</v>
      </c>
      <c r="AU32" s="18">
        <v>0</v>
      </c>
      <c r="AV32" s="8">
        <f>(AR32*AS32)-AT32+AU32</f>
        <v>0</v>
      </c>
      <c r="AX32" s="63">
        <f>+$B$15</f>
        <v>0</v>
      </c>
      <c r="AY32" s="99">
        <f>+$C$15</f>
        <v>0</v>
      </c>
      <c r="AZ32" s="17">
        <f>+$D$15</f>
        <v>0</v>
      </c>
      <c r="BA32" s="18">
        <f>+PRODUCCIÓN!$F$15</f>
        <v>283050</v>
      </c>
      <c r="BB32" s="18">
        <v>0</v>
      </c>
      <c r="BC32" s="18">
        <v>0</v>
      </c>
      <c r="BD32" s="8">
        <f>(AZ32*BA32)-BB32+BC32</f>
        <v>0</v>
      </c>
      <c r="BF32" s="63">
        <f>+$B$16</f>
        <v>0</v>
      </c>
      <c r="BG32" s="99">
        <f>+$C$16</f>
        <v>0</v>
      </c>
      <c r="BH32" s="17">
        <f>+$D$16</f>
        <v>0</v>
      </c>
      <c r="BI32" s="18">
        <f>+PRODUCCIÓN!$F$17</f>
        <v>283050</v>
      </c>
      <c r="BJ32" s="18">
        <v>0</v>
      </c>
      <c r="BK32" s="18">
        <v>0</v>
      </c>
      <c r="BL32" s="8">
        <f>(BH32*BI32)-BJ32+BK32</f>
        <v>0</v>
      </c>
      <c r="BN32" s="63">
        <f>+$B$17</f>
        <v>0</v>
      </c>
      <c r="BO32" s="99">
        <f>+$C$17</f>
        <v>0</v>
      </c>
      <c r="BP32" s="17">
        <f>+$D$17</f>
        <v>0</v>
      </c>
      <c r="BQ32" s="18">
        <f>+PRODUCCIÓN!$F$15</f>
        <v>283050</v>
      </c>
      <c r="BR32" s="18">
        <v>0</v>
      </c>
      <c r="BS32" s="18">
        <v>0</v>
      </c>
      <c r="BT32" s="8">
        <f>(BP32*BQ32)-BR32+BS32</f>
        <v>0</v>
      </c>
      <c r="BV32" s="65">
        <f>+$B$18</f>
        <v>0</v>
      </c>
      <c r="BW32" s="27">
        <f>+$C$18</f>
        <v>0</v>
      </c>
      <c r="BX32" s="17">
        <f>+$D$18</f>
        <v>0</v>
      </c>
      <c r="BY32" s="18">
        <f>+PRODUCCIÓN!$F$15</f>
        <v>283050</v>
      </c>
      <c r="BZ32" s="18">
        <v>0</v>
      </c>
      <c r="CA32" s="18">
        <v>0</v>
      </c>
      <c r="CB32" s="8">
        <f>(BX32*BY32)-BZ32+CA32</f>
        <v>0</v>
      </c>
    </row>
    <row r="33" spans="2:80" s="2" customFormat="1" ht="12.75">
      <c r="B33" s="11" t="s">
        <v>0</v>
      </c>
      <c r="C33" s="16"/>
      <c r="D33" s="12"/>
      <c r="E33" s="14" t="s">
        <v>0</v>
      </c>
      <c r="F33" s="13" t="s">
        <v>0</v>
      </c>
      <c r="G33" s="15" t="s">
        <v>0</v>
      </c>
      <c r="H33" s="6" t="s">
        <v>0</v>
      </c>
      <c r="J33" s="63" t="s">
        <v>0</v>
      </c>
      <c r="K33" s="99"/>
      <c r="L33" s="12"/>
      <c r="M33" s="14" t="s">
        <v>0</v>
      </c>
      <c r="N33" s="13" t="s">
        <v>0</v>
      </c>
      <c r="O33" s="15" t="s">
        <v>0</v>
      </c>
      <c r="P33" s="6" t="s">
        <v>0</v>
      </c>
      <c r="R33" s="63" t="s">
        <v>0</v>
      </c>
      <c r="S33" s="99"/>
      <c r="T33" s="12"/>
      <c r="U33" s="14" t="s">
        <v>0</v>
      </c>
      <c r="V33" s="13" t="s">
        <v>0</v>
      </c>
      <c r="W33" s="15" t="s">
        <v>0</v>
      </c>
      <c r="X33" s="6" t="s">
        <v>0</v>
      </c>
      <c r="Z33" s="63" t="s">
        <v>0</v>
      </c>
      <c r="AA33" s="99"/>
      <c r="AB33" s="12"/>
      <c r="AC33" s="14" t="s">
        <v>0</v>
      </c>
      <c r="AD33" s="13" t="s">
        <v>0</v>
      </c>
      <c r="AE33" s="15" t="s">
        <v>0</v>
      </c>
      <c r="AF33" s="6" t="s">
        <v>0</v>
      </c>
      <c r="AH33" s="63" t="s">
        <v>0</v>
      </c>
      <c r="AI33" s="99"/>
      <c r="AJ33" s="12"/>
      <c r="AK33" s="14" t="s">
        <v>0</v>
      </c>
      <c r="AL33" s="13" t="s">
        <v>0</v>
      </c>
      <c r="AM33" s="15" t="s">
        <v>0</v>
      </c>
      <c r="AN33" s="6" t="s">
        <v>0</v>
      </c>
      <c r="AP33" s="63" t="s">
        <v>0</v>
      </c>
      <c r="AQ33" s="99"/>
      <c r="AR33" s="41"/>
      <c r="AS33" s="14" t="s">
        <v>0</v>
      </c>
      <c r="AT33" s="13" t="s">
        <v>0</v>
      </c>
      <c r="AU33" s="15" t="s">
        <v>0</v>
      </c>
      <c r="AV33" s="6" t="s">
        <v>0</v>
      </c>
      <c r="AX33" s="63" t="s">
        <v>0</v>
      </c>
      <c r="AY33" s="99"/>
      <c r="AZ33" s="12"/>
      <c r="BA33" s="14" t="s">
        <v>0</v>
      </c>
      <c r="BB33" s="13" t="s">
        <v>0</v>
      </c>
      <c r="BC33" s="15" t="s">
        <v>0</v>
      </c>
      <c r="BD33" s="6" t="s">
        <v>0</v>
      </c>
      <c r="BF33" s="63" t="s">
        <v>0</v>
      </c>
      <c r="BG33" s="99"/>
      <c r="BH33" s="12"/>
      <c r="BI33" s="14" t="s">
        <v>0</v>
      </c>
      <c r="BJ33" s="13" t="s">
        <v>0</v>
      </c>
      <c r="BK33" s="15" t="s">
        <v>0</v>
      </c>
      <c r="BL33" s="6" t="s">
        <v>0</v>
      </c>
      <c r="BN33" s="63" t="s">
        <v>0</v>
      </c>
      <c r="BO33" s="99"/>
      <c r="BP33" s="12"/>
      <c r="BQ33" s="14" t="s">
        <v>0</v>
      </c>
      <c r="BR33" s="13" t="s">
        <v>0</v>
      </c>
      <c r="BS33" s="15" t="s">
        <v>0</v>
      </c>
      <c r="BT33" s="6" t="s">
        <v>0</v>
      </c>
      <c r="BV33" s="26" t="s">
        <v>0</v>
      </c>
      <c r="BW33" s="27"/>
      <c r="BX33" s="12"/>
      <c r="BY33" s="14" t="s">
        <v>0</v>
      </c>
      <c r="BZ33" s="13" t="s">
        <v>0</v>
      </c>
      <c r="CA33" s="15" t="s">
        <v>0</v>
      </c>
      <c r="CB33" s="6" t="s">
        <v>0</v>
      </c>
    </row>
    <row r="34" spans="2:80" s="2" customFormat="1" ht="12.75">
      <c r="B34" s="20" t="s">
        <v>2</v>
      </c>
      <c r="C34" s="34" t="s">
        <v>0</v>
      </c>
      <c r="D34" s="9">
        <f>+D32</f>
        <v>0.011</v>
      </c>
      <c r="E34" s="9">
        <f>+E32</f>
        <v>283050</v>
      </c>
      <c r="F34" s="9">
        <f>+F32</f>
        <v>0</v>
      </c>
      <c r="G34" s="9">
        <f>+G32</f>
        <v>0</v>
      </c>
      <c r="H34" s="10">
        <f>+H32</f>
        <v>3113.5499999999997</v>
      </c>
      <c r="J34" s="64" t="s">
        <v>2</v>
      </c>
      <c r="K34" s="100" t="s">
        <v>0</v>
      </c>
      <c r="L34" s="9">
        <f>+L32</f>
        <v>1.2</v>
      </c>
      <c r="M34" s="9">
        <f>+M32</f>
        <v>283050</v>
      </c>
      <c r="N34" s="9">
        <f>+N32</f>
        <v>0</v>
      </c>
      <c r="O34" s="9">
        <f>+O32</f>
        <v>0</v>
      </c>
      <c r="P34" s="10">
        <f>+P32</f>
        <v>339660</v>
      </c>
      <c r="R34" s="64" t="s">
        <v>2</v>
      </c>
      <c r="S34" s="100" t="s">
        <v>0</v>
      </c>
      <c r="T34" s="9">
        <f>+T32</f>
        <v>2.5</v>
      </c>
      <c r="U34" s="9">
        <f>+U32</f>
        <v>283050</v>
      </c>
      <c r="V34" s="9">
        <f>+V32</f>
        <v>0</v>
      </c>
      <c r="W34" s="9">
        <f>+W32</f>
        <v>0</v>
      </c>
      <c r="X34" s="10">
        <f>+X32</f>
        <v>707625</v>
      </c>
      <c r="Z34" s="64" t="s">
        <v>2</v>
      </c>
      <c r="AA34" s="100" t="s">
        <v>0</v>
      </c>
      <c r="AB34" s="9">
        <f>+AB32</f>
        <v>0</v>
      </c>
      <c r="AC34" s="9">
        <f>+AC32</f>
        <v>283050</v>
      </c>
      <c r="AD34" s="9">
        <f>+AD32</f>
        <v>0</v>
      </c>
      <c r="AE34" s="9">
        <f>+AE32</f>
        <v>0</v>
      </c>
      <c r="AF34" s="10">
        <f>+AF32</f>
        <v>0</v>
      </c>
      <c r="AH34" s="64" t="s">
        <v>2</v>
      </c>
      <c r="AI34" s="100" t="s">
        <v>0</v>
      </c>
      <c r="AJ34" s="9">
        <f>+AJ32</f>
        <v>0</v>
      </c>
      <c r="AK34" s="9">
        <f>+AK32</f>
        <v>283050</v>
      </c>
      <c r="AL34" s="9">
        <f>+AL32</f>
        <v>0</v>
      </c>
      <c r="AM34" s="9">
        <f>+AM32</f>
        <v>0</v>
      </c>
      <c r="AN34" s="10">
        <f>+AN32</f>
        <v>0</v>
      </c>
      <c r="AP34" s="64" t="s">
        <v>2</v>
      </c>
      <c r="AQ34" s="100" t="s">
        <v>0</v>
      </c>
      <c r="AR34" s="111">
        <f>+AR32</f>
        <v>0</v>
      </c>
      <c r="AS34" s="9">
        <f>+AS32</f>
        <v>283050</v>
      </c>
      <c r="AT34" s="9">
        <f>+AT32</f>
        <v>0</v>
      </c>
      <c r="AU34" s="9">
        <f>+AU32</f>
        <v>0</v>
      </c>
      <c r="AV34" s="10">
        <f>+AV32</f>
        <v>0</v>
      </c>
      <c r="AX34" s="64" t="s">
        <v>2</v>
      </c>
      <c r="AY34" s="100" t="s">
        <v>0</v>
      </c>
      <c r="AZ34" s="9">
        <f>+AZ32</f>
        <v>0</v>
      </c>
      <c r="BA34" s="9">
        <f>+BA32</f>
        <v>283050</v>
      </c>
      <c r="BB34" s="9">
        <f>+BB32</f>
        <v>0</v>
      </c>
      <c r="BC34" s="9">
        <f>+BC32</f>
        <v>0</v>
      </c>
      <c r="BD34" s="10">
        <f>+BD32</f>
        <v>0</v>
      </c>
      <c r="BF34" s="64" t="s">
        <v>2</v>
      </c>
      <c r="BG34" s="100" t="s">
        <v>0</v>
      </c>
      <c r="BH34" s="9">
        <f>+BH32</f>
        <v>0</v>
      </c>
      <c r="BI34" s="9">
        <f>+BI32</f>
        <v>283050</v>
      </c>
      <c r="BJ34" s="9">
        <f>+BJ32</f>
        <v>0</v>
      </c>
      <c r="BK34" s="9">
        <f>+BK32</f>
        <v>0</v>
      </c>
      <c r="BL34" s="10">
        <f>+BL32</f>
        <v>0</v>
      </c>
      <c r="BN34" s="64" t="s">
        <v>2</v>
      </c>
      <c r="BO34" s="100" t="s">
        <v>0</v>
      </c>
      <c r="BP34" s="9">
        <f>+BP32</f>
        <v>0</v>
      </c>
      <c r="BQ34" s="9">
        <f>+BQ32</f>
        <v>283050</v>
      </c>
      <c r="BR34" s="9">
        <f>+BR32</f>
        <v>0</v>
      </c>
      <c r="BS34" s="9">
        <f>+BS32</f>
        <v>0</v>
      </c>
      <c r="BT34" s="10">
        <f>+BT32</f>
        <v>0</v>
      </c>
      <c r="BV34" s="28" t="s">
        <v>2</v>
      </c>
      <c r="BW34" s="9" t="s">
        <v>0</v>
      </c>
      <c r="BX34" s="9">
        <f>+BX32</f>
        <v>0</v>
      </c>
      <c r="BY34" s="9">
        <f>+BY32</f>
        <v>283050</v>
      </c>
      <c r="BZ34" s="9">
        <f>+BZ32</f>
        <v>0</v>
      </c>
      <c r="CA34" s="9">
        <f>+CA32</f>
        <v>0</v>
      </c>
      <c r="CB34" s="10">
        <f>+CB32</f>
        <v>0</v>
      </c>
    </row>
    <row r="35" ht="12.75">
      <c r="AR35" s="112"/>
    </row>
    <row r="36" spans="2:74" ht="12.75">
      <c r="B36" s="1" t="s">
        <v>189</v>
      </c>
      <c r="J36" s="1" t="s">
        <v>189</v>
      </c>
      <c r="R36" s="1" t="s">
        <v>189</v>
      </c>
      <c r="Z36" s="1" t="s">
        <v>189</v>
      </c>
      <c r="AH36" s="1" t="s">
        <v>189</v>
      </c>
      <c r="AP36" s="1" t="s">
        <v>189</v>
      </c>
      <c r="AR36" s="112"/>
      <c r="AX36" s="1" t="s">
        <v>189</v>
      </c>
      <c r="BF36" s="1" t="s">
        <v>189</v>
      </c>
      <c r="BN36" s="1" t="s">
        <v>189</v>
      </c>
      <c r="BV36" s="1" t="s">
        <v>189</v>
      </c>
    </row>
    <row r="37" spans="2:80" s="103" customFormat="1" ht="12">
      <c r="B37" s="84" t="s">
        <v>3</v>
      </c>
      <c r="C37" s="94" t="s">
        <v>4</v>
      </c>
      <c r="D37" s="102" t="s">
        <v>12</v>
      </c>
      <c r="E37" s="102" t="s">
        <v>10</v>
      </c>
      <c r="F37" s="102" t="s">
        <v>8</v>
      </c>
      <c r="G37" s="102" t="s">
        <v>7</v>
      </c>
      <c r="H37" s="85" t="s">
        <v>11</v>
      </c>
      <c r="J37" s="84" t="s">
        <v>3</v>
      </c>
      <c r="K37" s="94" t="s">
        <v>4</v>
      </c>
      <c r="L37" s="102" t="s">
        <v>12</v>
      </c>
      <c r="M37" s="102" t="s">
        <v>10</v>
      </c>
      <c r="N37" s="102" t="s">
        <v>8</v>
      </c>
      <c r="O37" s="102" t="s">
        <v>7</v>
      </c>
      <c r="P37" s="85" t="s">
        <v>11</v>
      </c>
      <c r="R37" s="84" t="s">
        <v>3</v>
      </c>
      <c r="S37" s="94" t="s">
        <v>4</v>
      </c>
      <c r="T37" s="102" t="s">
        <v>12</v>
      </c>
      <c r="U37" s="102" t="s">
        <v>10</v>
      </c>
      <c r="V37" s="102" t="s">
        <v>8</v>
      </c>
      <c r="W37" s="102" t="s">
        <v>7</v>
      </c>
      <c r="X37" s="85" t="s">
        <v>11</v>
      </c>
      <c r="Z37" s="84" t="s">
        <v>3</v>
      </c>
      <c r="AA37" s="94" t="s">
        <v>4</v>
      </c>
      <c r="AB37" s="102" t="s">
        <v>12</v>
      </c>
      <c r="AC37" s="102" t="s">
        <v>10</v>
      </c>
      <c r="AD37" s="102" t="s">
        <v>8</v>
      </c>
      <c r="AE37" s="102" t="s">
        <v>7</v>
      </c>
      <c r="AF37" s="85" t="s">
        <v>11</v>
      </c>
      <c r="AH37" s="84" t="s">
        <v>3</v>
      </c>
      <c r="AI37" s="94" t="s">
        <v>4</v>
      </c>
      <c r="AJ37" s="102" t="s">
        <v>12</v>
      </c>
      <c r="AK37" s="102" t="s">
        <v>10</v>
      </c>
      <c r="AL37" s="102" t="s">
        <v>8</v>
      </c>
      <c r="AM37" s="102" t="s">
        <v>7</v>
      </c>
      <c r="AN37" s="85" t="s">
        <v>11</v>
      </c>
      <c r="AP37" s="84" t="s">
        <v>3</v>
      </c>
      <c r="AQ37" s="94" t="s">
        <v>4</v>
      </c>
      <c r="AR37" s="113" t="s">
        <v>12</v>
      </c>
      <c r="AS37" s="102" t="s">
        <v>10</v>
      </c>
      <c r="AT37" s="102" t="s">
        <v>8</v>
      </c>
      <c r="AU37" s="102" t="s">
        <v>7</v>
      </c>
      <c r="AV37" s="85" t="s">
        <v>11</v>
      </c>
      <c r="AX37" s="84" t="s">
        <v>3</v>
      </c>
      <c r="AY37" s="94" t="s">
        <v>4</v>
      </c>
      <c r="AZ37" s="102" t="s">
        <v>12</v>
      </c>
      <c r="BA37" s="102" t="s">
        <v>10</v>
      </c>
      <c r="BB37" s="102" t="s">
        <v>8</v>
      </c>
      <c r="BC37" s="102" t="s">
        <v>7</v>
      </c>
      <c r="BD37" s="85" t="s">
        <v>11</v>
      </c>
      <c r="BF37" s="84" t="s">
        <v>3</v>
      </c>
      <c r="BG37" s="94" t="s">
        <v>4</v>
      </c>
      <c r="BH37" s="102" t="s">
        <v>12</v>
      </c>
      <c r="BI37" s="102" t="s">
        <v>10</v>
      </c>
      <c r="BJ37" s="102" t="s">
        <v>8</v>
      </c>
      <c r="BK37" s="102" t="s">
        <v>7</v>
      </c>
      <c r="BL37" s="85" t="s">
        <v>11</v>
      </c>
      <c r="BN37" s="84" t="s">
        <v>3</v>
      </c>
      <c r="BO37" s="94" t="s">
        <v>4</v>
      </c>
      <c r="BP37" s="102" t="s">
        <v>12</v>
      </c>
      <c r="BQ37" s="102" t="s">
        <v>10</v>
      </c>
      <c r="BR37" s="102" t="s">
        <v>8</v>
      </c>
      <c r="BS37" s="102" t="s">
        <v>7</v>
      </c>
      <c r="BT37" s="85" t="s">
        <v>11</v>
      </c>
      <c r="BV37" s="66" t="s">
        <v>3</v>
      </c>
      <c r="BW37" s="102" t="s">
        <v>4</v>
      </c>
      <c r="BX37" s="102" t="s">
        <v>12</v>
      </c>
      <c r="BY37" s="102" t="s">
        <v>10</v>
      </c>
      <c r="BZ37" s="102" t="s">
        <v>8</v>
      </c>
      <c r="CA37" s="102" t="s">
        <v>7</v>
      </c>
      <c r="CB37" s="85" t="s">
        <v>11</v>
      </c>
    </row>
    <row r="38" spans="2:80" s="2" customFormat="1" ht="12.75">
      <c r="B38" s="11" t="str">
        <f>+$B$9</f>
        <v>Agua</v>
      </c>
      <c r="C38" s="16" t="str">
        <f>+$C$9</f>
        <v>Mts3</v>
      </c>
      <c r="D38" s="17">
        <f>+$D$9</f>
        <v>0.011</v>
      </c>
      <c r="E38" s="18">
        <f>+PRODUCCIÓN!$F$21</f>
        <v>299700</v>
      </c>
      <c r="F38" s="18">
        <v>0</v>
      </c>
      <c r="G38" s="19">
        <v>0</v>
      </c>
      <c r="H38" s="8">
        <f>(D38*E38)-F38+G38</f>
        <v>3296.7</v>
      </c>
      <c r="J38" s="63" t="str">
        <f>+$B$10</f>
        <v>Residuos Orgánicos</v>
      </c>
      <c r="K38" s="99" t="str">
        <f>+$C$10</f>
        <v>Kgm</v>
      </c>
      <c r="L38" s="17">
        <f>+$D$10</f>
        <v>1.2</v>
      </c>
      <c r="M38" s="18">
        <f>+PRODUCCIÓN!$F$21</f>
        <v>299700</v>
      </c>
      <c r="N38" s="18">
        <v>0</v>
      </c>
      <c r="O38" s="18">
        <v>0</v>
      </c>
      <c r="P38" s="8">
        <f>(L38*M38)-N38+O38</f>
        <v>359640</v>
      </c>
      <c r="R38" s="63" t="str">
        <f>+$B$11</f>
        <v>Estiercol</v>
      </c>
      <c r="S38" s="99" t="str">
        <f>+$C$11</f>
        <v>Kgm</v>
      </c>
      <c r="T38" s="17">
        <f>+$D$11</f>
        <v>2.5</v>
      </c>
      <c r="U38" s="18">
        <f>+PRODUCCIÓN!$F$21</f>
        <v>299700</v>
      </c>
      <c r="V38" s="18">
        <v>0</v>
      </c>
      <c r="W38" s="18">
        <v>0</v>
      </c>
      <c r="X38" s="8">
        <f>(T38*U38)-V38+W38</f>
        <v>749250</v>
      </c>
      <c r="Z38" s="63">
        <f>+$B$12</f>
        <v>0</v>
      </c>
      <c r="AA38" s="99">
        <f>+$C$12</f>
        <v>0</v>
      </c>
      <c r="AB38" s="17">
        <f>+$D$12</f>
        <v>0</v>
      </c>
      <c r="AC38" s="18">
        <f>+PRODUCCIÓN!$F$21</f>
        <v>299700</v>
      </c>
      <c r="AD38" s="18">
        <v>0</v>
      </c>
      <c r="AE38" s="18">
        <v>0</v>
      </c>
      <c r="AF38" s="8">
        <f>(AB38*AC38)-AD38+AE38</f>
        <v>0</v>
      </c>
      <c r="AH38" s="63">
        <f>+$B$13</f>
        <v>0</v>
      </c>
      <c r="AI38" s="99">
        <f>+$C$13</f>
        <v>0</v>
      </c>
      <c r="AJ38" s="17">
        <f>+$D$13</f>
        <v>0</v>
      </c>
      <c r="AK38" s="18">
        <f>+PRODUCCIÓN!$F$21</f>
        <v>299700</v>
      </c>
      <c r="AL38" s="18">
        <v>0</v>
      </c>
      <c r="AM38" s="18">
        <v>0</v>
      </c>
      <c r="AN38" s="8">
        <f>(AJ38*AK38)-AL38+AM38</f>
        <v>0</v>
      </c>
      <c r="AP38" s="63">
        <f>+$B$14</f>
        <v>0</v>
      </c>
      <c r="AQ38" s="99">
        <f>+$C$14</f>
        <v>0</v>
      </c>
      <c r="AR38" s="39">
        <f>+$D$14</f>
        <v>0</v>
      </c>
      <c r="AS38" s="18">
        <f>+PRODUCCIÓN!$F$21</f>
        <v>299700</v>
      </c>
      <c r="AT38" s="18">
        <v>0</v>
      </c>
      <c r="AU38" s="18">
        <v>0</v>
      </c>
      <c r="AV38" s="8">
        <f>(AR38*AS38)-AT38+AU38</f>
        <v>0</v>
      </c>
      <c r="AX38" s="63">
        <f>+$B$15</f>
        <v>0</v>
      </c>
      <c r="AY38" s="99">
        <f>+$C$15</f>
        <v>0</v>
      </c>
      <c r="AZ38" s="17">
        <f>+$D$15</f>
        <v>0</v>
      </c>
      <c r="BA38" s="18">
        <f>+PRODUCCIÓN!$F$21</f>
        <v>299700</v>
      </c>
      <c r="BB38" s="18">
        <v>0</v>
      </c>
      <c r="BC38" s="18">
        <v>0</v>
      </c>
      <c r="BD38" s="8">
        <f>(AZ38*BA38)-BB38+BC38</f>
        <v>0</v>
      </c>
      <c r="BF38" s="63">
        <f>+$B$16</f>
        <v>0</v>
      </c>
      <c r="BG38" s="99">
        <f>+$C$16</f>
        <v>0</v>
      </c>
      <c r="BH38" s="17">
        <f>+$D$16</f>
        <v>0</v>
      </c>
      <c r="BI38" s="18">
        <f>+PRODUCCIÓN!$F$21</f>
        <v>299700</v>
      </c>
      <c r="BJ38" s="18">
        <v>0</v>
      </c>
      <c r="BK38" s="18">
        <v>0</v>
      </c>
      <c r="BL38" s="8">
        <f>(BH38*BI38)-BJ38+BK38</f>
        <v>0</v>
      </c>
      <c r="BN38" s="63">
        <f>+$B$17</f>
        <v>0</v>
      </c>
      <c r="BO38" s="99">
        <f>+$C$17</f>
        <v>0</v>
      </c>
      <c r="BP38" s="17">
        <f>+$D$17</f>
        <v>0</v>
      </c>
      <c r="BQ38" s="18">
        <f>+PRODUCCIÓN!$F$21</f>
        <v>299700</v>
      </c>
      <c r="BR38" s="18">
        <v>0</v>
      </c>
      <c r="BS38" s="18">
        <v>0</v>
      </c>
      <c r="BT38" s="8">
        <f>(BP38*BQ38)-BR38+BS38</f>
        <v>0</v>
      </c>
      <c r="BV38" s="65">
        <f>+$B$18</f>
        <v>0</v>
      </c>
      <c r="BW38" s="27">
        <f>+$C$18</f>
        <v>0</v>
      </c>
      <c r="BX38" s="17">
        <f>+$D$18</f>
        <v>0</v>
      </c>
      <c r="BY38" s="18">
        <f>+PRODUCCIÓN!$F$21</f>
        <v>299700</v>
      </c>
      <c r="BZ38" s="18">
        <v>0</v>
      </c>
      <c r="CA38" s="18">
        <v>0</v>
      </c>
      <c r="CB38" s="8">
        <f>(BX38*BY38)-BZ38+CA38</f>
        <v>0</v>
      </c>
    </row>
    <row r="39" spans="2:80" s="2" customFormat="1" ht="12.75">
      <c r="B39" s="11" t="s">
        <v>0</v>
      </c>
      <c r="C39" s="16"/>
      <c r="D39" s="12"/>
      <c r="E39" s="14" t="s">
        <v>0</v>
      </c>
      <c r="F39" s="13" t="s">
        <v>0</v>
      </c>
      <c r="G39" s="15" t="s">
        <v>0</v>
      </c>
      <c r="H39" s="6" t="s">
        <v>0</v>
      </c>
      <c r="J39" s="63" t="s">
        <v>0</v>
      </c>
      <c r="K39" s="99"/>
      <c r="L39" s="12"/>
      <c r="M39" s="14" t="s">
        <v>0</v>
      </c>
      <c r="N39" s="13" t="s">
        <v>0</v>
      </c>
      <c r="O39" s="15" t="s">
        <v>0</v>
      </c>
      <c r="P39" s="6" t="s">
        <v>0</v>
      </c>
      <c r="R39" s="63" t="s">
        <v>0</v>
      </c>
      <c r="S39" s="99"/>
      <c r="T39" s="12"/>
      <c r="U39" s="14" t="s">
        <v>0</v>
      </c>
      <c r="V39" s="13" t="s">
        <v>0</v>
      </c>
      <c r="W39" s="15" t="s">
        <v>0</v>
      </c>
      <c r="X39" s="6" t="s">
        <v>0</v>
      </c>
      <c r="Z39" s="63" t="s">
        <v>0</v>
      </c>
      <c r="AA39" s="99"/>
      <c r="AB39" s="12"/>
      <c r="AC39" s="14" t="s">
        <v>0</v>
      </c>
      <c r="AD39" s="13" t="s">
        <v>0</v>
      </c>
      <c r="AE39" s="15" t="s">
        <v>0</v>
      </c>
      <c r="AF39" s="6" t="s">
        <v>0</v>
      </c>
      <c r="AH39" s="63" t="s">
        <v>0</v>
      </c>
      <c r="AI39" s="99"/>
      <c r="AJ39" s="12"/>
      <c r="AK39" s="14" t="s">
        <v>0</v>
      </c>
      <c r="AL39" s="13" t="s">
        <v>0</v>
      </c>
      <c r="AM39" s="15" t="s">
        <v>0</v>
      </c>
      <c r="AN39" s="6" t="s">
        <v>0</v>
      </c>
      <c r="AP39" s="63" t="s">
        <v>0</v>
      </c>
      <c r="AQ39" s="99"/>
      <c r="AR39" s="41"/>
      <c r="AS39" s="14" t="s">
        <v>0</v>
      </c>
      <c r="AT39" s="13" t="s">
        <v>0</v>
      </c>
      <c r="AU39" s="15" t="s">
        <v>0</v>
      </c>
      <c r="AV39" s="6" t="s">
        <v>0</v>
      </c>
      <c r="AX39" s="63" t="s">
        <v>0</v>
      </c>
      <c r="AY39" s="99"/>
      <c r="AZ39" s="12"/>
      <c r="BA39" s="14" t="s">
        <v>0</v>
      </c>
      <c r="BB39" s="13" t="s">
        <v>0</v>
      </c>
      <c r="BC39" s="15" t="s">
        <v>0</v>
      </c>
      <c r="BD39" s="6" t="s">
        <v>0</v>
      </c>
      <c r="BF39" s="63" t="s">
        <v>0</v>
      </c>
      <c r="BG39" s="99"/>
      <c r="BH39" s="12"/>
      <c r="BI39" s="14" t="s">
        <v>0</v>
      </c>
      <c r="BJ39" s="13" t="s">
        <v>0</v>
      </c>
      <c r="BK39" s="15" t="s">
        <v>0</v>
      </c>
      <c r="BL39" s="6" t="s">
        <v>0</v>
      </c>
      <c r="BN39" s="63" t="s">
        <v>0</v>
      </c>
      <c r="BO39" s="99"/>
      <c r="BP39" s="12"/>
      <c r="BQ39" s="14" t="s">
        <v>0</v>
      </c>
      <c r="BR39" s="13" t="s">
        <v>0</v>
      </c>
      <c r="BS39" s="15" t="s">
        <v>0</v>
      </c>
      <c r="BT39" s="6" t="s">
        <v>0</v>
      </c>
      <c r="BV39" s="26" t="s">
        <v>0</v>
      </c>
      <c r="BW39" s="27"/>
      <c r="BX39" s="12"/>
      <c r="BY39" s="14" t="s">
        <v>0</v>
      </c>
      <c r="BZ39" s="13" t="s">
        <v>0</v>
      </c>
      <c r="CA39" s="15" t="s">
        <v>0</v>
      </c>
      <c r="CB39" s="6" t="s">
        <v>0</v>
      </c>
    </row>
    <row r="40" spans="2:80" s="2" customFormat="1" ht="12.75">
      <c r="B40" s="20" t="s">
        <v>2</v>
      </c>
      <c r="C40" s="34" t="s">
        <v>0</v>
      </c>
      <c r="D40" s="9">
        <f>+D38</f>
        <v>0.011</v>
      </c>
      <c r="E40" s="9">
        <f>+E38</f>
        <v>299700</v>
      </c>
      <c r="F40" s="9">
        <f>+F38</f>
        <v>0</v>
      </c>
      <c r="G40" s="9">
        <f>+G38</f>
        <v>0</v>
      </c>
      <c r="H40" s="10">
        <f>+H38</f>
        <v>3296.7</v>
      </c>
      <c r="J40" s="64" t="s">
        <v>2</v>
      </c>
      <c r="K40" s="100" t="s">
        <v>0</v>
      </c>
      <c r="L40" s="9">
        <f>+L38</f>
        <v>1.2</v>
      </c>
      <c r="M40" s="9">
        <f>+M38</f>
        <v>299700</v>
      </c>
      <c r="N40" s="9">
        <f>+N38</f>
        <v>0</v>
      </c>
      <c r="O40" s="9">
        <f>+O38</f>
        <v>0</v>
      </c>
      <c r="P40" s="10">
        <f>+P38</f>
        <v>359640</v>
      </c>
      <c r="R40" s="64" t="s">
        <v>2</v>
      </c>
      <c r="S40" s="100" t="s">
        <v>0</v>
      </c>
      <c r="T40" s="9">
        <f>+T38</f>
        <v>2.5</v>
      </c>
      <c r="U40" s="9">
        <f>+U38</f>
        <v>299700</v>
      </c>
      <c r="V40" s="9">
        <f>+V38</f>
        <v>0</v>
      </c>
      <c r="W40" s="9">
        <f>+W38</f>
        <v>0</v>
      </c>
      <c r="X40" s="10">
        <f>+X38</f>
        <v>749250</v>
      </c>
      <c r="Z40" s="64" t="s">
        <v>2</v>
      </c>
      <c r="AA40" s="100" t="s">
        <v>0</v>
      </c>
      <c r="AB40" s="9">
        <f>+AB38</f>
        <v>0</v>
      </c>
      <c r="AC40" s="9">
        <f>+AC38</f>
        <v>299700</v>
      </c>
      <c r="AD40" s="9">
        <f>+AD38</f>
        <v>0</v>
      </c>
      <c r="AE40" s="9">
        <f>+AE38</f>
        <v>0</v>
      </c>
      <c r="AF40" s="10">
        <f>+AF38</f>
        <v>0</v>
      </c>
      <c r="AH40" s="64" t="s">
        <v>2</v>
      </c>
      <c r="AI40" s="100" t="s">
        <v>0</v>
      </c>
      <c r="AJ40" s="9">
        <f>+AJ38</f>
        <v>0</v>
      </c>
      <c r="AK40" s="9">
        <f>+AK38</f>
        <v>299700</v>
      </c>
      <c r="AL40" s="9">
        <f>+AL38</f>
        <v>0</v>
      </c>
      <c r="AM40" s="9">
        <f>+AM38</f>
        <v>0</v>
      </c>
      <c r="AN40" s="10">
        <f>+AN38</f>
        <v>0</v>
      </c>
      <c r="AP40" s="64" t="s">
        <v>2</v>
      </c>
      <c r="AQ40" s="100" t="s">
        <v>0</v>
      </c>
      <c r="AR40" s="111">
        <f>+AR38</f>
        <v>0</v>
      </c>
      <c r="AS40" s="9">
        <f>+AS38</f>
        <v>299700</v>
      </c>
      <c r="AT40" s="9">
        <f>+AT38</f>
        <v>0</v>
      </c>
      <c r="AU40" s="9">
        <f>+AU38</f>
        <v>0</v>
      </c>
      <c r="AV40" s="10">
        <f>+AV38</f>
        <v>0</v>
      </c>
      <c r="AX40" s="64" t="s">
        <v>2</v>
      </c>
      <c r="AY40" s="100" t="s">
        <v>0</v>
      </c>
      <c r="AZ40" s="9">
        <f>+AZ38</f>
        <v>0</v>
      </c>
      <c r="BA40" s="9">
        <f>+BA38</f>
        <v>299700</v>
      </c>
      <c r="BB40" s="9">
        <f>+BB38</f>
        <v>0</v>
      </c>
      <c r="BC40" s="9">
        <f>+BC38</f>
        <v>0</v>
      </c>
      <c r="BD40" s="10">
        <f>+BD38</f>
        <v>0</v>
      </c>
      <c r="BF40" s="64" t="s">
        <v>2</v>
      </c>
      <c r="BG40" s="100" t="s">
        <v>0</v>
      </c>
      <c r="BH40" s="9">
        <f>+BH38</f>
        <v>0</v>
      </c>
      <c r="BI40" s="9">
        <f>+BI38</f>
        <v>299700</v>
      </c>
      <c r="BJ40" s="9">
        <f>+BJ38</f>
        <v>0</v>
      </c>
      <c r="BK40" s="9">
        <f>+BK38</f>
        <v>0</v>
      </c>
      <c r="BL40" s="10">
        <f>+BL38</f>
        <v>0</v>
      </c>
      <c r="BN40" s="64" t="s">
        <v>2</v>
      </c>
      <c r="BO40" s="100" t="s">
        <v>0</v>
      </c>
      <c r="BP40" s="9">
        <f>+BP38</f>
        <v>0</v>
      </c>
      <c r="BQ40" s="9">
        <f>+BQ38</f>
        <v>299700</v>
      </c>
      <c r="BR40" s="9">
        <f>+BR38</f>
        <v>0</v>
      </c>
      <c r="BS40" s="9">
        <f>+BS38</f>
        <v>0</v>
      </c>
      <c r="BT40" s="10">
        <f>+BT38</f>
        <v>0</v>
      </c>
      <c r="BV40" s="28" t="s">
        <v>2</v>
      </c>
      <c r="BW40" s="9" t="s">
        <v>0</v>
      </c>
      <c r="BX40" s="9">
        <f>+BX38</f>
        <v>0</v>
      </c>
      <c r="BY40" s="9">
        <f>+BY38</f>
        <v>299700</v>
      </c>
      <c r="BZ40" s="9">
        <f>+BZ38</f>
        <v>0</v>
      </c>
      <c r="CA40" s="9">
        <f>+CA38</f>
        <v>0</v>
      </c>
      <c r="CB40" s="10">
        <f>+CB38</f>
        <v>0</v>
      </c>
    </row>
    <row r="41" ht="12.75">
      <c r="AR41" s="112"/>
    </row>
    <row r="42" spans="2:74" ht="12.75">
      <c r="B42" s="1" t="s">
        <v>188</v>
      </c>
      <c r="J42" s="1" t="s">
        <v>188</v>
      </c>
      <c r="R42" s="1" t="s">
        <v>188</v>
      </c>
      <c r="Z42" s="1" t="s">
        <v>188</v>
      </c>
      <c r="AH42" s="1" t="s">
        <v>188</v>
      </c>
      <c r="AP42" s="1" t="s">
        <v>188</v>
      </c>
      <c r="AR42" s="112"/>
      <c r="AX42" s="1" t="s">
        <v>188</v>
      </c>
      <c r="BF42" s="1" t="s">
        <v>188</v>
      </c>
      <c r="BN42" s="1" t="s">
        <v>188</v>
      </c>
      <c r="BV42" s="1" t="s">
        <v>188</v>
      </c>
    </row>
    <row r="43" spans="2:80" s="103" customFormat="1" ht="12">
      <c r="B43" s="84" t="s">
        <v>3</v>
      </c>
      <c r="C43" s="94" t="s">
        <v>4</v>
      </c>
      <c r="D43" s="102" t="s">
        <v>12</v>
      </c>
      <c r="E43" s="102" t="s">
        <v>10</v>
      </c>
      <c r="F43" s="102" t="s">
        <v>8</v>
      </c>
      <c r="G43" s="102" t="s">
        <v>7</v>
      </c>
      <c r="H43" s="85" t="s">
        <v>11</v>
      </c>
      <c r="J43" s="84" t="s">
        <v>3</v>
      </c>
      <c r="K43" s="94" t="s">
        <v>4</v>
      </c>
      <c r="L43" s="102" t="s">
        <v>12</v>
      </c>
      <c r="M43" s="102" t="s">
        <v>10</v>
      </c>
      <c r="N43" s="102" t="s">
        <v>8</v>
      </c>
      <c r="O43" s="102" t="s">
        <v>7</v>
      </c>
      <c r="P43" s="85" t="s">
        <v>11</v>
      </c>
      <c r="R43" s="84" t="s">
        <v>3</v>
      </c>
      <c r="S43" s="94" t="s">
        <v>4</v>
      </c>
      <c r="T43" s="102" t="s">
        <v>12</v>
      </c>
      <c r="U43" s="102" t="s">
        <v>10</v>
      </c>
      <c r="V43" s="102" t="s">
        <v>8</v>
      </c>
      <c r="W43" s="102" t="s">
        <v>7</v>
      </c>
      <c r="X43" s="85" t="s">
        <v>11</v>
      </c>
      <c r="Z43" s="84" t="s">
        <v>3</v>
      </c>
      <c r="AA43" s="94" t="s">
        <v>4</v>
      </c>
      <c r="AB43" s="102" t="s">
        <v>12</v>
      </c>
      <c r="AC43" s="102" t="s">
        <v>10</v>
      </c>
      <c r="AD43" s="102" t="s">
        <v>8</v>
      </c>
      <c r="AE43" s="102" t="s">
        <v>7</v>
      </c>
      <c r="AF43" s="85" t="s">
        <v>11</v>
      </c>
      <c r="AH43" s="84" t="s">
        <v>3</v>
      </c>
      <c r="AI43" s="94" t="s">
        <v>4</v>
      </c>
      <c r="AJ43" s="102" t="s">
        <v>12</v>
      </c>
      <c r="AK43" s="102" t="s">
        <v>10</v>
      </c>
      <c r="AL43" s="102" t="s">
        <v>8</v>
      </c>
      <c r="AM43" s="102" t="s">
        <v>7</v>
      </c>
      <c r="AN43" s="85" t="s">
        <v>11</v>
      </c>
      <c r="AP43" s="84" t="s">
        <v>3</v>
      </c>
      <c r="AQ43" s="94" t="s">
        <v>4</v>
      </c>
      <c r="AR43" s="113" t="s">
        <v>12</v>
      </c>
      <c r="AS43" s="102" t="s">
        <v>10</v>
      </c>
      <c r="AT43" s="102" t="s">
        <v>8</v>
      </c>
      <c r="AU43" s="102" t="s">
        <v>7</v>
      </c>
      <c r="AV43" s="85" t="s">
        <v>11</v>
      </c>
      <c r="AX43" s="84" t="s">
        <v>3</v>
      </c>
      <c r="AY43" s="94" t="s">
        <v>4</v>
      </c>
      <c r="AZ43" s="102" t="s">
        <v>12</v>
      </c>
      <c r="BA43" s="102" t="s">
        <v>10</v>
      </c>
      <c r="BB43" s="102" t="s">
        <v>8</v>
      </c>
      <c r="BC43" s="102" t="s">
        <v>7</v>
      </c>
      <c r="BD43" s="85" t="s">
        <v>11</v>
      </c>
      <c r="BF43" s="84" t="s">
        <v>3</v>
      </c>
      <c r="BG43" s="94" t="s">
        <v>4</v>
      </c>
      <c r="BH43" s="102" t="s">
        <v>12</v>
      </c>
      <c r="BI43" s="102" t="s">
        <v>10</v>
      </c>
      <c r="BJ43" s="102" t="s">
        <v>8</v>
      </c>
      <c r="BK43" s="102" t="s">
        <v>7</v>
      </c>
      <c r="BL43" s="85" t="s">
        <v>11</v>
      </c>
      <c r="BN43" s="84" t="s">
        <v>3</v>
      </c>
      <c r="BO43" s="94" t="s">
        <v>4</v>
      </c>
      <c r="BP43" s="102" t="s">
        <v>12</v>
      </c>
      <c r="BQ43" s="102" t="s">
        <v>10</v>
      </c>
      <c r="BR43" s="102" t="s">
        <v>8</v>
      </c>
      <c r="BS43" s="102" t="s">
        <v>7</v>
      </c>
      <c r="BT43" s="85" t="s">
        <v>11</v>
      </c>
      <c r="BV43" s="66" t="s">
        <v>3</v>
      </c>
      <c r="BW43" s="102" t="s">
        <v>4</v>
      </c>
      <c r="BX43" s="102" t="s">
        <v>12</v>
      </c>
      <c r="BY43" s="102" t="s">
        <v>10</v>
      </c>
      <c r="BZ43" s="102" t="s">
        <v>8</v>
      </c>
      <c r="CA43" s="102" t="s">
        <v>7</v>
      </c>
      <c r="CB43" s="85" t="s">
        <v>11</v>
      </c>
    </row>
    <row r="44" spans="2:80" s="2" customFormat="1" ht="12.75">
      <c r="B44" s="29" t="str">
        <f>+$B$9</f>
        <v>Agua</v>
      </c>
      <c r="C44" s="35" t="str">
        <f>+$C$9</f>
        <v>Mts3</v>
      </c>
      <c r="D44" s="17">
        <f>+$D$9</f>
        <v>0.011</v>
      </c>
      <c r="E44" s="18">
        <f>+PRODUCCIÓN!$F$27</f>
        <v>316350</v>
      </c>
      <c r="F44" s="18">
        <v>0</v>
      </c>
      <c r="G44" s="19">
        <v>0</v>
      </c>
      <c r="H44" s="8">
        <f>(D44*E44)-F44+G44</f>
        <v>3479.85</v>
      </c>
      <c r="J44" s="63" t="str">
        <f>+$B$10</f>
        <v>Residuos Orgánicos</v>
      </c>
      <c r="K44" s="99" t="str">
        <f>+$C$10</f>
        <v>Kgm</v>
      </c>
      <c r="L44" s="17">
        <f>+$D$10</f>
        <v>1.2</v>
      </c>
      <c r="M44" s="18">
        <f>+PRODUCCIÓN!$F$27</f>
        <v>316350</v>
      </c>
      <c r="N44" s="18">
        <v>0</v>
      </c>
      <c r="O44" s="18">
        <v>0</v>
      </c>
      <c r="P44" s="8">
        <f>(L44*M44)-N44+O44</f>
        <v>379620</v>
      </c>
      <c r="R44" s="63" t="str">
        <f>+$B$11</f>
        <v>Estiercol</v>
      </c>
      <c r="S44" s="99" t="str">
        <f>+$C$11</f>
        <v>Kgm</v>
      </c>
      <c r="T44" s="17">
        <f>+$D$11</f>
        <v>2.5</v>
      </c>
      <c r="U44" s="18">
        <f>+PRODUCCIÓN!$F$27</f>
        <v>316350</v>
      </c>
      <c r="V44" s="18">
        <v>0</v>
      </c>
      <c r="W44" s="18">
        <v>0</v>
      </c>
      <c r="X44" s="8">
        <f>(T44*U44)-V44+W44</f>
        <v>790875</v>
      </c>
      <c r="Z44" s="63">
        <f>+$B$12</f>
        <v>0</v>
      </c>
      <c r="AA44" s="99">
        <f>+$C$12</f>
        <v>0</v>
      </c>
      <c r="AB44" s="17">
        <f>+$D$12</f>
        <v>0</v>
      </c>
      <c r="AC44" s="18">
        <f>+PRODUCCIÓN!$F$27</f>
        <v>316350</v>
      </c>
      <c r="AD44" s="18">
        <v>0</v>
      </c>
      <c r="AE44" s="18">
        <v>0</v>
      </c>
      <c r="AF44" s="8">
        <f>(AB44*AC44)-AD44+AE44</f>
        <v>0</v>
      </c>
      <c r="AH44" s="63">
        <f>+$B$13</f>
        <v>0</v>
      </c>
      <c r="AI44" s="99">
        <f>+$C$13</f>
        <v>0</v>
      </c>
      <c r="AJ44" s="17">
        <f>+$D$13</f>
        <v>0</v>
      </c>
      <c r="AK44" s="18">
        <f>+PRODUCCIÓN!$F$27</f>
        <v>316350</v>
      </c>
      <c r="AL44" s="18">
        <v>0</v>
      </c>
      <c r="AM44" s="18">
        <v>0</v>
      </c>
      <c r="AN44" s="8">
        <f>(AJ44*AK44)-AL44+AM44</f>
        <v>0</v>
      </c>
      <c r="AP44" s="63">
        <f>+$B$14</f>
        <v>0</v>
      </c>
      <c r="AQ44" s="99">
        <f>+$C$14</f>
        <v>0</v>
      </c>
      <c r="AR44" s="39">
        <f>+$D$14</f>
        <v>0</v>
      </c>
      <c r="AS44" s="18">
        <f>+PRODUCCIÓN!$F$27</f>
        <v>316350</v>
      </c>
      <c r="AT44" s="18">
        <v>0</v>
      </c>
      <c r="AU44" s="18">
        <v>0</v>
      </c>
      <c r="AV44" s="8">
        <f>(AR44*AS44)-AT44+AU44</f>
        <v>0</v>
      </c>
      <c r="AX44" s="63">
        <f>+$B$15</f>
        <v>0</v>
      </c>
      <c r="AY44" s="99">
        <f>+$C$15</f>
        <v>0</v>
      </c>
      <c r="AZ44" s="17">
        <f>+$D$15</f>
        <v>0</v>
      </c>
      <c r="BA44" s="18">
        <f>+PRODUCCIÓN!$F$27</f>
        <v>316350</v>
      </c>
      <c r="BB44" s="18">
        <v>0</v>
      </c>
      <c r="BC44" s="18">
        <v>0</v>
      </c>
      <c r="BD44" s="8">
        <f>(AZ44*BA44)-BB44+BC44</f>
        <v>0</v>
      </c>
      <c r="BF44" s="63">
        <f>+$B$16</f>
        <v>0</v>
      </c>
      <c r="BG44" s="99">
        <f>+$C$16</f>
        <v>0</v>
      </c>
      <c r="BH44" s="17">
        <f>+$D$16</f>
        <v>0</v>
      </c>
      <c r="BI44" s="18">
        <f>+PRODUCCIÓN!$F$27</f>
        <v>316350</v>
      </c>
      <c r="BJ44" s="18">
        <v>0</v>
      </c>
      <c r="BK44" s="18">
        <v>0</v>
      </c>
      <c r="BL44" s="8">
        <f>(BH44*BI44)-BJ44+BK44</f>
        <v>0</v>
      </c>
      <c r="BN44" s="63">
        <f>+$B$17</f>
        <v>0</v>
      </c>
      <c r="BO44" s="99">
        <f>+$C$17</f>
        <v>0</v>
      </c>
      <c r="BP44" s="17">
        <f>+$D$17</f>
        <v>0</v>
      </c>
      <c r="BQ44" s="18">
        <f>+PRODUCCIÓN!$F$27</f>
        <v>316350</v>
      </c>
      <c r="BR44" s="18">
        <v>0</v>
      </c>
      <c r="BS44" s="18">
        <v>0</v>
      </c>
      <c r="BT44" s="8">
        <f>(BP44*BQ44)-BR44+BS44</f>
        <v>0</v>
      </c>
      <c r="BV44" s="65">
        <f>+$B$18</f>
        <v>0</v>
      </c>
      <c r="BW44" s="27">
        <f>+$C$18</f>
        <v>0</v>
      </c>
      <c r="BX44" s="17">
        <f>+$D$18</f>
        <v>0</v>
      </c>
      <c r="BY44" s="18">
        <f>+PRODUCCIÓN!$F$27</f>
        <v>316350</v>
      </c>
      <c r="BZ44" s="18">
        <v>0</v>
      </c>
      <c r="CA44" s="18">
        <v>0</v>
      </c>
      <c r="CB44" s="8">
        <f>(BX44*BY44)-BZ44+CA44</f>
        <v>0</v>
      </c>
    </row>
    <row r="45" spans="2:80" s="2" customFormat="1" ht="12.75">
      <c r="B45" s="29" t="s">
        <v>0</v>
      </c>
      <c r="C45" s="35"/>
      <c r="D45" s="12"/>
      <c r="E45" s="14" t="s">
        <v>0</v>
      </c>
      <c r="F45" s="13" t="s">
        <v>0</v>
      </c>
      <c r="G45" s="15" t="s">
        <v>0</v>
      </c>
      <c r="H45" s="6" t="s">
        <v>0</v>
      </c>
      <c r="J45" s="63" t="s">
        <v>0</v>
      </c>
      <c r="K45" s="99"/>
      <c r="L45" s="12"/>
      <c r="M45" s="14" t="s">
        <v>0</v>
      </c>
      <c r="N45" s="13" t="s">
        <v>0</v>
      </c>
      <c r="O45" s="15" t="s">
        <v>0</v>
      </c>
      <c r="P45" s="6" t="s">
        <v>0</v>
      </c>
      <c r="R45" s="63" t="s">
        <v>0</v>
      </c>
      <c r="S45" s="99"/>
      <c r="T45" s="12"/>
      <c r="U45" s="14" t="s">
        <v>0</v>
      </c>
      <c r="V45" s="13" t="s">
        <v>0</v>
      </c>
      <c r="W45" s="15" t="s">
        <v>0</v>
      </c>
      <c r="X45" s="6" t="s">
        <v>0</v>
      </c>
      <c r="Z45" s="63" t="s">
        <v>0</v>
      </c>
      <c r="AA45" s="99"/>
      <c r="AB45" s="12"/>
      <c r="AC45" s="14" t="s">
        <v>0</v>
      </c>
      <c r="AD45" s="13" t="s">
        <v>0</v>
      </c>
      <c r="AE45" s="15" t="s">
        <v>0</v>
      </c>
      <c r="AF45" s="6" t="s">
        <v>0</v>
      </c>
      <c r="AH45" s="63" t="s">
        <v>0</v>
      </c>
      <c r="AI45" s="99"/>
      <c r="AJ45" s="12"/>
      <c r="AK45" s="14" t="s">
        <v>0</v>
      </c>
      <c r="AL45" s="13" t="s">
        <v>0</v>
      </c>
      <c r="AM45" s="15" t="s">
        <v>0</v>
      </c>
      <c r="AN45" s="6" t="s">
        <v>0</v>
      </c>
      <c r="AP45" s="63" t="s">
        <v>0</v>
      </c>
      <c r="AQ45" s="99"/>
      <c r="AR45" s="41"/>
      <c r="AS45" s="14" t="s">
        <v>0</v>
      </c>
      <c r="AT45" s="13" t="s">
        <v>0</v>
      </c>
      <c r="AU45" s="15" t="s">
        <v>0</v>
      </c>
      <c r="AV45" s="6" t="s">
        <v>0</v>
      </c>
      <c r="AX45" s="63" t="s">
        <v>0</v>
      </c>
      <c r="AY45" s="99"/>
      <c r="AZ45" s="12"/>
      <c r="BA45" s="14" t="s">
        <v>0</v>
      </c>
      <c r="BB45" s="13" t="s">
        <v>0</v>
      </c>
      <c r="BC45" s="15" t="s">
        <v>0</v>
      </c>
      <c r="BD45" s="6" t="s">
        <v>0</v>
      </c>
      <c r="BF45" s="63" t="s">
        <v>0</v>
      </c>
      <c r="BG45" s="99"/>
      <c r="BH45" s="12"/>
      <c r="BI45" s="14" t="s">
        <v>0</v>
      </c>
      <c r="BJ45" s="13" t="s">
        <v>0</v>
      </c>
      <c r="BK45" s="15" t="s">
        <v>0</v>
      </c>
      <c r="BL45" s="6" t="s">
        <v>0</v>
      </c>
      <c r="BN45" s="63" t="s">
        <v>0</v>
      </c>
      <c r="BO45" s="99"/>
      <c r="BP45" s="12"/>
      <c r="BQ45" s="14" t="s">
        <v>0</v>
      </c>
      <c r="BR45" s="13" t="s">
        <v>0</v>
      </c>
      <c r="BS45" s="15" t="s">
        <v>0</v>
      </c>
      <c r="BT45" s="6" t="s">
        <v>0</v>
      </c>
      <c r="BV45" s="26" t="s">
        <v>0</v>
      </c>
      <c r="BW45" s="27"/>
      <c r="BX45" s="12"/>
      <c r="BY45" s="14" t="s">
        <v>0</v>
      </c>
      <c r="BZ45" s="13" t="s">
        <v>0</v>
      </c>
      <c r="CA45" s="15" t="s">
        <v>0</v>
      </c>
      <c r="CB45" s="6" t="s">
        <v>0</v>
      </c>
    </row>
    <row r="46" spans="2:80" s="2" customFormat="1" ht="12.75">
      <c r="B46" s="31" t="s">
        <v>2</v>
      </c>
      <c r="C46" s="36" t="s">
        <v>0</v>
      </c>
      <c r="D46" s="9">
        <f>+D44</f>
        <v>0.011</v>
      </c>
      <c r="E46" s="9">
        <f>+E44</f>
        <v>316350</v>
      </c>
      <c r="F46" s="9">
        <f>+F44</f>
        <v>0</v>
      </c>
      <c r="G46" s="9">
        <f>+G44</f>
        <v>0</v>
      </c>
      <c r="H46" s="10">
        <f>+H44</f>
        <v>3479.85</v>
      </c>
      <c r="J46" s="64" t="s">
        <v>2</v>
      </c>
      <c r="K46" s="100" t="s">
        <v>0</v>
      </c>
      <c r="L46" s="9">
        <f>+L44</f>
        <v>1.2</v>
      </c>
      <c r="M46" s="9">
        <f>+M44</f>
        <v>316350</v>
      </c>
      <c r="N46" s="9">
        <f>+N44</f>
        <v>0</v>
      </c>
      <c r="O46" s="9">
        <f>+O44</f>
        <v>0</v>
      </c>
      <c r="P46" s="10">
        <f>+P44</f>
        <v>379620</v>
      </c>
      <c r="R46" s="64" t="s">
        <v>2</v>
      </c>
      <c r="S46" s="100" t="s">
        <v>0</v>
      </c>
      <c r="T46" s="9">
        <f>+T44</f>
        <v>2.5</v>
      </c>
      <c r="U46" s="9">
        <f>+U44</f>
        <v>316350</v>
      </c>
      <c r="V46" s="9">
        <f>+V44</f>
        <v>0</v>
      </c>
      <c r="W46" s="9">
        <f>+W44</f>
        <v>0</v>
      </c>
      <c r="X46" s="10">
        <f>+X44</f>
        <v>790875</v>
      </c>
      <c r="Z46" s="64" t="s">
        <v>2</v>
      </c>
      <c r="AA46" s="100" t="s">
        <v>0</v>
      </c>
      <c r="AB46" s="9">
        <f>+AB44</f>
        <v>0</v>
      </c>
      <c r="AC46" s="9">
        <f>+AC44</f>
        <v>316350</v>
      </c>
      <c r="AD46" s="9">
        <f>+AD44</f>
        <v>0</v>
      </c>
      <c r="AE46" s="9">
        <f>+AE44</f>
        <v>0</v>
      </c>
      <c r="AF46" s="10">
        <f>+AF44</f>
        <v>0</v>
      </c>
      <c r="AH46" s="64" t="s">
        <v>2</v>
      </c>
      <c r="AI46" s="100" t="s">
        <v>0</v>
      </c>
      <c r="AJ46" s="9">
        <f>+AJ44</f>
        <v>0</v>
      </c>
      <c r="AK46" s="9">
        <f>+AK44</f>
        <v>316350</v>
      </c>
      <c r="AL46" s="9">
        <f>+AL44</f>
        <v>0</v>
      </c>
      <c r="AM46" s="9">
        <f>+AM44</f>
        <v>0</v>
      </c>
      <c r="AN46" s="10">
        <f>+AN44</f>
        <v>0</v>
      </c>
      <c r="AP46" s="64" t="s">
        <v>2</v>
      </c>
      <c r="AQ46" s="100" t="s">
        <v>0</v>
      </c>
      <c r="AR46" s="111">
        <f>+AR44</f>
        <v>0</v>
      </c>
      <c r="AS46" s="9">
        <f>+AS44</f>
        <v>316350</v>
      </c>
      <c r="AT46" s="9">
        <f>+AT44</f>
        <v>0</v>
      </c>
      <c r="AU46" s="9">
        <f>+AU44</f>
        <v>0</v>
      </c>
      <c r="AV46" s="10">
        <f>+AV44</f>
        <v>0</v>
      </c>
      <c r="AX46" s="64" t="s">
        <v>2</v>
      </c>
      <c r="AY46" s="100" t="s">
        <v>0</v>
      </c>
      <c r="AZ46" s="9">
        <f>+AZ44</f>
        <v>0</v>
      </c>
      <c r="BA46" s="9">
        <f>+BA44</f>
        <v>316350</v>
      </c>
      <c r="BB46" s="9">
        <f>+BB44</f>
        <v>0</v>
      </c>
      <c r="BC46" s="9">
        <f>+BC44</f>
        <v>0</v>
      </c>
      <c r="BD46" s="10">
        <f>+BD44</f>
        <v>0</v>
      </c>
      <c r="BF46" s="64" t="s">
        <v>2</v>
      </c>
      <c r="BG46" s="100" t="s">
        <v>0</v>
      </c>
      <c r="BH46" s="9">
        <f>+BH44</f>
        <v>0</v>
      </c>
      <c r="BI46" s="9">
        <f>+BI44</f>
        <v>316350</v>
      </c>
      <c r="BJ46" s="9">
        <f>+BJ44</f>
        <v>0</v>
      </c>
      <c r="BK46" s="9">
        <f>+BK44</f>
        <v>0</v>
      </c>
      <c r="BL46" s="10">
        <f>+BL44</f>
        <v>0</v>
      </c>
      <c r="BN46" s="64" t="s">
        <v>2</v>
      </c>
      <c r="BO46" s="100" t="s">
        <v>0</v>
      </c>
      <c r="BP46" s="9">
        <f>+BP44</f>
        <v>0</v>
      </c>
      <c r="BQ46" s="9">
        <f>+BQ44</f>
        <v>316350</v>
      </c>
      <c r="BR46" s="9">
        <f>+BR44</f>
        <v>0</v>
      </c>
      <c r="BS46" s="9">
        <f>+BS44</f>
        <v>0</v>
      </c>
      <c r="BT46" s="10">
        <f>+BT44</f>
        <v>0</v>
      </c>
      <c r="BV46" s="28" t="s">
        <v>2</v>
      </c>
      <c r="BW46" s="9" t="s">
        <v>0</v>
      </c>
      <c r="BX46" s="9">
        <f>+BX44</f>
        <v>0</v>
      </c>
      <c r="BY46" s="9">
        <f>+BY44</f>
        <v>316350</v>
      </c>
      <c r="BZ46" s="9">
        <f>+BZ44</f>
        <v>0</v>
      </c>
      <c r="CA46" s="9">
        <f>+CA44</f>
        <v>0</v>
      </c>
      <c r="CB46" s="10">
        <f>+CB44</f>
        <v>0</v>
      </c>
    </row>
    <row r="47" ht="12.75">
      <c r="AR47" s="112"/>
    </row>
    <row r="48" spans="2:74" ht="12.75">
      <c r="B48" s="1" t="s">
        <v>187</v>
      </c>
      <c r="J48" s="1" t="s">
        <v>187</v>
      </c>
      <c r="R48" s="1" t="s">
        <v>187</v>
      </c>
      <c r="Z48" s="1" t="s">
        <v>187</v>
      </c>
      <c r="AH48" s="1" t="s">
        <v>187</v>
      </c>
      <c r="AP48" s="1" t="s">
        <v>187</v>
      </c>
      <c r="AR48" s="112"/>
      <c r="AX48" s="1" t="s">
        <v>187</v>
      </c>
      <c r="BF48" s="1" t="s">
        <v>187</v>
      </c>
      <c r="BN48" s="1" t="s">
        <v>187</v>
      </c>
      <c r="BV48" s="1" t="s">
        <v>187</v>
      </c>
    </row>
    <row r="49" spans="2:80" s="103" customFormat="1" ht="12">
      <c r="B49" s="84" t="s">
        <v>3</v>
      </c>
      <c r="C49" s="94" t="s">
        <v>4</v>
      </c>
      <c r="D49" s="102" t="s">
        <v>12</v>
      </c>
      <c r="E49" s="102" t="s">
        <v>10</v>
      </c>
      <c r="F49" s="102" t="s">
        <v>8</v>
      </c>
      <c r="G49" s="102" t="s">
        <v>7</v>
      </c>
      <c r="H49" s="85" t="s">
        <v>11</v>
      </c>
      <c r="J49" s="84" t="s">
        <v>3</v>
      </c>
      <c r="K49" s="94" t="s">
        <v>4</v>
      </c>
      <c r="L49" s="102" t="s">
        <v>12</v>
      </c>
      <c r="M49" s="102" t="s">
        <v>10</v>
      </c>
      <c r="N49" s="102" t="s">
        <v>8</v>
      </c>
      <c r="O49" s="102" t="s">
        <v>7</v>
      </c>
      <c r="P49" s="85" t="s">
        <v>11</v>
      </c>
      <c r="R49" s="84" t="s">
        <v>3</v>
      </c>
      <c r="S49" s="94" t="s">
        <v>4</v>
      </c>
      <c r="T49" s="102" t="s">
        <v>12</v>
      </c>
      <c r="U49" s="102" t="s">
        <v>10</v>
      </c>
      <c r="V49" s="102" t="s">
        <v>8</v>
      </c>
      <c r="W49" s="102" t="s">
        <v>7</v>
      </c>
      <c r="X49" s="85" t="s">
        <v>11</v>
      </c>
      <c r="Z49" s="84" t="s">
        <v>3</v>
      </c>
      <c r="AA49" s="94" t="s">
        <v>4</v>
      </c>
      <c r="AB49" s="102" t="s">
        <v>12</v>
      </c>
      <c r="AC49" s="102" t="s">
        <v>10</v>
      </c>
      <c r="AD49" s="102" t="s">
        <v>8</v>
      </c>
      <c r="AE49" s="102" t="s">
        <v>7</v>
      </c>
      <c r="AF49" s="85" t="s">
        <v>11</v>
      </c>
      <c r="AH49" s="84" t="s">
        <v>3</v>
      </c>
      <c r="AI49" s="94" t="s">
        <v>4</v>
      </c>
      <c r="AJ49" s="102" t="s">
        <v>12</v>
      </c>
      <c r="AK49" s="102" t="s">
        <v>10</v>
      </c>
      <c r="AL49" s="102" t="s">
        <v>8</v>
      </c>
      <c r="AM49" s="102" t="s">
        <v>7</v>
      </c>
      <c r="AN49" s="85" t="s">
        <v>11</v>
      </c>
      <c r="AP49" s="84" t="s">
        <v>3</v>
      </c>
      <c r="AQ49" s="94" t="s">
        <v>4</v>
      </c>
      <c r="AR49" s="113" t="s">
        <v>12</v>
      </c>
      <c r="AS49" s="102" t="s">
        <v>10</v>
      </c>
      <c r="AT49" s="102" t="s">
        <v>8</v>
      </c>
      <c r="AU49" s="102" t="s">
        <v>7</v>
      </c>
      <c r="AV49" s="85" t="s">
        <v>11</v>
      </c>
      <c r="AX49" s="84" t="s">
        <v>3</v>
      </c>
      <c r="AY49" s="94" t="s">
        <v>4</v>
      </c>
      <c r="AZ49" s="102" t="s">
        <v>12</v>
      </c>
      <c r="BA49" s="102" t="s">
        <v>10</v>
      </c>
      <c r="BB49" s="102" t="s">
        <v>8</v>
      </c>
      <c r="BC49" s="102" t="s">
        <v>7</v>
      </c>
      <c r="BD49" s="85" t="s">
        <v>11</v>
      </c>
      <c r="BF49" s="84" t="s">
        <v>3</v>
      </c>
      <c r="BG49" s="94" t="s">
        <v>4</v>
      </c>
      <c r="BH49" s="102" t="s">
        <v>12</v>
      </c>
      <c r="BI49" s="102" t="s">
        <v>10</v>
      </c>
      <c r="BJ49" s="102" t="s">
        <v>8</v>
      </c>
      <c r="BK49" s="102" t="s">
        <v>7</v>
      </c>
      <c r="BL49" s="85" t="s">
        <v>11</v>
      </c>
      <c r="BN49" s="84" t="s">
        <v>3</v>
      </c>
      <c r="BO49" s="94" t="s">
        <v>4</v>
      </c>
      <c r="BP49" s="102" t="s">
        <v>12</v>
      </c>
      <c r="BQ49" s="102" t="s">
        <v>10</v>
      </c>
      <c r="BR49" s="102" t="s">
        <v>8</v>
      </c>
      <c r="BS49" s="102" t="s">
        <v>7</v>
      </c>
      <c r="BT49" s="85" t="s">
        <v>11</v>
      </c>
      <c r="BV49" s="66" t="s">
        <v>3</v>
      </c>
      <c r="BW49" s="102" t="s">
        <v>4</v>
      </c>
      <c r="BX49" s="102" t="s">
        <v>12</v>
      </c>
      <c r="BY49" s="102" t="s">
        <v>10</v>
      </c>
      <c r="BZ49" s="102" t="s">
        <v>8</v>
      </c>
      <c r="CA49" s="102" t="s">
        <v>7</v>
      </c>
      <c r="CB49" s="85" t="s">
        <v>11</v>
      </c>
    </row>
    <row r="50" spans="2:80" s="2" customFormat="1" ht="12.75">
      <c r="B50" s="29" t="str">
        <f>+$B$9</f>
        <v>Agua</v>
      </c>
      <c r="C50" s="35" t="str">
        <f>+$C$9</f>
        <v>Mts3</v>
      </c>
      <c r="D50" s="17">
        <f>+$D$9</f>
        <v>0.011</v>
      </c>
      <c r="E50" s="18">
        <f>+PRODUCCIÓN!$F$33</f>
        <v>333000</v>
      </c>
      <c r="F50" s="18">
        <v>0</v>
      </c>
      <c r="G50" s="19">
        <v>0</v>
      </c>
      <c r="H50" s="8">
        <f>(D50*E50)-F50+G50</f>
        <v>3663</v>
      </c>
      <c r="J50" s="63" t="str">
        <f>+$B$10</f>
        <v>Residuos Orgánicos</v>
      </c>
      <c r="K50" s="99" t="str">
        <f>+$C$10</f>
        <v>Kgm</v>
      </c>
      <c r="L50" s="17">
        <f>+$D$10</f>
        <v>1.2</v>
      </c>
      <c r="M50" s="18">
        <f>+PRODUCCIÓN!$F$33</f>
        <v>333000</v>
      </c>
      <c r="N50" s="18">
        <v>0</v>
      </c>
      <c r="O50" s="18">
        <v>0</v>
      </c>
      <c r="P50" s="8">
        <f>(L50*M50)-N50+O50</f>
        <v>399600</v>
      </c>
      <c r="R50" s="63" t="str">
        <f>+$B$11</f>
        <v>Estiercol</v>
      </c>
      <c r="S50" s="99" t="str">
        <f>+$C$11</f>
        <v>Kgm</v>
      </c>
      <c r="T50" s="17">
        <f>+$D$11</f>
        <v>2.5</v>
      </c>
      <c r="U50" s="18">
        <f>+PRODUCCIÓN!$F$33</f>
        <v>333000</v>
      </c>
      <c r="V50" s="18">
        <v>0</v>
      </c>
      <c r="W50" s="18">
        <v>0</v>
      </c>
      <c r="X50" s="8">
        <f>(T50*U50)-V50+W50</f>
        <v>832500</v>
      </c>
      <c r="Z50" s="63">
        <f>+$B$12</f>
        <v>0</v>
      </c>
      <c r="AA50" s="99">
        <f>+$C$12</f>
        <v>0</v>
      </c>
      <c r="AB50" s="17">
        <f>+$D$12</f>
        <v>0</v>
      </c>
      <c r="AC50" s="18">
        <f>+PRODUCCIÓN!$F$33</f>
        <v>333000</v>
      </c>
      <c r="AD50" s="18">
        <v>0</v>
      </c>
      <c r="AE50" s="18">
        <v>0</v>
      </c>
      <c r="AF50" s="8">
        <f>(AB50*AC50)-AD50+AE50</f>
        <v>0</v>
      </c>
      <c r="AH50" s="63">
        <f>+$B$13</f>
        <v>0</v>
      </c>
      <c r="AI50" s="99">
        <f>+$C$13</f>
        <v>0</v>
      </c>
      <c r="AJ50" s="17">
        <f>+$D$13</f>
        <v>0</v>
      </c>
      <c r="AK50" s="18">
        <f>+PRODUCCIÓN!$F$33</f>
        <v>333000</v>
      </c>
      <c r="AL50" s="18">
        <v>0</v>
      </c>
      <c r="AM50" s="18">
        <v>0</v>
      </c>
      <c r="AN50" s="8">
        <f>(AJ50*AK50)-AL50+AM50</f>
        <v>0</v>
      </c>
      <c r="AP50" s="63">
        <f>+$B$14</f>
        <v>0</v>
      </c>
      <c r="AQ50" s="99">
        <f>+$C$14</f>
        <v>0</v>
      </c>
      <c r="AR50" s="39">
        <f>+$D$14</f>
        <v>0</v>
      </c>
      <c r="AS50" s="18">
        <f>+PRODUCCIÓN!$F$33</f>
        <v>333000</v>
      </c>
      <c r="AT50" s="18">
        <v>0</v>
      </c>
      <c r="AU50" s="18">
        <v>0</v>
      </c>
      <c r="AV50" s="8">
        <f>(AR50*AS50)-AT50+AU50</f>
        <v>0</v>
      </c>
      <c r="AX50" s="63">
        <f>+$B$15</f>
        <v>0</v>
      </c>
      <c r="AY50" s="99">
        <f>+$C$15</f>
        <v>0</v>
      </c>
      <c r="AZ50" s="17">
        <f>+$D$15</f>
        <v>0</v>
      </c>
      <c r="BA50" s="18">
        <f>+PRODUCCIÓN!$F$33</f>
        <v>333000</v>
      </c>
      <c r="BB50" s="18">
        <v>0</v>
      </c>
      <c r="BC50" s="18">
        <v>0</v>
      </c>
      <c r="BD50" s="8">
        <f>(AZ50*BA50)-BB50+BC50</f>
        <v>0</v>
      </c>
      <c r="BF50" s="63">
        <f>+$B$16</f>
        <v>0</v>
      </c>
      <c r="BG50" s="99">
        <f>+$C$16</f>
        <v>0</v>
      </c>
      <c r="BH50" s="17">
        <f>+$D$16</f>
        <v>0</v>
      </c>
      <c r="BI50" s="18">
        <f>+PRODUCCIÓN!$F$33</f>
        <v>333000</v>
      </c>
      <c r="BJ50" s="18">
        <v>0</v>
      </c>
      <c r="BK50" s="18">
        <v>0</v>
      </c>
      <c r="BL50" s="8">
        <f>(BH50*BI50)-BJ50+BK50</f>
        <v>0</v>
      </c>
      <c r="BN50" s="63">
        <f>+$B$17</f>
        <v>0</v>
      </c>
      <c r="BO50" s="99">
        <f>+$C$17</f>
        <v>0</v>
      </c>
      <c r="BP50" s="17">
        <f>+$D$17</f>
        <v>0</v>
      </c>
      <c r="BQ50" s="18">
        <f>+PRODUCCIÓN!$F$33</f>
        <v>333000</v>
      </c>
      <c r="BR50" s="18">
        <v>0</v>
      </c>
      <c r="BS50" s="18">
        <v>0</v>
      </c>
      <c r="BT50" s="8">
        <f>(BP50*BQ50)-BR50+BS50</f>
        <v>0</v>
      </c>
      <c r="BV50" s="65">
        <f>+$B$18</f>
        <v>0</v>
      </c>
      <c r="BW50" s="27">
        <f>+$C$18</f>
        <v>0</v>
      </c>
      <c r="BX50" s="17">
        <f>+$D$18</f>
        <v>0</v>
      </c>
      <c r="BY50" s="18">
        <f>+PRODUCCIÓN!$F$33</f>
        <v>333000</v>
      </c>
      <c r="BZ50" s="18">
        <v>0</v>
      </c>
      <c r="CA50" s="18">
        <v>0</v>
      </c>
      <c r="CB50" s="8">
        <f>(BX50*BY50)-BZ50+CA50</f>
        <v>0</v>
      </c>
    </row>
    <row r="51" spans="2:80" s="2" customFormat="1" ht="12.75">
      <c r="B51" s="29" t="s">
        <v>0</v>
      </c>
      <c r="C51" s="35"/>
      <c r="D51" s="12"/>
      <c r="E51" s="14" t="s">
        <v>0</v>
      </c>
      <c r="F51" s="13" t="s">
        <v>0</v>
      </c>
      <c r="G51" s="15" t="s">
        <v>0</v>
      </c>
      <c r="H51" s="6" t="s">
        <v>0</v>
      </c>
      <c r="J51" s="63" t="s">
        <v>0</v>
      </c>
      <c r="K51" s="99"/>
      <c r="L51" s="12"/>
      <c r="M51" s="14" t="s">
        <v>0</v>
      </c>
      <c r="N51" s="13" t="s">
        <v>0</v>
      </c>
      <c r="O51" s="15" t="s">
        <v>0</v>
      </c>
      <c r="P51" s="6" t="s">
        <v>0</v>
      </c>
      <c r="R51" s="63" t="s">
        <v>0</v>
      </c>
      <c r="S51" s="99"/>
      <c r="T51" s="12"/>
      <c r="U51" s="14" t="s">
        <v>0</v>
      </c>
      <c r="V51" s="13" t="s">
        <v>0</v>
      </c>
      <c r="W51" s="15" t="s">
        <v>0</v>
      </c>
      <c r="X51" s="6" t="s">
        <v>0</v>
      </c>
      <c r="Z51" s="63" t="s">
        <v>0</v>
      </c>
      <c r="AA51" s="99"/>
      <c r="AB51" s="12"/>
      <c r="AC51" s="14" t="s">
        <v>0</v>
      </c>
      <c r="AD51" s="13" t="s">
        <v>0</v>
      </c>
      <c r="AE51" s="15" t="s">
        <v>0</v>
      </c>
      <c r="AF51" s="6" t="s">
        <v>0</v>
      </c>
      <c r="AH51" s="63" t="s">
        <v>0</v>
      </c>
      <c r="AI51" s="99"/>
      <c r="AJ51" s="12"/>
      <c r="AK51" s="14" t="s">
        <v>0</v>
      </c>
      <c r="AL51" s="13" t="s">
        <v>0</v>
      </c>
      <c r="AM51" s="15" t="s">
        <v>0</v>
      </c>
      <c r="AN51" s="6" t="s">
        <v>0</v>
      </c>
      <c r="AP51" s="63" t="s">
        <v>0</v>
      </c>
      <c r="AQ51" s="99"/>
      <c r="AR51" s="41"/>
      <c r="AS51" s="14" t="s">
        <v>0</v>
      </c>
      <c r="AT51" s="13" t="s">
        <v>0</v>
      </c>
      <c r="AU51" s="15" t="s">
        <v>0</v>
      </c>
      <c r="AV51" s="6" t="s">
        <v>0</v>
      </c>
      <c r="AX51" s="63" t="s">
        <v>0</v>
      </c>
      <c r="AY51" s="99"/>
      <c r="AZ51" s="12"/>
      <c r="BA51" s="14" t="s">
        <v>0</v>
      </c>
      <c r="BB51" s="13" t="s">
        <v>0</v>
      </c>
      <c r="BC51" s="15" t="s">
        <v>0</v>
      </c>
      <c r="BD51" s="6" t="s">
        <v>0</v>
      </c>
      <c r="BF51" s="63" t="s">
        <v>0</v>
      </c>
      <c r="BG51" s="99"/>
      <c r="BH51" s="12"/>
      <c r="BI51" s="14" t="s">
        <v>0</v>
      </c>
      <c r="BJ51" s="13" t="s">
        <v>0</v>
      </c>
      <c r="BK51" s="15" t="s">
        <v>0</v>
      </c>
      <c r="BL51" s="6" t="s">
        <v>0</v>
      </c>
      <c r="BN51" s="63" t="s">
        <v>0</v>
      </c>
      <c r="BO51" s="99"/>
      <c r="BP51" s="12"/>
      <c r="BQ51" s="14" t="s">
        <v>0</v>
      </c>
      <c r="BR51" s="13" t="s">
        <v>0</v>
      </c>
      <c r="BS51" s="15" t="s">
        <v>0</v>
      </c>
      <c r="BT51" s="6" t="s">
        <v>0</v>
      </c>
      <c r="BV51" s="26" t="s">
        <v>0</v>
      </c>
      <c r="BW51" s="27"/>
      <c r="BX51" s="12"/>
      <c r="BY51" s="14" t="s">
        <v>0</v>
      </c>
      <c r="BZ51" s="13" t="s">
        <v>0</v>
      </c>
      <c r="CA51" s="15" t="s">
        <v>0</v>
      </c>
      <c r="CB51" s="6" t="s">
        <v>0</v>
      </c>
    </row>
    <row r="52" spans="2:80" s="2" customFormat="1" ht="12.75">
      <c r="B52" s="31" t="s">
        <v>2</v>
      </c>
      <c r="C52" s="36" t="s">
        <v>0</v>
      </c>
      <c r="D52" s="9">
        <f>+D50</f>
        <v>0.011</v>
      </c>
      <c r="E52" s="9">
        <f>+E50</f>
        <v>333000</v>
      </c>
      <c r="F52" s="9">
        <f>+F50</f>
        <v>0</v>
      </c>
      <c r="G52" s="9">
        <f>+G50</f>
        <v>0</v>
      </c>
      <c r="H52" s="10">
        <f>+H50</f>
        <v>3663</v>
      </c>
      <c r="J52" s="64" t="s">
        <v>2</v>
      </c>
      <c r="K52" s="100" t="s">
        <v>0</v>
      </c>
      <c r="L52" s="9">
        <f>+L50</f>
        <v>1.2</v>
      </c>
      <c r="M52" s="9">
        <f>+M50</f>
        <v>333000</v>
      </c>
      <c r="N52" s="9">
        <f>+N50</f>
        <v>0</v>
      </c>
      <c r="O52" s="9">
        <f>+O50</f>
        <v>0</v>
      </c>
      <c r="P52" s="10">
        <f>+P50</f>
        <v>399600</v>
      </c>
      <c r="R52" s="64" t="s">
        <v>2</v>
      </c>
      <c r="S52" s="100" t="s">
        <v>0</v>
      </c>
      <c r="T52" s="9">
        <f>+T50</f>
        <v>2.5</v>
      </c>
      <c r="U52" s="9">
        <f>+U50</f>
        <v>333000</v>
      </c>
      <c r="V52" s="9">
        <f>+V50</f>
        <v>0</v>
      </c>
      <c r="W52" s="9">
        <f>+W50</f>
        <v>0</v>
      </c>
      <c r="X52" s="10">
        <f>+X50</f>
        <v>832500</v>
      </c>
      <c r="Z52" s="64" t="s">
        <v>2</v>
      </c>
      <c r="AA52" s="100" t="s">
        <v>0</v>
      </c>
      <c r="AB52" s="9">
        <f>+AB50</f>
        <v>0</v>
      </c>
      <c r="AC52" s="9">
        <f>+AC50</f>
        <v>333000</v>
      </c>
      <c r="AD52" s="9">
        <f>+AD50</f>
        <v>0</v>
      </c>
      <c r="AE52" s="9">
        <f>+AE50</f>
        <v>0</v>
      </c>
      <c r="AF52" s="10">
        <f>+AF50</f>
        <v>0</v>
      </c>
      <c r="AH52" s="64" t="s">
        <v>2</v>
      </c>
      <c r="AI52" s="100" t="s">
        <v>0</v>
      </c>
      <c r="AJ52" s="9">
        <f>+AJ50</f>
        <v>0</v>
      </c>
      <c r="AK52" s="9">
        <f>+AK50</f>
        <v>333000</v>
      </c>
      <c r="AL52" s="9">
        <f>+AL50</f>
        <v>0</v>
      </c>
      <c r="AM52" s="9">
        <f>+AM50</f>
        <v>0</v>
      </c>
      <c r="AN52" s="10">
        <f>+AN50</f>
        <v>0</v>
      </c>
      <c r="AP52" s="64" t="s">
        <v>2</v>
      </c>
      <c r="AQ52" s="100" t="s">
        <v>0</v>
      </c>
      <c r="AR52" s="111">
        <f>+AR50</f>
        <v>0</v>
      </c>
      <c r="AS52" s="9">
        <f>+AS50</f>
        <v>333000</v>
      </c>
      <c r="AT52" s="9">
        <f>+AT50</f>
        <v>0</v>
      </c>
      <c r="AU52" s="9">
        <f>+AU50</f>
        <v>0</v>
      </c>
      <c r="AV52" s="10">
        <f>+AV50</f>
        <v>0</v>
      </c>
      <c r="AX52" s="64" t="s">
        <v>2</v>
      </c>
      <c r="AY52" s="100" t="s">
        <v>0</v>
      </c>
      <c r="AZ52" s="9">
        <f>+AZ50</f>
        <v>0</v>
      </c>
      <c r="BA52" s="9">
        <f>+BA50</f>
        <v>333000</v>
      </c>
      <c r="BB52" s="9">
        <f>+BB50</f>
        <v>0</v>
      </c>
      <c r="BC52" s="9">
        <f>+BC50</f>
        <v>0</v>
      </c>
      <c r="BD52" s="10">
        <f>+BD50</f>
        <v>0</v>
      </c>
      <c r="BF52" s="64" t="s">
        <v>2</v>
      </c>
      <c r="BG52" s="100" t="s">
        <v>0</v>
      </c>
      <c r="BH52" s="9">
        <f>+BH50</f>
        <v>0</v>
      </c>
      <c r="BI52" s="9">
        <f>+BI50</f>
        <v>333000</v>
      </c>
      <c r="BJ52" s="9">
        <f>+BJ50</f>
        <v>0</v>
      </c>
      <c r="BK52" s="9">
        <f>+BK50</f>
        <v>0</v>
      </c>
      <c r="BL52" s="10">
        <f>+BL50</f>
        <v>0</v>
      </c>
      <c r="BN52" s="64" t="s">
        <v>2</v>
      </c>
      <c r="BO52" s="100" t="s">
        <v>0</v>
      </c>
      <c r="BP52" s="9">
        <f>+BP50</f>
        <v>0</v>
      </c>
      <c r="BQ52" s="9">
        <f>+BQ50</f>
        <v>333000</v>
      </c>
      <c r="BR52" s="9">
        <f>+BR50</f>
        <v>0</v>
      </c>
      <c r="BS52" s="9">
        <f>+BS50</f>
        <v>0</v>
      </c>
      <c r="BT52" s="10">
        <f>+BT50</f>
        <v>0</v>
      </c>
      <c r="BV52" s="28" t="s">
        <v>2</v>
      </c>
      <c r="BW52" s="9" t="s">
        <v>0</v>
      </c>
      <c r="BX52" s="9">
        <f>+BX50</f>
        <v>0</v>
      </c>
      <c r="BY52" s="9">
        <f>+BY50</f>
        <v>333000</v>
      </c>
      <c r="BZ52" s="9">
        <f>+BZ50</f>
        <v>0</v>
      </c>
      <c r="CA52" s="9">
        <f>+CA50</f>
        <v>0</v>
      </c>
      <c r="CB52" s="10">
        <f>+CB50</f>
        <v>0</v>
      </c>
    </row>
    <row r="53" ht="12.75">
      <c r="AR53" s="112"/>
    </row>
    <row r="54" spans="3:67" ht="12.75">
      <c r="C54"/>
      <c r="K54"/>
      <c r="S54"/>
      <c r="AA54"/>
      <c r="AI54"/>
      <c r="AQ54"/>
      <c r="AY54"/>
      <c r="BG54"/>
      <c r="BO54"/>
    </row>
    <row r="55" spans="2:82" s="103" customFormat="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2:82" s="2" customFormat="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2:82" s="2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2:82" s="2" customFormat="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3:67" ht="12.75">
      <c r="C59"/>
      <c r="K59"/>
      <c r="S59"/>
      <c r="AA59"/>
      <c r="AI59"/>
      <c r="AQ59"/>
      <c r="AY59"/>
      <c r="BG59"/>
      <c r="BO59"/>
    </row>
    <row r="60" spans="3:67" ht="12.75">
      <c r="C60"/>
      <c r="K60"/>
      <c r="S60"/>
      <c r="AA60"/>
      <c r="AI60"/>
      <c r="AQ60"/>
      <c r="AY60"/>
      <c r="BG60"/>
      <c r="BO60"/>
    </row>
    <row r="61" spans="2:82" s="103" customFormat="1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2:82" s="2" customFormat="1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2:82" s="2" customFormat="1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2:82" s="2" customFormat="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3:67" ht="12.75">
      <c r="C65"/>
      <c r="K65"/>
      <c r="S65"/>
      <c r="AA65"/>
      <c r="AI65"/>
      <c r="AQ65"/>
      <c r="AY65"/>
      <c r="BG65"/>
      <c r="BO65"/>
    </row>
    <row r="66" spans="3:67" ht="12.75">
      <c r="C66"/>
      <c r="K66"/>
      <c r="S66"/>
      <c r="AA66"/>
      <c r="AI66"/>
      <c r="AQ66"/>
      <c r="AY66"/>
      <c r="BG66"/>
      <c r="BO66"/>
    </row>
    <row r="67" spans="2:82" s="103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2:82" s="2" customFormat="1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2:82" s="2" customFormat="1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2:82" s="2" customFormat="1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3:67" ht="12.75">
      <c r="C71"/>
      <c r="K71"/>
      <c r="S71"/>
      <c r="AA71"/>
      <c r="AI71"/>
      <c r="AQ71"/>
      <c r="AY71"/>
      <c r="BG71"/>
      <c r="BO71"/>
    </row>
    <row r="72" spans="3:67" ht="12.75">
      <c r="C72"/>
      <c r="K72"/>
      <c r="S72"/>
      <c r="AA72"/>
      <c r="AI72"/>
      <c r="AQ72"/>
      <c r="AY72"/>
      <c r="BG72"/>
      <c r="BO72"/>
    </row>
    <row r="73" spans="2:82" s="103" customFormat="1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2:82" s="2" customFormat="1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2:82" s="2" customFormat="1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2:82" s="2" customFormat="1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3:67" ht="12.75">
      <c r="C77"/>
      <c r="K77"/>
      <c r="S77"/>
      <c r="AA77"/>
      <c r="AI77"/>
      <c r="AQ77"/>
      <c r="AY77"/>
      <c r="BG77"/>
      <c r="BO77"/>
    </row>
    <row r="78" spans="3:67" ht="12.75">
      <c r="C78"/>
      <c r="K78"/>
      <c r="S78"/>
      <c r="AA78"/>
      <c r="AI78"/>
      <c r="AQ78"/>
      <c r="AY78"/>
      <c r="BG78"/>
      <c r="BO78"/>
    </row>
    <row r="79" spans="2:82" s="103" customFormat="1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2:82" s="2" customFormat="1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2:82" s="2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2:82" s="2" customFormat="1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3:67" ht="12.75">
      <c r="C83"/>
      <c r="K83"/>
      <c r="S83"/>
      <c r="AA83"/>
      <c r="AI83"/>
      <c r="AQ83"/>
      <c r="AY83"/>
      <c r="BG83"/>
      <c r="BO83"/>
    </row>
    <row r="84" spans="3:67" ht="12.75">
      <c r="C84"/>
      <c r="K84"/>
      <c r="S84"/>
      <c r="AA84"/>
      <c r="AI84"/>
      <c r="AQ84"/>
      <c r="AY84"/>
      <c r="BG84"/>
      <c r="BO84"/>
    </row>
    <row r="85" spans="2:82" s="10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</row>
    <row r="86" spans="2:82" s="2" customFormat="1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</row>
    <row r="87" spans="2:82" s="2" customFormat="1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</row>
    <row r="88" spans="2:82" s="2" customFormat="1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</row>
    <row r="89" spans="3:67" ht="12.75">
      <c r="C89"/>
      <c r="K89"/>
      <c r="S89"/>
      <c r="AA89"/>
      <c r="AI89"/>
      <c r="AQ89"/>
      <c r="AY89"/>
      <c r="BG89"/>
      <c r="BO89"/>
    </row>
    <row r="90" spans="3:67" ht="12.75">
      <c r="C90"/>
      <c r="K90"/>
      <c r="S90"/>
      <c r="AA90"/>
      <c r="AI90"/>
      <c r="AQ90"/>
      <c r="AY90"/>
      <c r="BG90"/>
      <c r="BO90"/>
    </row>
    <row r="91" spans="2:82" s="103" customFormat="1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2:82" s="2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2:82" s="2" customFormat="1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2:82" s="2" customFormat="1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3:67" ht="12.75">
      <c r="C95"/>
      <c r="K95"/>
      <c r="S95"/>
      <c r="AA95"/>
      <c r="AI95"/>
      <c r="AQ95"/>
      <c r="AY95"/>
      <c r="BG95"/>
      <c r="BO95"/>
    </row>
    <row r="96" spans="3:67" ht="12.75">
      <c r="C96"/>
      <c r="K96"/>
      <c r="S96"/>
      <c r="AA96"/>
      <c r="AI96"/>
      <c r="AQ96"/>
      <c r="AY96"/>
      <c r="BG96"/>
      <c r="BO96"/>
    </row>
    <row r="97" spans="3:67" ht="12.75">
      <c r="C97"/>
      <c r="K97"/>
      <c r="S97"/>
      <c r="AA97"/>
      <c r="AI97"/>
      <c r="AQ97"/>
      <c r="AY97"/>
      <c r="BG97"/>
      <c r="BO97"/>
    </row>
    <row r="98" spans="3:67" ht="12.75">
      <c r="C98"/>
      <c r="K98"/>
      <c r="S98"/>
      <c r="AA98"/>
      <c r="AI98"/>
      <c r="AQ98"/>
      <c r="AY98"/>
      <c r="BG98"/>
      <c r="BO98"/>
    </row>
    <row r="99" spans="3:67" ht="12.75">
      <c r="C99"/>
      <c r="K99"/>
      <c r="S99"/>
      <c r="AA99"/>
      <c r="AI99"/>
      <c r="AQ99"/>
      <c r="AY99"/>
      <c r="BG99"/>
      <c r="BO99"/>
    </row>
    <row r="100" spans="3:67" ht="12.75">
      <c r="C100"/>
      <c r="K100"/>
      <c r="S100"/>
      <c r="AA100"/>
      <c r="AI100"/>
      <c r="AQ100"/>
      <c r="AY100"/>
      <c r="BG100"/>
      <c r="BO100"/>
    </row>
    <row r="101" spans="3:67" ht="12.75">
      <c r="C101"/>
      <c r="K101"/>
      <c r="S101"/>
      <c r="AA101"/>
      <c r="AI101"/>
      <c r="AQ101"/>
      <c r="AY101"/>
      <c r="BG101"/>
      <c r="BO101"/>
    </row>
    <row r="102" spans="3:67" ht="12.75">
      <c r="C102"/>
      <c r="K102"/>
      <c r="S102"/>
      <c r="AA102"/>
      <c r="AI102"/>
      <c r="AQ102"/>
      <c r="AY102"/>
      <c r="BG102"/>
      <c r="BO102"/>
    </row>
    <row r="103" spans="3:67" ht="12.75">
      <c r="C103"/>
      <c r="K103"/>
      <c r="S103"/>
      <c r="AA103"/>
      <c r="AI103"/>
      <c r="AQ103"/>
      <c r="AY103"/>
      <c r="BG103"/>
      <c r="BO103"/>
    </row>
    <row r="104" spans="3:67" ht="12.75">
      <c r="C104"/>
      <c r="K104"/>
      <c r="S104"/>
      <c r="AA104"/>
      <c r="AI104"/>
      <c r="AQ104"/>
      <c r="AY104"/>
      <c r="BG104"/>
      <c r="BO104"/>
    </row>
    <row r="105" spans="3:67" ht="12.75">
      <c r="C105"/>
      <c r="K105"/>
      <c r="S105"/>
      <c r="AA105"/>
      <c r="AI105"/>
      <c r="AQ105"/>
      <c r="AY105"/>
      <c r="BG105"/>
      <c r="BO105"/>
    </row>
    <row r="106" spans="3:67" ht="12.75">
      <c r="C106"/>
      <c r="K106"/>
      <c r="S106"/>
      <c r="AA106"/>
      <c r="AI106"/>
      <c r="AQ106"/>
      <c r="AY106"/>
      <c r="BG106"/>
      <c r="BO106"/>
    </row>
    <row r="107" spans="3:67" ht="12.75">
      <c r="C107"/>
      <c r="K107"/>
      <c r="S107"/>
      <c r="AA107"/>
      <c r="AI107"/>
      <c r="AQ107"/>
      <c r="AY107"/>
      <c r="BG107"/>
      <c r="BO107"/>
    </row>
    <row r="108" spans="3:67" ht="12.75">
      <c r="C108"/>
      <c r="K108"/>
      <c r="S108"/>
      <c r="AA108"/>
      <c r="AI108"/>
      <c r="AQ108"/>
      <c r="AY108"/>
      <c r="BG108"/>
      <c r="BO108"/>
    </row>
    <row r="109" spans="3:67" ht="12.75">
      <c r="C109"/>
      <c r="K109"/>
      <c r="S109"/>
      <c r="AA109"/>
      <c r="AI109"/>
      <c r="AQ109"/>
      <c r="AY109"/>
      <c r="BG109"/>
      <c r="BO109"/>
    </row>
    <row r="110" spans="3:67" ht="12.75">
      <c r="C110"/>
      <c r="K110"/>
      <c r="S110"/>
      <c r="AA110"/>
      <c r="AI110"/>
      <c r="AQ110"/>
      <c r="AY110"/>
      <c r="BG110"/>
      <c r="BO110"/>
    </row>
    <row r="111" spans="3:67" ht="12.75">
      <c r="C111"/>
      <c r="K111"/>
      <c r="S111"/>
      <c r="AA111"/>
      <c r="AI111"/>
      <c r="AQ111"/>
      <c r="AY111"/>
      <c r="BG111"/>
      <c r="BO111"/>
    </row>
    <row r="112" spans="3:67" ht="12.75">
      <c r="C112"/>
      <c r="K112"/>
      <c r="S112"/>
      <c r="AA112"/>
      <c r="AI112"/>
      <c r="AQ112"/>
      <c r="AY112"/>
      <c r="BG112"/>
      <c r="BO112"/>
    </row>
    <row r="113" spans="3:67" ht="12.75">
      <c r="C113"/>
      <c r="K113"/>
      <c r="S113"/>
      <c r="AA113"/>
      <c r="AI113"/>
      <c r="AQ113"/>
      <c r="AY113"/>
      <c r="BG113"/>
      <c r="BO113"/>
    </row>
    <row r="114" spans="3:67" ht="12.75">
      <c r="C114"/>
      <c r="K114"/>
      <c r="S114"/>
      <c r="AA114"/>
      <c r="AI114"/>
      <c r="AQ114"/>
      <c r="AY114"/>
      <c r="BG114"/>
      <c r="BO114"/>
    </row>
    <row r="115" spans="3:67" ht="12.75">
      <c r="C115"/>
      <c r="K115"/>
      <c r="S115"/>
      <c r="AA115"/>
      <c r="AI115"/>
      <c r="AQ115"/>
      <c r="AY115"/>
      <c r="BG115"/>
      <c r="BO115"/>
    </row>
    <row r="116" spans="3:67" ht="12.75">
      <c r="C116"/>
      <c r="K116"/>
      <c r="S116"/>
      <c r="AA116"/>
      <c r="AI116"/>
      <c r="AQ116"/>
      <c r="AY116"/>
      <c r="BG116"/>
      <c r="BO116"/>
    </row>
    <row r="117" spans="3:67" ht="12.75">
      <c r="C117"/>
      <c r="K117"/>
      <c r="S117"/>
      <c r="AA117"/>
      <c r="AI117"/>
      <c r="AQ117"/>
      <c r="AY117"/>
      <c r="BG117"/>
      <c r="BO117"/>
    </row>
    <row r="118" ht="12.75">
      <c r="AR118" s="112"/>
    </row>
    <row r="119" ht="12.75">
      <c r="AR119" s="112"/>
    </row>
    <row r="120" ht="12.75">
      <c r="AR120" s="112"/>
    </row>
    <row r="121" ht="12.75">
      <c r="AR121" s="112"/>
    </row>
    <row r="122" ht="12.75">
      <c r="AR122" s="112"/>
    </row>
    <row r="123" ht="12.75">
      <c r="AR123" s="112"/>
    </row>
    <row r="124" ht="12.75">
      <c r="AR124" s="112"/>
    </row>
    <row r="125" ht="12.75">
      <c r="AR125" s="112"/>
    </row>
    <row r="126" ht="12.75">
      <c r="AR126" s="112"/>
    </row>
    <row r="127" ht="12.75">
      <c r="AR127" s="112"/>
    </row>
    <row r="128" ht="12.75">
      <c r="AR128" s="112"/>
    </row>
    <row r="129" ht="12.75">
      <c r="AR129" s="112"/>
    </row>
    <row r="130" ht="12.75">
      <c r="AR130" s="112"/>
    </row>
    <row r="131" ht="12.75">
      <c r="AR131" s="112"/>
    </row>
    <row r="132" ht="12.75">
      <c r="AR132" s="112"/>
    </row>
    <row r="133" ht="12.75">
      <c r="AR133" s="112"/>
    </row>
    <row r="134" ht="12.75">
      <c r="AR134" s="112"/>
    </row>
    <row r="135" ht="12.75">
      <c r="AR135" s="112"/>
    </row>
    <row r="136" ht="12.75">
      <c r="AR136" s="112"/>
    </row>
    <row r="137" ht="12.75">
      <c r="AR137" s="112"/>
    </row>
    <row r="138" ht="12.75">
      <c r="AR138" s="112"/>
    </row>
    <row r="139" ht="12.75">
      <c r="AR139" s="112"/>
    </row>
    <row r="140" ht="12.75">
      <c r="AR140" s="112"/>
    </row>
    <row r="141" ht="12.75">
      <c r="AR141" s="112"/>
    </row>
    <row r="142" ht="12.75">
      <c r="AR142" s="112"/>
    </row>
    <row r="143" ht="12.75">
      <c r="AR143" s="112"/>
    </row>
    <row r="144" ht="12.75">
      <c r="AR144" s="112"/>
    </row>
    <row r="145" ht="12.75">
      <c r="AR145" s="112"/>
    </row>
    <row r="146" ht="12.75">
      <c r="AR146" s="112"/>
    </row>
    <row r="147" ht="12.75">
      <c r="AR147" s="112"/>
    </row>
    <row r="148" ht="12.75">
      <c r="AR148" s="112"/>
    </row>
    <row r="149" ht="12.75">
      <c r="AR149" s="112"/>
    </row>
    <row r="150" ht="12.75">
      <c r="AR150" s="112"/>
    </row>
    <row r="151" ht="12.75">
      <c r="AR151" s="112"/>
    </row>
    <row r="152" ht="12.75">
      <c r="AR152" s="112"/>
    </row>
    <row r="153" ht="12.75">
      <c r="AR153" s="112"/>
    </row>
    <row r="154" ht="12.75">
      <c r="AR154" s="112"/>
    </row>
    <row r="155" ht="12.75">
      <c r="AR155" s="112"/>
    </row>
    <row r="156" ht="12.75">
      <c r="AR156" s="112"/>
    </row>
    <row r="157" ht="12.75">
      <c r="AR157" s="112"/>
    </row>
    <row r="158" ht="12.75">
      <c r="AR158" s="112"/>
    </row>
    <row r="159" ht="12.75">
      <c r="AR159" s="112"/>
    </row>
    <row r="160" ht="12.75">
      <c r="AR160" s="112"/>
    </row>
    <row r="161" ht="12.75">
      <c r="AR161" s="112"/>
    </row>
    <row r="162" ht="12.75">
      <c r="AR162" s="112"/>
    </row>
    <row r="163" ht="12.75">
      <c r="AR163" s="112"/>
    </row>
    <row r="164" ht="12.75">
      <c r="AR164" s="112"/>
    </row>
    <row r="165" ht="12.75">
      <c r="AR165" s="112"/>
    </row>
    <row r="166" ht="12.75">
      <c r="AR166" s="112"/>
    </row>
    <row r="167" ht="12.75">
      <c r="AR167" s="112"/>
    </row>
    <row r="168" ht="12.75">
      <c r="AR168" s="112"/>
    </row>
    <row r="169" ht="12.75">
      <c r="AR169" s="112"/>
    </row>
    <row r="170" ht="12.75">
      <c r="AR170" s="112"/>
    </row>
    <row r="171" ht="12.75">
      <c r="AR171" s="112"/>
    </row>
    <row r="172" ht="12.75">
      <c r="AR172" s="112"/>
    </row>
    <row r="173" ht="12.75">
      <c r="AR173" s="112"/>
    </row>
    <row r="174" ht="12.75">
      <c r="AR174" s="112"/>
    </row>
    <row r="175" ht="12.75">
      <c r="AR175" s="112"/>
    </row>
    <row r="176" ht="12.75">
      <c r="AR176" s="112"/>
    </row>
    <row r="177" ht="12.75">
      <c r="AR177" s="112"/>
    </row>
    <row r="178" ht="12.75">
      <c r="AR178" s="112"/>
    </row>
    <row r="179" ht="12.75">
      <c r="AR179" s="112"/>
    </row>
    <row r="180" ht="12.75">
      <c r="AR180" s="112"/>
    </row>
    <row r="181" ht="12.75">
      <c r="AR181" s="112"/>
    </row>
    <row r="182" ht="12.75">
      <c r="AR182" s="112"/>
    </row>
    <row r="183" ht="12.75">
      <c r="AR183" s="112"/>
    </row>
    <row r="184" ht="12.75">
      <c r="AR184" s="112"/>
    </row>
    <row r="185" ht="12.75">
      <c r="AR185" s="112"/>
    </row>
    <row r="186" ht="12.75">
      <c r="AR186" s="112"/>
    </row>
    <row r="187" ht="12.75">
      <c r="AR187" s="112"/>
    </row>
    <row r="188" ht="12.75">
      <c r="AR188" s="112"/>
    </row>
    <row r="189" ht="12.75">
      <c r="AR189" s="112"/>
    </row>
    <row r="190" ht="12.75">
      <c r="AR190" s="112"/>
    </row>
    <row r="191" ht="12.75">
      <c r="AR191" s="112"/>
    </row>
    <row r="192" ht="12.75">
      <c r="AR192" s="112"/>
    </row>
    <row r="193" ht="12.75">
      <c r="AR193" s="112"/>
    </row>
    <row r="194" ht="12.75">
      <c r="AR194" s="112"/>
    </row>
    <row r="195" ht="12.75">
      <c r="AR195" s="112"/>
    </row>
    <row r="196" ht="12.75">
      <c r="AR196" s="112"/>
    </row>
    <row r="197" ht="12.75">
      <c r="AR197" s="112"/>
    </row>
    <row r="198" ht="12.75">
      <c r="AR198" s="112"/>
    </row>
    <row r="199" ht="12.75">
      <c r="AR199" s="112"/>
    </row>
    <row r="200" ht="12.75">
      <c r="AR200" s="112"/>
    </row>
    <row r="201" ht="12.75">
      <c r="AR201" s="112"/>
    </row>
    <row r="202" ht="12.75">
      <c r="AR202" s="112"/>
    </row>
    <row r="203" ht="12.75">
      <c r="AR203" s="112"/>
    </row>
    <row r="204" ht="12.75">
      <c r="AR204" s="112"/>
    </row>
    <row r="205" ht="12.75">
      <c r="AR205" s="112"/>
    </row>
    <row r="206" ht="12.75">
      <c r="AR206" s="112"/>
    </row>
    <row r="207" ht="12.75">
      <c r="AR207" s="112"/>
    </row>
    <row r="208" ht="12.75">
      <c r="AR208" s="112"/>
    </row>
    <row r="209" ht="12.75">
      <c r="AR209" s="112"/>
    </row>
    <row r="210" ht="12.75">
      <c r="AR210" s="112"/>
    </row>
    <row r="211" ht="12.75">
      <c r="AR211" s="112"/>
    </row>
    <row r="212" ht="12.75">
      <c r="AR212" s="112"/>
    </row>
    <row r="213" ht="12.75">
      <c r="AR213" s="112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K181"/>
  <sheetViews>
    <sheetView showGridLines="0" zoomScale="75" zoomScaleNormal="75" zoomScalePageLayoutView="0" workbookViewId="0" topLeftCell="E1">
      <selection activeCell="I8" sqref="I8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4.140625" style="2" customWidth="1"/>
    <col min="4" max="4" width="10.7109375" style="0" customWidth="1"/>
    <col min="5" max="5" width="6.00390625" style="0" customWidth="1"/>
    <col min="6" max="6" width="26.8515625" style="0" customWidth="1"/>
    <col min="7" max="7" width="14.140625" style="2" customWidth="1"/>
    <col min="8" max="8" width="15.00390625" style="0" customWidth="1"/>
    <col min="9" max="9" width="16.28125" style="0" customWidth="1"/>
    <col min="10" max="10" width="17.28125" style="0" bestFit="1" customWidth="1"/>
  </cols>
  <sheetData>
    <row r="2" spans="6:10" ht="12.75">
      <c r="F2" s="4" t="str">
        <f>+'REQ. DE MAT. PRIMAS'!B2</f>
        <v>NOMBRE DE LA EMPRESA:</v>
      </c>
      <c r="G2" s="334" t="str">
        <f>+'REQ. DE MAT. PRIMAS'!C2</f>
        <v>Gas Metano</v>
      </c>
      <c r="H2" s="327"/>
      <c r="I2" s="327"/>
      <c r="J2" s="327"/>
    </row>
    <row r="3" ht="12.75">
      <c r="B3" s="1" t="s">
        <v>18</v>
      </c>
    </row>
    <row r="4" ht="12.75">
      <c r="F4" s="1" t="s">
        <v>94</v>
      </c>
    </row>
    <row r="5" spans="2:4" ht="12.75">
      <c r="B5" s="38" t="s">
        <v>3</v>
      </c>
      <c r="C5" s="32" t="s">
        <v>4</v>
      </c>
      <c r="D5" s="33" t="s">
        <v>19</v>
      </c>
    </row>
    <row r="6" spans="2:6" ht="12.75">
      <c r="B6" s="21" t="str">
        <f>+'DATOS GENERALES'!B24</f>
        <v>Agua</v>
      </c>
      <c r="C6" s="21" t="str">
        <f>+'DATOS GENERALES'!C24</f>
        <v>Mts3</v>
      </c>
      <c r="D6" s="91">
        <f>+'DATOS GENERALES'!E24</f>
        <v>949.42</v>
      </c>
      <c r="F6" s="1" t="s">
        <v>176</v>
      </c>
    </row>
    <row r="7" spans="2:10" ht="12.75">
      <c r="B7" s="21" t="str">
        <f>+'DATOS GENERALES'!B25</f>
        <v>Residuos Orgánicos</v>
      </c>
      <c r="C7" s="21" t="str">
        <f>+'DATOS GENERALES'!C25</f>
        <v>Kgm</v>
      </c>
      <c r="D7" s="91">
        <f>+'DATOS GENERALES'!E25</f>
        <v>0</v>
      </c>
      <c r="F7" s="264" t="s">
        <v>3</v>
      </c>
      <c r="G7" s="260" t="s">
        <v>4</v>
      </c>
      <c r="H7" s="260" t="s">
        <v>19</v>
      </c>
      <c r="I7" s="260" t="s">
        <v>11</v>
      </c>
      <c r="J7" s="224" t="s">
        <v>5</v>
      </c>
    </row>
    <row r="8" spans="2:11" ht="12.75">
      <c r="B8" s="21" t="str">
        <f>+'DATOS GENERALES'!B26</f>
        <v>Estiercol</v>
      </c>
      <c r="C8" s="21" t="str">
        <f>+'DATOS GENERALES'!C26</f>
        <v>Kgm</v>
      </c>
      <c r="D8" s="91">
        <f>+'DATOS GENERALES'!E26</f>
        <v>0</v>
      </c>
      <c r="F8" s="74" t="str">
        <f aca="true" t="shared" si="0" ref="F8:F17">+B22</f>
        <v>Agua</v>
      </c>
      <c r="G8" s="90" t="str">
        <f aca="true" t="shared" si="1" ref="G8:G17">+C22</f>
        <v>Mts3</v>
      </c>
      <c r="H8" s="39">
        <f>+$D$22</f>
        <v>949.42</v>
      </c>
      <c r="I8" s="19">
        <f>+'REQ. DE MAT. PRIMAS'!$H$26</f>
        <v>2930.3999999999996</v>
      </c>
      <c r="J8" s="263">
        <f>+I8*H8</f>
        <v>2782180.3679999993</v>
      </c>
      <c r="K8" t="s">
        <v>0</v>
      </c>
    </row>
    <row r="9" spans="2:11" ht="12.75">
      <c r="B9" s="21">
        <f>+'DATOS GENERALES'!B27</f>
        <v>0</v>
      </c>
      <c r="C9" s="21">
        <f>+'DATOS GENERALES'!C27</f>
        <v>0</v>
      </c>
      <c r="D9" s="91">
        <f>+'DATOS GENERALES'!E27</f>
        <v>0</v>
      </c>
      <c r="F9" s="74" t="str">
        <f t="shared" si="0"/>
        <v>Residuos Orgánicos</v>
      </c>
      <c r="G9" s="90" t="str">
        <f t="shared" si="1"/>
        <v>Kgm</v>
      </c>
      <c r="H9" s="40">
        <f>+$D$23</f>
        <v>0</v>
      </c>
      <c r="I9" s="22">
        <f>+'REQ. DE MAT. PRIMAS'!$P$26</f>
        <v>319680</v>
      </c>
      <c r="J9" s="263">
        <f aca="true" t="shared" si="2" ref="J9:J17">+I9*H9</f>
        <v>0</v>
      </c>
      <c r="K9" t="s">
        <v>0</v>
      </c>
    </row>
    <row r="10" spans="2:11" ht="12.75">
      <c r="B10" s="21">
        <f>+'DATOS GENERALES'!B28</f>
        <v>0</v>
      </c>
      <c r="C10" s="21">
        <f>+'DATOS GENERALES'!C28</f>
        <v>0</v>
      </c>
      <c r="D10" s="91">
        <f>+'DATOS GENERALES'!E28</f>
        <v>0</v>
      </c>
      <c r="F10" s="74" t="str">
        <f t="shared" si="0"/>
        <v>Estiercol</v>
      </c>
      <c r="G10" s="90" t="str">
        <f t="shared" si="1"/>
        <v>Kgm</v>
      </c>
      <c r="H10" s="40">
        <f>+$D$24</f>
        <v>0</v>
      </c>
      <c r="I10" s="22">
        <f>+'REQ. DE MAT. PRIMAS'!$X$26</f>
        <v>666000</v>
      </c>
      <c r="J10" s="263">
        <f t="shared" si="2"/>
        <v>0</v>
      </c>
      <c r="K10" t="s">
        <v>0</v>
      </c>
    </row>
    <row r="11" spans="2:11" ht="12.75">
      <c r="B11" s="21">
        <f>+'DATOS GENERALES'!B29</f>
        <v>0</v>
      </c>
      <c r="C11" s="21">
        <f>+'DATOS GENERALES'!C29</f>
        <v>0</v>
      </c>
      <c r="D11" s="91">
        <f>+'DATOS GENERALES'!E29</f>
        <v>0</v>
      </c>
      <c r="F11" s="74">
        <f t="shared" si="0"/>
        <v>0</v>
      </c>
      <c r="G11" s="90">
        <f t="shared" si="1"/>
        <v>0</v>
      </c>
      <c r="H11" s="40">
        <f>+$D$25</f>
        <v>0</v>
      </c>
      <c r="I11" s="22">
        <f>+'REQ. DE MAT. PRIMAS'!$AF$26</f>
        <v>0</v>
      </c>
      <c r="J11" s="263">
        <f t="shared" si="2"/>
        <v>0</v>
      </c>
      <c r="K11" t="s">
        <v>0</v>
      </c>
    </row>
    <row r="12" spans="2:11" ht="12.75">
      <c r="B12" s="21">
        <f>+'DATOS GENERALES'!B30</f>
        <v>0</v>
      </c>
      <c r="C12" s="21">
        <f>+'DATOS GENERALES'!C30</f>
        <v>0</v>
      </c>
      <c r="D12" s="91">
        <f>+'DATOS GENERALES'!E30</f>
        <v>0</v>
      </c>
      <c r="F12" s="74">
        <f t="shared" si="0"/>
        <v>0</v>
      </c>
      <c r="G12" s="90">
        <f t="shared" si="1"/>
        <v>0</v>
      </c>
      <c r="H12" s="40">
        <f>+$D$26</f>
        <v>0</v>
      </c>
      <c r="I12" s="22">
        <f>+'REQ. DE MAT. PRIMAS'!$AN$26</f>
        <v>0</v>
      </c>
      <c r="J12" s="263">
        <f t="shared" si="2"/>
        <v>0</v>
      </c>
      <c r="K12" t="s">
        <v>0</v>
      </c>
    </row>
    <row r="13" spans="2:11" ht="12.75">
      <c r="B13" s="21">
        <f>+'DATOS GENERALES'!B31</f>
        <v>0</v>
      </c>
      <c r="C13" s="21">
        <f>+'DATOS GENERALES'!C31</f>
        <v>0</v>
      </c>
      <c r="D13" s="91">
        <f>+'DATOS GENERALES'!E31</f>
        <v>0</v>
      </c>
      <c r="F13" s="74">
        <f t="shared" si="0"/>
        <v>0</v>
      </c>
      <c r="G13" s="90">
        <f t="shared" si="1"/>
        <v>0</v>
      </c>
      <c r="H13" s="40">
        <f>+$D$27</f>
        <v>0</v>
      </c>
      <c r="I13" s="22">
        <f>+'REQ. DE MAT. PRIMAS'!$AV$26</f>
        <v>0</v>
      </c>
      <c r="J13" s="263">
        <f t="shared" si="2"/>
        <v>0</v>
      </c>
      <c r="K13" t="s">
        <v>0</v>
      </c>
    </row>
    <row r="14" spans="2:11" ht="12.75">
      <c r="B14" s="21">
        <f>+'DATOS GENERALES'!B32</f>
        <v>0</v>
      </c>
      <c r="C14" s="21">
        <f>+'DATOS GENERALES'!C32</f>
        <v>0</v>
      </c>
      <c r="D14" s="91">
        <f>+'DATOS GENERALES'!E32</f>
        <v>0</v>
      </c>
      <c r="F14" s="74">
        <f t="shared" si="0"/>
        <v>0</v>
      </c>
      <c r="G14" s="90">
        <f t="shared" si="1"/>
        <v>0</v>
      </c>
      <c r="H14" s="40">
        <f>+$D$28</f>
        <v>0</v>
      </c>
      <c r="I14" s="22">
        <f>+'REQ. DE MAT. PRIMAS'!$BD$26</f>
        <v>0</v>
      </c>
      <c r="J14" s="263">
        <f t="shared" si="2"/>
        <v>0</v>
      </c>
      <c r="K14" t="s">
        <v>0</v>
      </c>
    </row>
    <row r="15" spans="2:11" ht="12.75">
      <c r="B15" s="21">
        <f>+'DATOS GENERALES'!B33</f>
        <v>0</v>
      </c>
      <c r="C15" s="21">
        <f>+'DATOS GENERALES'!C33</f>
        <v>0</v>
      </c>
      <c r="D15" s="91">
        <f>+'DATOS GENERALES'!E33</f>
        <v>0</v>
      </c>
      <c r="F15" s="74">
        <f t="shared" si="0"/>
        <v>0</v>
      </c>
      <c r="G15" s="90">
        <f t="shared" si="1"/>
        <v>0</v>
      </c>
      <c r="H15" s="40">
        <f>+$D$29</f>
        <v>0</v>
      </c>
      <c r="I15" s="22">
        <f>+'REQ. DE MAT. PRIMAS'!$BL$26</f>
        <v>0</v>
      </c>
      <c r="J15" s="263">
        <f t="shared" si="2"/>
        <v>0</v>
      </c>
      <c r="K15" t="s">
        <v>0</v>
      </c>
    </row>
    <row r="16" spans="6:11" ht="12.75">
      <c r="F16" s="74">
        <f t="shared" si="0"/>
        <v>0</v>
      </c>
      <c r="G16" s="90">
        <f t="shared" si="1"/>
        <v>0</v>
      </c>
      <c r="H16" s="40">
        <f>+$D$30</f>
        <v>0</v>
      </c>
      <c r="I16" s="22">
        <f>+'REQ. DE MAT. PRIMAS'!$BT$26</f>
        <v>0</v>
      </c>
      <c r="J16" s="263">
        <f t="shared" si="2"/>
        <v>0</v>
      </c>
      <c r="K16" t="s">
        <v>0</v>
      </c>
    </row>
    <row r="17" spans="6:11" ht="12.75">
      <c r="F17" s="74">
        <f t="shared" si="0"/>
        <v>0</v>
      </c>
      <c r="G17" s="90">
        <f t="shared" si="1"/>
        <v>0</v>
      </c>
      <c r="H17" s="41">
        <f>+$D$31</f>
        <v>0</v>
      </c>
      <c r="I17" s="23">
        <f>+'REQ. DE MAT. PRIMAS'!$CB$26</f>
        <v>0</v>
      </c>
      <c r="J17" s="263">
        <f t="shared" si="2"/>
        <v>0</v>
      </c>
      <c r="K17" t="s">
        <v>0</v>
      </c>
    </row>
    <row r="18" spans="2:10" ht="12.75">
      <c r="B18" s="1" t="s">
        <v>20</v>
      </c>
      <c r="F18" s="265" t="s">
        <v>2</v>
      </c>
      <c r="G18" s="266" t="s">
        <v>0</v>
      </c>
      <c r="H18" s="267" t="s">
        <v>0</v>
      </c>
      <c r="I18" s="268" t="s">
        <v>0</v>
      </c>
      <c r="J18" s="269">
        <f>SUM(J8:J17)</f>
        <v>2782180.3679999993</v>
      </c>
    </row>
    <row r="19" spans="3:10" s="1" customFormat="1" ht="12.75">
      <c r="C19" s="101"/>
      <c r="F19"/>
      <c r="G19" s="2"/>
      <c r="H19"/>
      <c r="I19"/>
      <c r="J19"/>
    </row>
    <row r="20" ht="12.75">
      <c r="F20" s="1" t="s">
        <v>177</v>
      </c>
    </row>
    <row r="21" spans="2:10" ht="12.75">
      <c r="B21" s="38" t="s">
        <v>3</v>
      </c>
      <c r="C21" s="32" t="s">
        <v>4</v>
      </c>
      <c r="D21" s="33" t="s">
        <v>19</v>
      </c>
      <c r="F21" s="264" t="s">
        <v>3</v>
      </c>
      <c r="G21" s="260" t="s">
        <v>4</v>
      </c>
      <c r="H21" s="260" t="s">
        <v>19</v>
      </c>
      <c r="I21" s="260" t="s">
        <v>11</v>
      </c>
      <c r="J21" s="224" t="s">
        <v>5</v>
      </c>
    </row>
    <row r="22" spans="2:11" ht="12.75">
      <c r="B22" s="21" t="str">
        <f>+'DATOS GENERALES'!M22</f>
        <v>Agua</v>
      </c>
      <c r="C22" s="21" t="str">
        <f>+'DATOS GENERALES'!O22</f>
        <v>Mts3</v>
      </c>
      <c r="D22" s="93">
        <f>+'DATOS GENERALES'!Q22</f>
        <v>949.42</v>
      </c>
      <c r="F22" s="74" t="str">
        <f>+$B$6</f>
        <v>Agua</v>
      </c>
      <c r="G22" s="26" t="str">
        <f>+$C$6</f>
        <v>Mts3</v>
      </c>
      <c r="H22" s="39">
        <f>+$D$22</f>
        <v>949.42</v>
      </c>
      <c r="I22" s="19">
        <f>+'REQ. DE MAT. PRIMAS'!$H$32</f>
        <v>3113.5499999999997</v>
      </c>
      <c r="J22" s="263">
        <f>+H22*I22</f>
        <v>2956066.641</v>
      </c>
      <c r="K22" t="s">
        <v>0</v>
      </c>
    </row>
    <row r="23" spans="2:11" ht="12.75">
      <c r="B23" s="21" t="str">
        <f>+'DATOS GENERALES'!M23</f>
        <v>Residuos Orgánicos</v>
      </c>
      <c r="C23" s="21" t="str">
        <f>+'DATOS GENERALES'!O23</f>
        <v>Kgm</v>
      </c>
      <c r="D23" s="93">
        <f>+'DATOS GENERALES'!Q23</f>
        <v>0</v>
      </c>
      <c r="F23" s="74" t="str">
        <f>+$B$7</f>
        <v>Residuos Orgánicos</v>
      </c>
      <c r="G23" s="26" t="str">
        <f>+$C$7</f>
        <v>Kgm</v>
      </c>
      <c r="H23" s="40">
        <f>+$D$23</f>
        <v>0</v>
      </c>
      <c r="I23" s="22">
        <f>+'REQ. DE MAT. PRIMAS'!$P$32</f>
        <v>339660</v>
      </c>
      <c r="J23" s="263">
        <f aca="true" t="shared" si="3" ref="J23:J31">+H23*I23</f>
        <v>0</v>
      </c>
      <c r="K23" s="112" t="s">
        <v>0</v>
      </c>
    </row>
    <row r="24" spans="2:10" ht="12.75">
      <c r="B24" s="21" t="str">
        <f>+'DATOS GENERALES'!M24</f>
        <v>Estiercol</v>
      </c>
      <c r="C24" s="21" t="str">
        <f>+'DATOS GENERALES'!O24</f>
        <v>Kgm</v>
      </c>
      <c r="D24" s="93">
        <f>+'DATOS GENERALES'!Q24</f>
        <v>0</v>
      </c>
      <c r="F24" s="74" t="str">
        <f>+$B$8</f>
        <v>Estiercol</v>
      </c>
      <c r="G24" s="26" t="str">
        <f>+$C$8</f>
        <v>Kgm</v>
      </c>
      <c r="H24" s="40">
        <f>+$D$24</f>
        <v>0</v>
      </c>
      <c r="I24" s="22">
        <f>+'REQ. DE MAT. PRIMAS'!$X$32</f>
        <v>707625</v>
      </c>
      <c r="J24" s="263">
        <f t="shared" si="3"/>
        <v>0</v>
      </c>
    </row>
    <row r="25" spans="2:11" ht="12.75">
      <c r="B25" s="21">
        <f>+'DATOS GENERALES'!M25</f>
        <v>0</v>
      </c>
      <c r="C25" s="21">
        <f>+'DATOS GENERALES'!O25</f>
        <v>0</v>
      </c>
      <c r="D25" s="93">
        <f>+'DATOS GENERALES'!Q25</f>
        <v>0</v>
      </c>
      <c r="F25" s="74">
        <f>+$B$9</f>
        <v>0</v>
      </c>
      <c r="G25" s="26">
        <f>+$C$9</f>
        <v>0</v>
      </c>
      <c r="H25" s="40">
        <f>+$D$25</f>
        <v>0</v>
      </c>
      <c r="I25" s="22">
        <f>+'REQ. DE MAT. PRIMAS'!$AF$32</f>
        <v>0</v>
      </c>
      <c r="J25" s="263">
        <f t="shared" si="3"/>
        <v>0</v>
      </c>
      <c r="K25" t="s">
        <v>0</v>
      </c>
    </row>
    <row r="26" spans="2:10" ht="12.75">
      <c r="B26" s="21">
        <f>+'DATOS GENERALES'!M26</f>
        <v>0</v>
      </c>
      <c r="C26" s="21">
        <f>+'DATOS GENERALES'!O26</f>
        <v>0</v>
      </c>
      <c r="D26" s="93">
        <f>+'DATOS GENERALES'!Q26</f>
        <v>0</v>
      </c>
      <c r="F26" s="74">
        <f>+$B$10</f>
        <v>0</v>
      </c>
      <c r="G26" s="26">
        <f>+$C$10</f>
        <v>0</v>
      </c>
      <c r="H26" s="40">
        <f>+$D$26</f>
        <v>0</v>
      </c>
      <c r="I26" s="22">
        <f>+'REQ. DE MAT. PRIMAS'!$AN$32</f>
        <v>0</v>
      </c>
      <c r="J26" s="263">
        <f t="shared" si="3"/>
        <v>0</v>
      </c>
    </row>
    <row r="27" spans="2:10" ht="12.75">
      <c r="B27" s="21">
        <f>+'DATOS GENERALES'!M27</f>
        <v>0</v>
      </c>
      <c r="C27" s="21">
        <f>+'DATOS GENERALES'!O27</f>
        <v>0</v>
      </c>
      <c r="D27" s="93">
        <f>+'DATOS GENERALES'!Q27</f>
        <v>0</v>
      </c>
      <c r="F27" s="74">
        <f>+$B$11</f>
        <v>0</v>
      </c>
      <c r="G27" s="26">
        <f>+$C$11</f>
        <v>0</v>
      </c>
      <c r="H27" s="40">
        <f>+$D$27</f>
        <v>0</v>
      </c>
      <c r="I27" s="22">
        <f>+'REQ. DE MAT. PRIMAS'!$AV$32</f>
        <v>0</v>
      </c>
      <c r="J27" s="263">
        <f t="shared" si="3"/>
        <v>0</v>
      </c>
    </row>
    <row r="28" spans="2:10" ht="12.75">
      <c r="B28" s="21">
        <f>+'DATOS GENERALES'!M28</f>
        <v>0</v>
      </c>
      <c r="C28" s="21">
        <f>+'DATOS GENERALES'!O28</f>
        <v>0</v>
      </c>
      <c r="D28" s="93">
        <f>+'DATOS GENERALES'!Q28</f>
        <v>0</v>
      </c>
      <c r="F28" s="74">
        <f>+$B$12</f>
        <v>0</v>
      </c>
      <c r="G28" s="26">
        <f>+$C$12</f>
        <v>0</v>
      </c>
      <c r="H28" s="40">
        <f>+$D$28</f>
        <v>0</v>
      </c>
      <c r="I28" s="22">
        <f>+'REQ. DE MAT. PRIMAS'!$BD$32</f>
        <v>0</v>
      </c>
      <c r="J28" s="263">
        <f t="shared" si="3"/>
        <v>0</v>
      </c>
    </row>
    <row r="29" spans="2:10" ht="12.75">
      <c r="B29" s="21">
        <f>+'DATOS GENERALES'!M29</f>
        <v>0</v>
      </c>
      <c r="C29" s="21">
        <f>+'DATOS GENERALES'!O29</f>
        <v>0</v>
      </c>
      <c r="D29" s="93">
        <f>+'DATOS GENERALES'!Q29</f>
        <v>0</v>
      </c>
      <c r="F29" s="74">
        <f>+$B$13</f>
        <v>0</v>
      </c>
      <c r="G29" s="26">
        <f>+$C$13</f>
        <v>0</v>
      </c>
      <c r="H29" s="40">
        <f>+$D$29</f>
        <v>0</v>
      </c>
      <c r="I29" s="22">
        <f>+'REQ. DE MAT. PRIMAS'!$BL$32</f>
        <v>0</v>
      </c>
      <c r="J29" s="263">
        <f t="shared" si="3"/>
        <v>0</v>
      </c>
    </row>
    <row r="30" spans="2:10" ht="12.75">
      <c r="B30" s="21">
        <f>+'DATOS GENERALES'!M30</f>
        <v>0</v>
      </c>
      <c r="C30" s="21">
        <f>+'DATOS GENERALES'!O30</f>
        <v>0</v>
      </c>
      <c r="D30" s="93">
        <f>+'DATOS GENERALES'!Q30</f>
        <v>0</v>
      </c>
      <c r="F30" s="74">
        <f>+$B$14</f>
        <v>0</v>
      </c>
      <c r="G30" s="26">
        <f>+$C$14</f>
        <v>0</v>
      </c>
      <c r="H30" s="40">
        <f>+$D$30</f>
        <v>0</v>
      </c>
      <c r="I30" s="22">
        <f>+'REQ. DE MAT. PRIMAS'!$BT$32</f>
        <v>0</v>
      </c>
      <c r="J30" s="263">
        <f t="shared" si="3"/>
        <v>0</v>
      </c>
    </row>
    <row r="31" spans="2:10" ht="12.75">
      <c r="B31" s="21">
        <f>+'DATOS GENERALES'!M31</f>
        <v>0</v>
      </c>
      <c r="C31" s="21">
        <f>+'DATOS GENERALES'!O31</f>
        <v>0</v>
      </c>
      <c r="D31" s="93">
        <f>+'DATOS GENERALES'!Q31</f>
        <v>0</v>
      </c>
      <c r="F31" s="74">
        <f>+$B$15</f>
        <v>0</v>
      </c>
      <c r="G31" s="26">
        <f>+$C$15</f>
        <v>0</v>
      </c>
      <c r="H31" s="41">
        <f>+$D$31</f>
        <v>0</v>
      </c>
      <c r="I31" s="23">
        <f>+'REQ. DE MAT. PRIMAS'!$CB$32</f>
        <v>0</v>
      </c>
      <c r="J31" s="263">
        <f t="shared" si="3"/>
        <v>0</v>
      </c>
    </row>
    <row r="32" spans="6:10" ht="12.75">
      <c r="F32" s="265" t="s">
        <v>2</v>
      </c>
      <c r="G32" s="266" t="s">
        <v>0</v>
      </c>
      <c r="H32" s="267" t="s">
        <v>0</v>
      </c>
      <c r="I32" s="268" t="s">
        <v>0</v>
      </c>
      <c r="J32" s="269">
        <f>SUM(J22:J31)</f>
        <v>2956066.641</v>
      </c>
    </row>
    <row r="33" ht="12.75">
      <c r="K33" s="1"/>
    </row>
    <row r="34" ht="12.75">
      <c r="F34" s="1" t="s">
        <v>178</v>
      </c>
    </row>
    <row r="35" spans="6:10" ht="12.75">
      <c r="F35" s="264" t="s">
        <v>3</v>
      </c>
      <c r="G35" s="260" t="s">
        <v>4</v>
      </c>
      <c r="H35" s="260" t="s">
        <v>19</v>
      </c>
      <c r="I35" s="260" t="s">
        <v>11</v>
      </c>
      <c r="J35" s="224" t="s">
        <v>5</v>
      </c>
    </row>
    <row r="36" spans="6:10" ht="12.75">
      <c r="F36" s="74" t="str">
        <f>+$B$6</f>
        <v>Agua</v>
      </c>
      <c r="G36" s="26" t="str">
        <f>+$C$6</f>
        <v>Mts3</v>
      </c>
      <c r="H36" s="39">
        <f>+$D$22</f>
        <v>949.42</v>
      </c>
      <c r="I36" s="19">
        <f>+'REQ. DE MAT. PRIMAS'!$H$38</f>
        <v>3296.7</v>
      </c>
      <c r="J36" s="263">
        <f>+I36*H36</f>
        <v>3129952.914</v>
      </c>
    </row>
    <row r="37" spans="6:10" ht="12.75">
      <c r="F37" s="74" t="str">
        <f>+$B$7</f>
        <v>Residuos Orgánicos</v>
      </c>
      <c r="G37" s="26" t="str">
        <f>+$C$7</f>
        <v>Kgm</v>
      </c>
      <c r="H37" s="40">
        <f>+$D$23</f>
        <v>0</v>
      </c>
      <c r="I37" s="22">
        <f>+'REQ. DE MAT. PRIMAS'!$P$38</f>
        <v>359640</v>
      </c>
      <c r="J37" s="263">
        <f aca="true" t="shared" si="4" ref="J37:J45">+I37*H37</f>
        <v>0</v>
      </c>
    </row>
    <row r="38" spans="6:10" ht="12.75">
      <c r="F38" s="74" t="str">
        <f>+$B$8</f>
        <v>Estiercol</v>
      </c>
      <c r="G38" s="26" t="str">
        <f>+$C$8</f>
        <v>Kgm</v>
      </c>
      <c r="H38" s="40">
        <f>+$D$24</f>
        <v>0</v>
      </c>
      <c r="I38" s="22">
        <f>+'REQ. DE MAT. PRIMAS'!$X$38</f>
        <v>749250</v>
      </c>
      <c r="J38" s="263">
        <f t="shared" si="4"/>
        <v>0</v>
      </c>
    </row>
    <row r="39" spans="6:10" ht="12.75">
      <c r="F39" s="74">
        <f>+$B$9</f>
        <v>0</v>
      </c>
      <c r="G39" s="26">
        <f>+$C$9</f>
        <v>0</v>
      </c>
      <c r="H39" s="40">
        <f>+$D$25</f>
        <v>0</v>
      </c>
      <c r="I39" s="22">
        <f>+'REQ. DE MAT. PRIMAS'!$AF$38</f>
        <v>0</v>
      </c>
      <c r="J39" s="263">
        <f t="shared" si="4"/>
        <v>0</v>
      </c>
    </row>
    <row r="40" spans="6:10" ht="12.75">
      <c r="F40" s="74">
        <f>+$B$10</f>
        <v>0</v>
      </c>
      <c r="G40" s="26">
        <f>+$C$10</f>
        <v>0</v>
      </c>
      <c r="H40" s="40">
        <f>+$D$26</f>
        <v>0</v>
      </c>
      <c r="I40" s="22">
        <f>+'REQ. DE MAT. PRIMAS'!$AN$38</f>
        <v>0</v>
      </c>
      <c r="J40" s="263">
        <f t="shared" si="4"/>
        <v>0</v>
      </c>
    </row>
    <row r="41" spans="6:10" ht="12.75">
      <c r="F41" s="74">
        <f>+$B$11</f>
        <v>0</v>
      </c>
      <c r="G41" s="26">
        <f>+$C$11</f>
        <v>0</v>
      </c>
      <c r="H41" s="40">
        <f>+$D$27</f>
        <v>0</v>
      </c>
      <c r="I41" s="22">
        <f>+'REQ. DE MAT. PRIMAS'!$AV$38</f>
        <v>0</v>
      </c>
      <c r="J41" s="263">
        <f t="shared" si="4"/>
        <v>0</v>
      </c>
    </row>
    <row r="42" spans="6:10" ht="12.75">
      <c r="F42" s="74">
        <f>+$B$12</f>
        <v>0</v>
      </c>
      <c r="G42" s="26">
        <f>+$C$12</f>
        <v>0</v>
      </c>
      <c r="H42" s="40">
        <f>+$D$28</f>
        <v>0</v>
      </c>
      <c r="I42" s="22">
        <f>+'REQ. DE MAT. PRIMAS'!$BD$38</f>
        <v>0</v>
      </c>
      <c r="J42" s="263">
        <f t="shared" si="4"/>
        <v>0</v>
      </c>
    </row>
    <row r="43" spans="6:10" ht="12.75">
      <c r="F43" s="74">
        <f>+$B$13</f>
        <v>0</v>
      </c>
      <c r="G43" s="26">
        <f>+$C$13</f>
        <v>0</v>
      </c>
      <c r="H43" s="40">
        <f>+$D$29</f>
        <v>0</v>
      </c>
      <c r="I43" s="22">
        <f>+'REQ. DE MAT. PRIMAS'!$BL$38</f>
        <v>0</v>
      </c>
      <c r="J43" s="263">
        <f t="shared" si="4"/>
        <v>0</v>
      </c>
    </row>
    <row r="44" spans="6:10" ht="12.75">
      <c r="F44" s="74">
        <f>+$B$14</f>
        <v>0</v>
      </c>
      <c r="G44" s="26">
        <f>+$C$14</f>
        <v>0</v>
      </c>
      <c r="H44" s="40">
        <f>+$D$30</f>
        <v>0</v>
      </c>
      <c r="I44" s="22">
        <f>+'REQ. DE MAT. PRIMAS'!$BT$38</f>
        <v>0</v>
      </c>
      <c r="J44" s="263">
        <f t="shared" si="4"/>
        <v>0</v>
      </c>
    </row>
    <row r="45" spans="6:11" ht="12.75">
      <c r="F45" s="74">
        <f>+$B$15</f>
        <v>0</v>
      </c>
      <c r="G45" s="26">
        <f>+$C$15</f>
        <v>0</v>
      </c>
      <c r="H45" s="41">
        <f>+$D$31</f>
        <v>0</v>
      </c>
      <c r="I45" s="23">
        <f>+'REQ. DE MAT. PRIMAS'!$CB$38</f>
        <v>0</v>
      </c>
      <c r="J45" s="263">
        <f t="shared" si="4"/>
        <v>0</v>
      </c>
      <c r="K45" t="s">
        <v>0</v>
      </c>
    </row>
    <row r="46" spans="6:10" ht="12.75">
      <c r="F46" s="265" t="s">
        <v>2</v>
      </c>
      <c r="G46" s="266" t="s">
        <v>0</v>
      </c>
      <c r="H46" s="267" t="s">
        <v>0</v>
      </c>
      <c r="I46" s="268" t="s">
        <v>0</v>
      </c>
      <c r="J46" s="269">
        <f>SUM(J36:J45)</f>
        <v>3129952.914</v>
      </c>
    </row>
    <row r="47" ht="12.75">
      <c r="K47" s="1"/>
    </row>
    <row r="48" ht="12.75">
      <c r="F48" s="1" t="s">
        <v>179</v>
      </c>
    </row>
    <row r="49" spans="6:10" ht="12.75">
      <c r="F49" s="264" t="s">
        <v>3</v>
      </c>
      <c r="G49" s="260" t="s">
        <v>4</v>
      </c>
      <c r="H49" s="260" t="s">
        <v>19</v>
      </c>
      <c r="I49" s="260" t="s">
        <v>11</v>
      </c>
      <c r="J49" s="224" t="s">
        <v>5</v>
      </c>
    </row>
    <row r="50" spans="6:10" ht="12.75">
      <c r="F50" s="74" t="str">
        <f>+$B$6</f>
        <v>Agua</v>
      </c>
      <c r="G50" s="26" t="str">
        <f>+$C$6</f>
        <v>Mts3</v>
      </c>
      <c r="H50" s="39">
        <f>+$D$22</f>
        <v>949.42</v>
      </c>
      <c r="I50" s="19">
        <f>+'REQ. DE MAT. PRIMAS'!$H$44</f>
        <v>3479.85</v>
      </c>
      <c r="J50" s="263">
        <f>+I50*H50</f>
        <v>3303839.187</v>
      </c>
    </row>
    <row r="51" spans="6:10" ht="12.75">
      <c r="F51" s="74" t="str">
        <f>+$B$7</f>
        <v>Residuos Orgánicos</v>
      </c>
      <c r="G51" s="26" t="str">
        <f>+$C$7</f>
        <v>Kgm</v>
      </c>
      <c r="H51" s="40">
        <f>+$D$23</f>
        <v>0</v>
      </c>
      <c r="I51" s="22">
        <f>+'REQ. DE MAT. PRIMAS'!$P$44</f>
        <v>379620</v>
      </c>
      <c r="J51" s="263">
        <f aca="true" t="shared" si="5" ref="J51:J59">+I51*H51</f>
        <v>0</v>
      </c>
    </row>
    <row r="52" spans="6:10" ht="12.75">
      <c r="F52" s="74" t="str">
        <f>+$B$8</f>
        <v>Estiercol</v>
      </c>
      <c r="G52" s="26" t="str">
        <f>+$C$8</f>
        <v>Kgm</v>
      </c>
      <c r="H52" s="40">
        <f>+$D$24</f>
        <v>0</v>
      </c>
      <c r="I52" s="22">
        <f>+'REQ. DE MAT. PRIMAS'!$X$44</f>
        <v>790875</v>
      </c>
      <c r="J52" s="263">
        <f t="shared" si="5"/>
        <v>0</v>
      </c>
    </row>
    <row r="53" spans="6:10" ht="12.75">
      <c r="F53" s="74">
        <f>+$B$9</f>
        <v>0</v>
      </c>
      <c r="G53" s="26">
        <f>+$C$9</f>
        <v>0</v>
      </c>
      <c r="H53" s="40">
        <f>+$D$25</f>
        <v>0</v>
      </c>
      <c r="I53" s="22">
        <f>+'REQ. DE MAT. PRIMAS'!$AF$44</f>
        <v>0</v>
      </c>
      <c r="J53" s="263">
        <f t="shared" si="5"/>
        <v>0</v>
      </c>
    </row>
    <row r="54" spans="6:10" ht="12.75">
      <c r="F54" s="74">
        <f>+$B$10</f>
        <v>0</v>
      </c>
      <c r="G54" s="26">
        <f>+$C$10</f>
        <v>0</v>
      </c>
      <c r="H54" s="40">
        <f>+$D$26</f>
        <v>0</v>
      </c>
      <c r="I54" s="22">
        <f>+'REQ. DE MAT. PRIMAS'!$AN$44</f>
        <v>0</v>
      </c>
      <c r="J54" s="263">
        <f t="shared" si="5"/>
        <v>0</v>
      </c>
    </row>
    <row r="55" spans="6:10" ht="12.75">
      <c r="F55" s="74">
        <f>+$B$11</f>
        <v>0</v>
      </c>
      <c r="G55" s="26">
        <f>+$C$11</f>
        <v>0</v>
      </c>
      <c r="H55" s="40">
        <f>+$D$27</f>
        <v>0</v>
      </c>
      <c r="I55" s="22">
        <f>+'REQ. DE MAT. PRIMAS'!$AV$44</f>
        <v>0</v>
      </c>
      <c r="J55" s="263">
        <f t="shared" si="5"/>
        <v>0</v>
      </c>
    </row>
    <row r="56" spans="6:10" ht="12.75">
      <c r="F56" s="74">
        <f>+$B$12</f>
        <v>0</v>
      </c>
      <c r="G56" s="26">
        <f>+$C$12</f>
        <v>0</v>
      </c>
      <c r="H56" s="40">
        <f>+$D$28</f>
        <v>0</v>
      </c>
      <c r="I56" s="22">
        <f>+'REQ. DE MAT. PRIMAS'!$BD$44</f>
        <v>0</v>
      </c>
      <c r="J56" s="263">
        <f t="shared" si="5"/>
        <v>0</v>
      </c>
    </row>
    <row r="57" spans="6:10" ht="12.75">
      <c r="F57" s="74">
        <f>+$B$13</f>
        <v>0</v>
      </c>
      <c r="G57" s="26">
        <f>+$C$13</f>
        <v>0</v>
      </c>
      <c r="H57" s="40">
        <f>+$D$29</f>
        <v>0</v>
      </c>
      <c r="I57" s="22">
        <f>+'REQ. DE MAT. PRIMAS'!$BL$44</f>
        <v>0</v>
      </c>
      <c r="J57" s="263">
        <f t="shared" si="5"/>
        <v>0</v>
      </c>
    </row>
    <row r="58" spans="6:10" ht="12.75">
      <c r="F58" s="74">
        <f>+$B$14</f>
        <v>0</v>
      </c>
      <c r="G58" s="26">
        <f>+$C$14</f>
        <v>0</v>
      </c>
      <c r="H58" s="40">
        <f>+$D$30</f>
        <v>0</v>
      </c>
      <c r="I58" s="22">
        <f>+'REQ. DE MAT. PRIMAS'!$BT$44</f>
        <v>0</v>
      </c>
      <c r="J58" s="263">
        <f t="shared" si="5"/>
        <v>0</v>
      </c>
    </row>
    <row r="59" spans="6:11" ht="12.75">
      <c r="F59" s="74">
        <f>+$B$15</f>
        <v>0</v>
      </c>
      <c r="G59" s="26">
        <f>+$C$15</f>
        <v>0</v>
      </c>
      <c r="H59" s="41">
        <f>+$D$31</f>
        <v>0</v>
      </c>
      <c r="I59" s="23">
        <f>+'REQ. DE MAT. PRIMAS'!$CB$44</f>
        <v>0</v>
      </c>
      <c r="J59" s="263">
        <f t="shared" si="5"/>
        <v>0</v>
      </c>
      <c r="K59" t="s">
        <v>0</v>
      </c>
    </row>
    <row r="60" spans="6:10" ht="12.75">
      <c r="F60" s="265" t="s">
        <v>2</v>
      </c>
      <c r="G60" s="266" t="s">
        <v>0</v>
      </c>
      <c r="H60" s="267" t="s">
        <v>0</v>
      </c>
      <c r="I60" s="268" t="s">
        <v>0</v>
      </c>
      <c r="J60" s="269">
        <f>SUM(J50:J59)</f>
        <v>3303839.187</v>
      </c>
    </row>
    <row r="61" ht="12.75">
      <c r="K61" s="1"/>
    </row>
    <row r="62" ht="12.75">
      <c r="F62" s="1" t="s">
        <v>180</v>
      </c>
    </row>
    <row r="63" spans="6:10" ht="12.75">
      <c r="F63" s="264" t="s">
        <v>3</v>
      </c>
      <c r="G63" s="260" t="s">
        <v>4</v>
      </c>
      <c r="H63" s="260" t="s">
        <v>19</v>
      </c>
      <c r="I63" s="260" t="s">
        <v>11</v>
      </c>
      <c r="J63" s="224" t="s">
        <v>5</v>
      </c>
    </row>
    <row r="64" spans="6:10" ht="12.75">
      <c r="F64" s="74" t="str">
        <f>+$B$6</f>
        <v>Agua</v>
      </c>
      <c r="G64" s="26" t="str">
        <f>+$C$6</f>
        <v>Mts3</v>
      </c>
      <c r="H64" s="39">
        <f>+$D$22</f>
        <v>949.42</v>
      </c>
      <c r="I64" s="19">
        <f>+'REQ. DE MAT. PRIMAS'!$H$50</f>
        <v>3663</v>
      </c>
      <c r="J64" s="263">
        <f>+I64*H64</f>
        <v>3477725.46</v>
      </c>
    </row>
    <row r="65" spans="6:10" ht="12.75">
      <c r="F65" s="74" t="str">
        <f>+$B$7</f>
        <v>Residuos Orgánicos</v>
      </c>
      <c r="G65" s="26" t="str">
        <f>+$C$7</f>
        <v>Kgm</v>
      </c>
      <c r="H65" s="40">
        <f>+$D$23</f>
        <v>0</v>
      </c>
      <c r="I65" s="22">
        <f>+'REQ. DE MAT. PRIMAS'!$P$50</f>
        <v>399600</v>
      </c>
      <c r="J65" s="263">
        <f aca="true" t="shared" si="6" ref="J65:J73">+I65*H65</f>
        <v>0</v>
      </c>
    </row>
    <row r="66" spans="6:10" ht="12.75">
      <c r="F66" s="74" t="str">
        <f>+$B$8</f>
        <v>Estiercol</v>
      </c>
      <c r="G66" s="26" t="str">
        <f>+$C$8</f>
        <v>Kgm</v>
      </c>
      <c r="H66" s="40">
        <f>+$D$24</f>
        <v>0</v>
      </c>
      <c r="I66" s="22">
        <f>+'REQ. DE MAT. PRIMAS'!$X$50</f>
        <v>832500</v>
      </c>
      <c r="J66" s="263">
        <f t="shared" si="6"/>
        <v>0</v>
      </c>
    </row>
    <row r="67" spans="6:10" ht="12.75">
      <c r="F67" s="74">
        <f>+$B$9</f>
        <v>0</v>
      </c>
      <c r="G67" s="26">
        <f>+$C$9</f>
        <v>0</v>
      </c>
      <c r="H67" s="40">
        <f>+$D$25</f>
        <v>0</v>
      </c>
      <c r="I67" s="22">
        <f>+'REQ. DE MAT. PRIMAS'!$AF$50</f>
        <v>0</v>
      </c>
      <c r="J67" s="263">
        <f t="shared" si="6"/>
        <v>0</v>
      </c>
    </row>
    <row r="68" spans="6:10" ht="12.75">
      <c r="F68" s="74">
        <f>+$B$10</f>
        <v>0</v>
      </c>
      <c r="G68" s="26">
        <f>+$C$10</f>
        <v>0</v>
      </c>
      <c r="H68" s="40">
        <f>+$D$26</f>
        <v>0</v>
      </c>
      <c r="I68" s="22">
        <f>+'REQ. DE MAT. PRIMAS'!$AN$50</f>
        <v>0</v>
      </c>
      <c r="J68" s="263">
        <f t="shared" si="6"/>
        <v>0</v>
      </c>
    </row>
    <row r="69" spans="6:10" ht="12.75">
      <c r="F69" s="74">
        <f>+$B$11</f>
        <v>0</v>
      </c>
      <c r="G69" s="26">
        <f>+$C$11</f>
        <v>0</v>
      </c>
      <c r="H69" s="40">
        <f>+$D$27</f>
        <v>0</v>
      </c>
      <c r="I69" s="22">
        <f>+'REQ. DE MAT. PRIMAS'!$AV$50</f>
        <v>0</v>
      </c>
      <c r="J69" s="263">
        <f t="shared" si="6"/>
        <v>0</v>
      </c>
    </row>
    <row r="70" spans="6:10" ht="12.75">
      <c r="F70" s="74">
        <f>+$B$12</f>
        <v>0</v>
      </c>
      <c r="G70" s="26">
        <f>+$C$12</f>
        <v>0</v>
      </c>
      <c r="H70" s="40">
        <f>+$D$28</f>
        <v>0</v>
      </c>
      <c r="I70" s="22">
        <f>+'REQ. DE MAT. PRIMAS'!$BD$50</f>
        <v>0</v>
      </c>
      <c r="J70" s="263">
        <f t="shared" si="6"/>
        <v>0</v>
      </c>
    </row>
    <row r="71" spans="6:10" ht="12.75">
      <c r="F71" s="74">
        <f>+$B$13</f>
        <v>0</v>
      </c>
      <c r="G71" s="26">
        <f>+$C$13</f>
        <v>0</v>
      </c>
      <c r="H71" s="40">
        <f>+$D$29</f>
        <v>0</v>
      </c>
      <c r="I71" s="22">
        <f>+'REQ. DE MAT. PRIMAS'!$BL$50</f>
        <v>0</v>
      </c>
      <c r="J71" s="263">
        <f t="shared" si="6"/>
        <v>0</v>
      </c>
    </row>
    <row r="72" spans="6:10" ht="12.75">
      <c r="F72" s="74">
        <f>+$B$14</f>
        <v>0</v>
      </c>
      <c r="G72" s="26">
        <f>+$C$14</f>
        <v>0</v>
      </c>
      <c r="H72" s="40">
        <f>+$D$30</f>
        <v>0</v>
      </c>
      <c r="I72" s="22">
        <f>+'REQ. DE MAT. PRIMAS'!$BT$50</f>
        <v>0</v>
      </c>
      <c r="J72" s="263">
        <f t="shared" si="6"/>
        <v>0</v>
      </c>
    </row>
    <row r="73" spans="6:10" ht="12.75">
      <c r="F73" s="74">
        <f>+$B$15</f>
        <v>0</v>
      </c>
      <c r="G73" s="26">
        <f>+$C$15</f>
        <v>0</v>
      </c>
      <c r="H73" s="41">
        <f>+$D$31</f>
        <v>0</v>
      </c>
      <c r="I73" s="23">
        <f>+'REQ. DE MAT. PRIMAS'!$CB$50</f>
        <v>0</v>
      </c>
      <c r="J73" s="263">
        <f t="shared" si="6"/>
        <v>0</v>
      </c>
    </row>
    <row r="74" spans="6:10" ht="12.75">
      <c r="F74" s="265" t="s">
        <v>2</v>
      </c>
      <c r="G74" s="266" t="s">
        <v>0</v>
      </c>
      <c r="H74" s="267" t="s">
        <v>0</v>
      </c>
      <c r="I74" s="268" t="s">
        <v>0</v>
      </c>
      <c r="J74" s="269">
        <f>SUM(J64:J73)</f>
        <v>3477725.46</v>
      </c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spans="7:11" ht="12.75">
      <c r="G89"/>
      <c r="K89" s="1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spans="7:11" ht="12.75">
      <c r="G117"/>
      <c r="K117" s="1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spans="7:11" ht="12.75">
      <c r="G131"/>
      <c r="K131" s="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spans="7:11" ht="12.75">
      <c r="G145"/>
      <c r="K145" s="1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spans="7:11" ht="12.75">
      <c r="G159"/>
      <c r="K159" s="1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spans="7:11" ht="12.75">
      <c r="G174"/>
      <c r="K174" s="1"/>
    </row>
    <row r="175" ht="12.75">
      <c r="G175"/>
    </row>
    <row r="176" spans="3:11" s="1" customFormat="1" ht="12.75">
      <c r="C176" s="101"/>
      <c r="F176"/>
      <c r="G176"/>
      <c r="H176"/>
      <c r="I176"/>
      <c r="J176"/>
      <c r="K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2:F50"/>
  <sheetViews>
    <sheetView showGridLines="0" zoomScale="75" zoomScaleNormal="75" zoomScalePageLayoutView="0" workbookViewId="0" topLeftCell="A2">
      <selection activeCell="F40" sqref="F40"/>
    </sheetView>
  </sheetViews>
  <sheetFormatPr defaultColWidth="11.421875" defaultRowHeight="12.75"/>
  <cols>
    <col min="1" max="1" width="4.00390625" style="0" customWidth="1"/>
    <col min="2" max="2" width="26.28125" style="0" customWidth="1"/>
    <col min="3" max="3" width="19.57421875" style="0" bestFit="1" customWidth="1"/>
    <col min="4" max="4" width="20.28125" style="0" bestFit="1" customWidth="1"/>
    <col min="5" max="5" width="16.140625" style="0" bestFit="1" customWidth="1"/>
    <col min="6" max="6" width="19.57421875" style="0" bestFit="1" customWidth="1"/>
  </cols>
  <sheetData>
    <row r="2" spans="2:6" ht="12.75">
      <c r="B2" s="4" t="str">
        <f>+'COMPRA DE MAT. PRIMAS'!F2</f>
        <v>NOMBRE DE LA EMPRESA:</v>
      </c>
      <c r="C2" s="328" t="str">
        <f>+'COMPRA DE MAT. PRIMAS'!G2</f>
        <v>Gas Metano</v>
      </c>
      <c r="D2" s="327"/>
      <c r="E2" s="327"/>
      <c r="F2" s="327"/>
    </row>
    <row r="4" ht="12.75">
      <c r="B4" s="1" t="s">
        <v>27</v>
      </c>
    </row>
    <row r="6" ht="12.75">
      <c r="B6" s="1" t="s">
        <v>176</v>
      </c>
    </row>
    <row r="8" spans="2:6" ht="15">
      <c r="B8" s="223" t="s">
        <v>3</v>
      </c>
      <c r="C8" s="260" t="s">
        <v>175</v>
      </c>
      <c r="D8" s="260" t="s">
        <v>21</v>
      </c>
      <c r="E8" s="260" t="s">
        <v>22</v>
      </c>
      <c r="F8" s="224" t="s">
        <v>5</v>
      </c>
    </row>
    <row r="9" spans="2:6" ht="12.75">
      <c r="B9" s="78" t="str">
        <f>+'DATOS GENERALES'!$B$62</f>
        <v>Ingeniero</v>
      </c>
      <c r="C9" s="67">
        <f>+'DATOS GENERALES'!$C$62</f>
        <v>21600000</v>
      </c>
      <c r="D9" s="67">
        <f>+'DATOS GENERALES'!$D$62</f>
        <v>11232000</v>
      </c>
      <c r="E9" s="67">
        <f>+'DATOS GENERALES'!$E$62</f>
        <v>0</v>
      </c>
      <c r="F9" s="236">
        <f>+'DATOS GENERALES'!F62</f>
        <v>32832000</v>
      </c>
    </row>
    <row r="10" spans="2:6" ht="12.75">
      <c r="B10" s="78" t="str">
        <f>+'DATOS GENERALES'!$B$63</f>
        <v>Auxiliares de producción</v>
      </c>
      <c r="C10" s="67">
        <f>+'DATOS GENERALES'!$C$63</f>
        <v>18749808</v>
      </c>
      <c r="D10" s="67">
        <f>+'DATOS GENERALES'!$D$63</f>
        <v>9749900.16</v>
      </c>
      <c r="E10" s="67">
        <f>+'DATOS GENERALES'!$E$63</f>
        <v>2117064</v>
      </c>
      <c r="F10" s="236">
        <f>+'DATOS GENERALES'!F63</f>
        <v>30616772.16</v>
      </c>
    </row>
    <row r="11" spans="2:6" ht="12.75">
      <c r="B11" s="78">
        <f>+'DATOS GENERALES'!$B$64</f>
        <v>0</v>
      </c>
      <c r="C11" s="67">
        <f>+'DATOS GENERALES'!$C$64</f>
        <v>0</v>
      </c>
      <c r="D11" s="67">
        <f>+'DATOS GENERALES'!$D$64</f>
        <v>0</v>
      </c>
      <c r="E11" s="67">
        <f>+'DATOS GENERALES'!$E$64</f>
        <v>0</v>
      </c>
      <c r="F11" s="236">
        <f>+'DATOS GENERALES'!F64</f>
        <v>0</v>
      </c>
    </row>
    <row r="12" spans="2:6" ht="12.75">
      <c r="B12" s="78">
        <f>+'DATOS GENERALES'!$B$66</f>
        <v>0</v>
      </c>
      <c r="C12" s="67">
        <f>+'DATOS GENERALES'!$C$66</f>
        <v>0</v>
      </c>
      <c r="D12" s="67">
        <f>+'DATOS GENERALES'!$D$66</f>
        <v>0</v>
      </c>
      <c r="E12" s="67">
        <f>+'DATOS GENERALES'!$E$66</f>
        <v>0</v>
      </c>
      <c r="F12" s="236">
        <f>+'DATOS GENERALES'!F66</f>
        <v>0</v>
      </c>
    </row>
    <row r="13" spans="2:6" ht="12.75">
      <c r="B13" s="78"/>
      <c r="C13" s="67"/>
      <c r="D13" s="67"/>
      <c r="E13" s="67"/>
      <c r="F13" s="236"/>
    </row>
    <row r="14" spans="2:6" ht="12.75">
      <c r="B14" s="261" t="s">
        <v>2</v>
      </c>
      <c r="C14" s="262">
        <f>SUM(C9:C13)</f>
        <v>40349808</v>
      </c>
      <c r="D14" s="262">
        <f>SUM(D9:D13)</f>
        <v>20981900.16</v>
      </c>
      <c r="E14" s="262">
        <f>SUM(E9:E13)</f>
        <v>2117064</v>
      </c>
      <c r="F14" s="249">
        <f>SUM(F9:F13)</f>
        <v>63448772.16</v>
      </c>
    </row>
    <row r="16" ht="12.75">
      <c r="B16" s="1" t="s">
        <v>177</v>
      </c>
    </row>
    <row r="17" spans="2:6" ht="15">
      <c r="B17" s="223" t="s">
        <v>3</v>
      </c>
      <c r="C17" s="260" t="s">
        <v>175</v>
      </c>
      <c r="D17" s="260" t="s">
        <v>21</v>
      </c>
      <c r="E17" s="260" t="s">
        <v>22</v>
      </c>
      <c r="F17" s="224" t="s">
        <v>5</v>
      </c>
    </row>
    <row r="18" spans="2:6" ht="12.75">
      <c r="B18" s="80" t="str">
        <f>+B9</f>
        <v>Ingeniero</v>
      </c>
      <c r="C18" s="67">
        <f>+C9</f>
        <v>21600000</v>
      </c>
      <c r="D18" s="67">
        <f>+D9</f>
        <v>11232000</v>
      </c>
      <c r="E18" s="67">
        <f>+E9</f>
        <v>0</v>
      </c>
      <c r="F18" s="263">
        <f>+F9+F9*'DATOS GENERALES'!$I$64</f>
        <v>34637760</v>
      </c>
    </row>
    <row r="19" spans="2:6" ht="12.75">
      <c r="B19" s="80" t="str">
        <f aca="true" t="shared" si="0" ref="B19:E20">+B10</f>
        <v>Auxiliares de producción</v>
      </c>
      <c r="C19" s="67">
        <f t="shared" si="0"/>
        <v>18749808</v>
      </c>
      <c r="D19" s="67">
        <f t="shared" si="0"/>
        <v>9749900.16</v>
      </c>
      <c r="E19" s="67">
        <f t="shared" si="0"/>
        <v>2117064</v>
      </c>
      <c r="F19" s="263">
        <f>+F10+F10*'DATOS GENERALES'!$I$64</f>
        <v>32300694.6288</v>
      </c>
    </row>
    <row r="20" spans="2:6" ht="12.75">
      <c r="B20" s="80">
        <f t="shared" si="0"/>
        <v>0</v>
      </c>
      <c r="C20" s="67">
        <f t="shared" si="0"/>
        <v>0</v>
      </c>
      <c r="D20" s="67">
        <f t="shared" si="0"/>
        <v>0</v>
      </c>
      <c r="E20" s="67">
        <f t="shared" si="0"/>
        <v>0</v>
      </c>
      <c r="F20" s="263">
        <f>+F11+F11*'DATOS GENERALES'!$I$64</f>
        <v>0</v>
      </c>
    </row>
    <row r="21" spans="2:6" ht="12.75">
      <c r="B21" s="80">
        <f aca="true" t="shared" si="1" ref="B21:E22">+B12</f>
        <v>0</v>
      </c>
      <c r="C21" s="67">
        <f t="shared" si="1"/>
        <v>0</v>
      </c>
      <c r="D21" s="67">
        <f t="shared" si="1"/>
        <v>0</v>
      </c>
      <c r="E21" s="67">
        <f t="shared" si="1"/>
        <v>0</v>
      </c>
      <c r="F21" s="263">
        <f>+F12+F12*'DATOS GENERALES'!$I$64</f>
        <v>0</v>
      </c>
    </row>
    <row r="22" spans="2:6" ht="12.75">
      <c r="B22" s="80">
        <f t="shared" si="1"/>
        <v>0</v>
      </c>
      <c r="C22" s="67">
        <f t="shared" si="1"/>
        <v>0</v>
      </c>
      <c r="D22" s="67">
        <f t="shared" si="1"/>
        <v>0</v>
      </c>
      <c r="E22" s="67">
        <f t="shared" si="1"/>
        <v>0</v>
      </c>
      <c r="F22" s="263">
        <f>+F13+F13*'DATOS GENERALES'!$I$64</f>
        <v>0</v>
      </c>
    </row>
    <row r="23" spans="2:6" ht="12.75">
      <c r="B23" s="261" t="s">
        <v>2</v>
      </c>
      <c r="C23" s="262">
        <f>SUM(C18:C22)</f>
        <v>40349808</v>
      </c>
      <c r="D23" s="262">
        <f>SUM(D18:D22)</f>
        <v>20981900.16</v>
      </c>
      <c r="E23" s="262">
        <f>SUM(E18:E22)</f>
        <v>2117064</v>
      </c>
      <c r="F23" s="249">
        <f>SUM(F18:F22)</f>
        <v>66938454.628800005</v>
      </c>
    </row>
    <row r="25" ht="12.75">
      <c r="B25" s="1" t="s">
        <v>178</v>
      </c>
    </row>
    <row r="26" spans="2:6" ht="15">
      <c r="B26" s="223" t="s">
        <v>3</v>
      </c>
      <c r="C26" s="260" t="s">
        <v>175</v>
      </c>
      <c r="D26" s="260" t="s">
        <v>21</v>
      </c>
      <c r="E26" s="260" t="s">
        <v>22</v>
      </c>
      <c r="F26" s="224" t="s">
        <v>5</v>
      </c>
    </row>
    <row r="27" spans="2:6" ht="12.75">
      <c r="B27" s="78" t="str">
        <f aca="true" t="shared" si="2" ref="B27:E29">+B18</f>
        <v>Ingeniero</v>
      </c>
      <c r="C27" s="67">
        <f t="shared" si="2"/>
        <v>21600000</v>
      </c>
      <c r="D27" s="67">
        <f t="shared" si="2"/>
        <v>11232000</v>
      </c>
      <c r="E27" s="67">
        <f t="shared" si="2"/>
        <v>0</v>
      </c>
      <c r="F27" s="263">
        <f>+F18+F18*'DATOS GENERALES'!$I$66</f>
        <v>36716025.6</v>
      </c>
    </row>
    <row r="28" spans="2:6" ht="12.75">
      <c r="B28" s="78" t="str">
        <f t="shared" si="2"/>
        <v>Auxiliares de producción</v>
      </c>
      <c r="C28" s="67">
        <f t="shared" si="2"/>
        <v>18749808</v>
      </c>
      <c r="D28" s="67">
        <f t="shared" si="2"/>
        <v>9749900.16</v>
      </c>
      <c r="E28" s="67">
        <f t="shared" si="2"/>
        <v>2117064</v>
      </c>
      <c r="F28" s="263">
        <f>+F19+F19*'DATOS GENERALES'!$I$66</f>
        <v>34238736.306528</v>
      </c>
    </row>
    <row r="29" spans="2:6" ht="12.75">
      <c r="B29" s="78">
        <f t="shared" si="2"/>
        <v>0</v>
      </c>
      <c r="C29" s="67">
        <f t="shared" si="2"/>
        <v>0</v>
      </c>
      <c r="D29" s="67">
        <f t="shared" si="2"/>
        <v>0</v>
      </c>
      <c r="E29" s="67">
        <f t="shared" si="2"/>
        <v>0</v>
      </c>
      <c r="F29" s="263">
        <f>+F20+F20*'DATOS GENERALES'!$I$66</f>
        <v>0</v>
      </c>
    </row>
    <row r="30" spans="2:6" ht="12.75">
      <c r="B30" s="78">
        <f aca="true" t="shared" si="3" ref="B30:E31">+B21</f>
        <v>0</v>
      </c>
      <c r="C30" s="67">
        <f t="shared" si="3"/>
        <v>0</v>
      </c>
      <c r="D30" s="67">
        <f t="shared" si="3"/>
        <v>0</v>
      </c>
      <c r="E30" s="67">
        <f t="shared" si="3"/>
        <v>0</v>
      </c>
      <c r="F30" s="263">
        <f>+F21+F21*'DATOS GENERALES'!$I$66</f>
        <v>0</v>
      </c>
    </row>
    <row r="31" spans="2:6" ht="12.75">
      <c r="B31" s="78">
        <f t="shared" si="3"/>
        <v>0</v>
      </c>
      <c r="C31" s="67">
        <f t="shared" si="3"/>
        <v>0</v>
      </c>
      <c r="D31" s="67">
        <f t="shared" si="3"/>
        <v>0</v>
      </c>
      <c r="E31" s="67">
        <f t="shared" si="3"/>
        <v>0</v>
      </c>
      <c r="F31" s="263">
        <f>+F22+F22*'DATOS GENERALES'!$I$66</f>
        <v>0</v>
      </c>
    </row>
    <row r="32" spans="2:6" ht="12.75">
      <c r="B32" s="261" t="s">
        <v>2</v>
      </c>
      <c r="C32" s="262">
        <f>SUM(C27:C31)</f>
        <v>40349808</v>
      </c>
      <c r="D32" s="262">
        <f>SUM(D27:D31)</f>
        <v>20981900.16</v>
      </c>
      <c r="E32" s="262">
        <f>SUM(E27:E31)</f>
        <v>2117064</v>
      </c>
      <c r="F32" s="249">
        <f>SUM(F27:F31)</f>
        <v>70954761.906528</v>
      </c>
    </row>
    <row r="34" ht="12.75">
      <c r="B34" s="1" t="s">
        <v>179</v>
      </c>
    </row>
    <row r="35" spans="2:6" ht="15">
      <c r="B35" s="223" t="s">
        <v>3</v>
      </c>
      <c r="C35" s="260" t="s">
        <v>175</v>
      </c>
      <c r="D35" s="260" t="s">
        <v>21</v>
      </c>
      <c r="E35" s="260" t="s">
        <v>22</v>
      </c>
      <c r="F35" s="224" t="s">
        <v>5</v>
      </c>
    </row>
    <row r="36" spans="2:6" ht="12.75">
      <c r="B36" s="78" t="str">
        <f aca="true" t="shared" si="4" ref="B36:E38">+B27</f>
        <v>Ingeniero</v>
      </c>
      <c r="C36" s="67">
        <f t="shared" si="4"/>
        <v>21600000</v>
      </c>
      <c r="D36" s="67">
        <f t="shared" si="4"/>
        <v>11232000</v>
      </c>
      <c r="E36" s="67">
        <f t="shared" si="4"/>
        <v>0</v>
      </c>
      <c r="F36" s="263">
        <f>+F27+F27</f>
        <v>73432051.2</v>
      </c>
    </row>
    <row r="37" spans="2:6" ht="12.75">
      <c r="B37" s="78" t="str">
        <f t="shared" si="4"/>
        <v>Auxiliares de producción</v>
      </c>
      <c r="C37" s="67">
        <f t="shared" si="4"/>
        <v>18749808</v>
      </c>
      <c r="D37" s="67">
        <f t="shared" si="4"/>
        <v>9749900.16</v>
      </c>
      <c r="E37" s="67">
        <f t="shared" si="4"/>
        <v>2117064</v>
      </c>
      <c r="F37" s="263">
        <f>+F28+F28*'DATOS GENERALES'!$I$66</f>
        <v>36293060.48491968</v>
      </c>
    </row>
    <row r="38" spans="2:6" ht="12.75">
      <c r="B38" s="78">
        <f t="shared" si="4"/>
        <v>0</v>
      </c>
      <c r="C38" s="67">
        <f t="shared" si="4"/>
        <v>0</v>
      </c>
      <c r="D38" s="67">
        <f t="shared" si="4"/>
        <v>0</v>
      </c>
      <c r="E38" s="67">
        <f t="shared" si="4"/>
        <v>0</v>
      </c>
      <c r="F38" s="263">
        <f>+F29+F29</f>
        <v>0</v>
      </c>
    </row>
    <row r="39" spans="2:6" ht="12.75">
      <c r="B39" s="78">
        <f aca="true" t="shared" si="5" ref="B39:E40">+B30</f>
        <v>0</v>
      </c>
      <c r="C39" s="67">
        <f t="shared" si="5"/>
        <v>0</v>
      </c>
      <c r="D39" s="67">
        <f t="shared" si="5"/>
        <v>0</v>
      </c>
      <c r="E39" s="67">
        <f t="shared" si="5"/>
        <v>0</v>
      </c>
      <c r="F39" s="263">
        <f>+F30+F30</f>
        <v>0</v>
      </c>
    </row>
    <row r="40" spans="2:6" ht="12.75">
      <c r="B40" s="78">
        <f t="shared" si="5"/>
        <v>0</v>
      </c>
      <c r="C40" s="67">
        <f t="shared" si="5"/>
        <v>0</v>
      </c>
      <c r="D40" s="67">
        <f t="shared" si="5"/>
        <v>0</v>
      </c>
      <c r="E40" s="67">
        <f t="shared" si="5"/>
        <v>0</v>
      </c>
      <c r="F40" s="263">
        <f>+F31+F31</f>
        <v>0</v>
      </c>
    </row>
    <row r="41" spans="2:6" ht="12.75">
      <c r="B41" s="261" t="s">
        <v>2</v>
      </c>
      <c r="C41" s="262">
        <f>SUM(C36:C40)</f>
        <v>40349808</v>
      </c>
      <c r="D41" s="262">
        <f>SUM(D36:D40)</f>
        <v>20981900.16</v>
      </c>
      <c r="E41" s="262">
        <f>SUM(E36:E40)</f>
        <v>2117064</v>
      </c>
      <c r="F41" s="249">
        <f>SUM(F36:F40)</f>
        <v>109725111.68491969</v>
      </c>
    </row>
    <row r="43" ht="12.75">
      <c r="B43" s="1" t="s">
        <v>180</v>
      </c>
    </row>
    <row r="44" spans="2:6" ht="15">
      <c r="B44" s="223" t="s">
        <v>3</v>
      </c>
      <c r="C44" s="260" t="s">
        <v>175</v>
      </c>
      <c r="D44" s="260" t="s">
        <v>21</v>
      </c>
      <c r="E44" s="260" t="s">
        <v>22</v>
      </c>
      <c r="F44" s="224" t="s">
        <v>5</v>
      </c>
    </row>
    <row r="45" spans="2:6" ht="12.75">
      <c r="B45" s="78" t="str">
        <f aca="true" t="shared" si="6" ref="B45:E47">+B36</f>
        <v>Ingeniero</v>
      </c>
      <c r="C45" s="67">
        <f t="shared" si="6"/>
        <v>21600000</v>
      </c>
      <c r="D45" s="67">
        <f t="shared" si="6"/>
        <v>11232000</v>
      </c>
      <c r="E45" s="67">
        <f t="shared" si="6"/>
        <v>0</v>
      </c>
      <c r="F45" s="263">
        <f>+F36+F36*'DATOS GENERALES'!$I$67</f>
        <v>77837974.272</v>
      </c>
    </row>
    <row r="46" spans="2:6" ht="12.75">
      <c r="B46" s="78" t="str">
        <f t="shared" si="6"/>
        <v>Auxiliares de producción</v>
      </c>
      <c r="C46" s="67">
        <f t="shared" si="6"/>
        <v>18749808</v>
      </c>
      <c r="D46" s="67">
        <f t="shared" si="6"/>
        <v>9749900.16</v>
      </c>
      <c r="E46" s="67">
        <f t="shared" si="6"/>
        <v>2117064</v>
      </c>
      <c r="F46" s="263">
        <f>+F37+F37*'DATOS GENERALES'!$I$67</f>
        <v>38470644.114014864</v>
      </c>
    </row>
    <row r="47" spans="2:6" ht="12.75">
      <c r="B47" s="78">
        <f t="shared" si="6"/>
        <v>0</v>
      </c>
      <c r="C47" s="67">
        <f t="shared" si="6"/>
        <v>0</v>
      </c>
      <c r="D47" s="67">
        <f t="shared" si="6"/>
        <v>0</v>
      </c>
      <c r="E47" s="67">
        <f t="shared" si="6"/>
        <v>0</v>
      </c>
      <c r="F47" s="263">
        <f>+F38+F38*'DATOS GENERALES'!$I$67</f>
        <v>0</v>
      </c>
    </row>
    <row r="48" spans="2:6" ht="12.75">
      <c r="B48" s="78">
        <f aca="true" t="shared" si="7" ref="B48:E49">+B39</f>
        <v>0</v>
      </c>
      <c r="C48" s="67">
        <f t="shared" si="7"/>
        <v>0</v>
      </c>
      <c r="D48" s="67">
        <f t="shared" si="7"/>
        <v>0</v>
      </c>
      <c r="E48" s="67">
        <f t="shared" si="7"/>
        <v>0</v>
      </c>
      <c r="F48" s="263">
        <f>+F39+F39*'DATOS GENERALES'!$I$67</f>
        <v>0</v>
      </c>
    </row>
    <row r="49" spans="2:6" ht="12.75">
      <c r="B49" s="78">
        <f t="shared" si="7"/>
        <v>0</v>
      </c>
      <c r="C49" s="67">
        <f t="shared" si="7"/>
        <v>0</v>
      </c>
      <c r="D49" s="67">
        <f t="shared" si="7"/>
        <v>0</v>
      </c>
      <c r="E49" s="67">
        <f t="shared" si="7"/>
        <v>0</v>
      </c>
      <c r="F49" s="263">
        <f>+F40+F40*'DATOS GENERALES'!$I$67</f>
        <v>0</v>
      </c>
    </row>
    <row r="50" spans="2:6" ht="12.75">
      <c r="B50" s="261" t="s">
        <v>2</v>
      </c>
      <c r="C50" s="262">
        <f>SUM(C45:C49)</f>
        <v>40349808</v>
      </c>
      <c r="D50" s="262">
        <f>SUM(D45:D49)</f>
        <v>20981900.16</v>
      </c>
      <c r="E50" s="262">
        <f>SUM(E45:E49)</f>
        <v>2117064</v>
      </c>
      <c r="F50" s="249">
        <f>SUM(F45:F49)</f>
        <v>116308618.38601486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M217"/>
  <sheetViews>
    <sheetView showGridLines="0"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6.57421875" style="0" customWidth="1"/>
    <col min="2" max="2" width="27.57421875" style="0" customWidth="1"/>
    <col min="3" max="3" width="19.57421875" style="0" bestFit="1" customWidth="1"/>
    <col min="4" max="4" width="18.421875" style="0" bestFit="1" customWidth="1"/>
    <col min="5" max="5" width="18.00390625" style="0" bestFit="1" customWidth="1"/>
    <col min="6" max="6" width="18.421875" style="0" bestFit="1" customWidth="1"/>
    <col min="7" max="7" width="17.7109375" style="0" bestFit="1" customWidth="1"/>
    <col min="8" max="14" width="12.8515625" style="0" bestFit="1" customWidth="1"/>
  </cols>
  <sheetData>
    <row r="2" spans="2:7" ht="12.75">
      <c r="B2" s="4" t="str">
        <f>+'COMPRA DE MAT. PRIMAS'!$F$2</f>
        <v>NOMBRE DE LA EMPRESA:</v>
      </c>
      <c r="C2" s="328" t="str">
        <f>+'MANO DE OBRA DIRECTA'!C2</f>
        <v>Gas Metano</v>
      </c>
      <c r="D2" s="327"/>
      <c r="E2" s="327"/>
      <c r="F2" s="327"/>
      <c r="G2" s="327"/>
    </row>
    <row r="4" ht="12.75">
      <c r="B4" s="1" t="s">
        <v>23</v>
      </c>
    </row>
    <row r="6" spans="2:7" ht="15">
      <c r="B6" s="183" t="s">
        <v>3</v>
      </c>
      <c r="C6" s="252" t="s">
        <v>176</v>
      </c>
      <c r="D6" s="252" t="s">
        <v>177</v>
      </c>
      <c r="E6" s="252" t="s">
        <v>178</v>
      </c>
      <c r="F6" s="252" t="s">
        <v>179</v>
      </c>
      <c r="G6" s="259" t="s">
        <v>180</v>
      </c>
    </row>
    <row r="7" spans="2:7" ht="12.75">
      <c r="B7" s="78">
        <f>+'DATOS GENERALES'!B75</f>
        <v>0</v>
      </c>
      <c r="C7" s="67">
        <f>+'DATOS GENERALES'!C75</f>
        <v>0</v>
      </c>
      <c r="D7" s="67">
        <f>+C7+C7*'DATOS GENERALES'!$I$77</f>
        <v>0</v>
      </c>
      <c r="E7" s="67">
        <f>+D7+D7*'DATOS GENERALES'!$I$78</f>
        <v>0</v>
      </c>
      <c r="F7" s="67">
        <f>+E7+E7*'DATOS GENERALES'!$I$79</f>
        <v>0</v>
      </c>
      <c r="G7" s="236">
        <f>+F7+F7*'DATOS GENERALES'!$I$80</f>
        <v>0</v>
      </c>
    </row>
    <row r="8" spans="2:7" ht="12.75">
      <c r="B8" s="78">
        <f>+'DATOS GENERALES'!B76</f>
        <v>0</v>
      </c>
      <c r="C8" s="67">
        <f>+'DATOS GENERALES'!C76</f>
        <v>0</v>
      </c>
      <c r="D8" s="67">
        <f>+C8+C8*'DATOS GENERALES'!$I$77</f>
        <v>0</v>
      </c>
      <c r="E8" s="67">
        <f>+D8+D8*'DATOS GENERALES'!$I$78</f>
        <v>0</v>
      </c>
      <c r="F8" s="67">
        <f>+E8+E8*'DATOS GENERALES'!$I$79</f>
        <v>0</v>
      </c>
      <c r="G8" s="236">
        <f>+F8+F8*'DATOS GENERALES'!$I$80</f>
        <v>0</v>
      </c>
    </row>
    <row r="9" spans="2:7" ht="12.75">
      <c r="B9" s="78">
        <f>+'DATOS GENERALES'!B77</f>
        <v>0</v>
      </c>
      <c r="C9" s="67">
        <f>+'DATOS GENERALES'!C77</f>
        <v>0</v>
      </c>
      <c r="D9" s="67">
        <f>+C9+C9*'DATOS GENERALES'!$I$77</f>
        <v>0</v>
      </c>
      <c r="E9" s="67">
        <f>+D9+D9*'DATOS GENERALES'!$I$78</f>
        <v>0</v>
      </c>
      <c r="F9" s="67">
        <f>+E9+E9*'DATOS GENERALES'!$I$79</f>
        <v>0</v>
      </c>
      <c r="G9" s="236">
        <f>+F9+F9*'DATOS GENERALES'!$I$80</f>
        <v>0</v>
      </c>
    </row>
    <row r="10" spans="2:7" ht="12.75">
      <c r="B10" s="78">
        <f>+'DATOS GENERALES'!B78</f>
        <v>0</v>
      </c>
      <c r="C10" s="67">
        <f>+'DATOS GENERALES'!C78</f>
        <v>0</v>
      </c>
      <c r="D10" s="67">
        <f>+C10+C10*'DATOS GENERALES'!$I$77</f>
        <v>0</v>
      </c>
      <c r="E10" s="67">
        <f>+D10+D10*'DATOS GENERALES'!$I$78</f>
        <v>0</v>
      </c>
      <c r="F10" s="67">
        <f>+E10+E10*'DATOS GENERALES'!$I$79</f>
        <v>0</v>
      </c>
      <c r="G10" s="236">
        <f>+F10+F10*'DATOS GENERALES'!$I$80</f>
        <v>0</v>
      </c>
    </row>
    <row r="11" spans="2:7" ht="12.75">
      <c r="B11" s="78">
        <f>+'DATOS GENERALES'!B79</f>
        <v>0</v>
      </c>
      <c r="C11" s="67">
        <f>+'DATOS GENERALES'!C79</f>
        <v>0</v>
      </c>
      <c r="D11" s="67">
        <f>+C11+C11*'DATOS GENERALES'!$I$77</f>
        <v>0</v>
      </c>
      <c r="E11" s="67">
        <f>+D11+D11*'DATOS GENERALES'!$I$78</f>
        <v>0</v>
      </c>
      <c r="F11" s="67">
        <f>+E11+E11*'DATOS GENERALES'!$I$79</f>
        <v>0</v>
      </c>
      <c r="G11" s="236">
        <f>+F11+F11*'DATOS GENERALES'!$I$80</f>
        <v>0</v>
      </c>
    </row>
    <row r="12" spans="2:7" ht="12.75">
      <c r="B12" s="78">
        <f>+'DATOS GENERALES'!B80</f>
        <v>0</v>
      </c>
      <c r="C12" s="67">
        <f>+'DATOS GENERALES'!C80</f>
        <v>0</v>
      </c>
      <c r="D12" s="67">
        <f>+C12+C12*'DATOS GENERALES'!$I$77</f>
        <v>0</v>
      </c>
      <c r="E12" s="67">
        <f>+D12+D12*'DATOS GENERALES'!$I$78</f>
        <v>0</v>
      </c>
      <c r="F12" s="67">
        <f>+E12+E12*'DATOS GENERALES'!$I$79</f>
        <v>0</v>
      </c>
      <c r="G12" s="236">
        <f>+F12+F12*'DATOS GENERALES'!$I$80</f>
        <v>0</v>
      </c>
    </row>
    <row r="13" spans="2:7" ht="12.75">
      <c r="B13" s="78">
        <f>+'DATOS GENERALES'!B81</f>
        <v>0</v>
      </c>
      <c r="C13" s="67">
        <f>+'DATOS GENERALES'!C81</f>
        <v>0</v>
      </c>
      <c r="D13" s="67">
        <f>+C13+C13*'DATOS GENERALES'!$I$77</f>
        <v>0</v>
      </c>
      <c r="E13" s="67">
        <f>+D13+D13*'DATOS GENERALES'!$I$78</f>
        <v>0</v>
      </c>
      <c r="F13" s="67">
        <f>+E13+E13*'DATOS GENERALES'!$I$79</f>
        <v>0</v>
      </c>
      <c r="G13" s="236">
        <f>+F13+F13*'DATOS GENERALES'!$I$80</f>
        <v>0</v>
      </c>
    </row>
    <row r="14" spans="2:7" ht="12.75">
      <c r="B14" s="78">
        <f>+'DATOS GENERALES'!B82</f>
        <v>0</v>
      </c>
      <c r="C14" s="67">
        <f>+'DATOS GENERALES'!C82</f>
        <v>0</v>
      </c>
      <c r="D14" s="67">
        <f>+C14+C14*'DATOS GENERALES'!$I$77</f>
        <v>0</v>
      </c>
      <c r="E14" s="67">
        <f>+D14+D14*'DATOS GENERALES'!$I$78</f>
        <v>0</v>
      </c>
      <c r="F14" s="67">
        <f>+E14+E14*'DATOS GENERALES'!$I$79</f>
        <v>0</v>
      </c>
      <c r="G14" s="236">
        <f>+F14+F14*'DATOS GENERALES'!$I$80</f>
        <v>0</v>
      </c>
    </row>
    <row r="15" spans="2:7" ht="12.75">
      <c r="B15" s="78">
        <f>+'DATOS GENERALES'!B83</f>
        <v>0</v>
      </c>
      <c r="C15" s="67">
        <f>+'DATOS GENERALES'!C83</f>
        <v>0</v>
      </c>
      <c r="D15" s="67">
        <f>+C15+C15*'DATOS GENERALES'!$I$77</f>
        <v>0</v>
      </c>
      <c r="E15" s="67">
        <f>+D15+D15*'DATOS GENERALES'!$I$78</f>
        <v>0</v>
      </c>
      <c r="F15" s="67">
        <f>+E15+E15*'DATOS GENERALES'!$I$79</f>
        <v>0</v>
      </c>
      <c r="G15" s="236">
        <f>+F15+F15*'DATOS GENERALES'!$I$80</f>
        <v>0</v>
      </c>
    </row>
    <row r="16" spans="2:7" ht="12.75">
      <c r="B16" s="78" t="s">
        <v>24</v>
      </c>
      <c r="C16" s="44">
        <f>+'BALANCE GENERAL'!$U$39</f>
        <v>3727550</v>
      </c>
      <c r="D16" s="44">
        <f>+'BALANCE GENERAL'!$V$39</f>
        <v>3727550</v>
      </c>
      <c r="E16" s="44">
        <f>+'BALANCE GENERAL'!$W$39</f>
        <v>3727550</v>
      </c>
      <c r="F16" s="44">
        <f>+'BALANCE GENERAL'!$X$39</f>
        <v>3727550</v>
      </c>
      <c r="G16" s="256">
        <f>+'BALANCE GENERAL'!$Y$39</f>
        <v>3727550</v>
      </c>
    </row>
    <row r="17" spans="2:7" ht="12.75">
      <c r="B17" s="78">
        <v>0</v>
      </c>
      <c r="C17" s="44">
        <v>0</v>
      </c>
      <c r="D17" s="44">
        <v>0</v>
      </c>
      <c r="E17" s="44">
        <v>0</v>
      </c>
      <c r="F17" s="44">
        <v>0</v>
      </c>
      <c r="G17" s="256">
        <v>0</v>
      </c>
    </row>
    <row r="18" spans="2:8" ht="12.75">
      <c r="B18" s="78">
        <f>+'DATOS GENERALES'!$B$84</f>
        <v>0</v>
      </c>
      <c r="C18" s="67">
        <f>+'DATOS GENERALES'!C84</f>
        <v>0</v>
      </c>
      <c r="D18" s="67">
        <f>+C18+C18*'DATOS GENERALES'!$I$77</f>
        <v>0</v>
      </c>
      <c r="E18" s="67">
        <f>+D18+D18*'DATOS GENERALES'!$I$78</f>
        <v>0</v>
      </c>
      <c r="F18" s="67">
        <f>+E18+E18*'DATOS GENERALES'!$I$79</f>
        <v>0</v>
      </c>
      <c r="G18" s="236">
        <f>+F18+F18*'DATOS GENERALES'!$I$80</f>
        <v>0</v>
      </c>
      <c r="H18" s="5" t="s">
        <v>0</v>
      </c>
    </row>
    <row r="19" spans="2:7" s="1" customFormat="1" ht="12.75">
      <c r="B19" s="213" t="s">
        <v>2</v>
      </c>
      <c r="C19" s="248">
        <f>SUM(C7:C18)</f>
        <v>3727550</v>
      </c>
      <c r="D19" s="248">
        <f>SUM(D7:D18)</f>
        <v>3727550</v>
      </c>
      <c r="E19" s="248">
        <f>SUM(E7:E18)</f>
        <v>3727550</v>
      </c>
      <c r="F19" s="248">
        <f>SUM(F7:F18)</f>
        <v>3727550</v>
      </c>
      <c r="G19" s="249">
        <f>SUM(G7:G18)</f>
        <v>3727550</v>
      </c>
    </row>
    <row r="37" spans="1:6" s="1" customFormat="1" ht="12.75">
      <c r="A37"/>
      <c r="B37"/>
      <c r="C37"/>
      <c r="D37"/>
      <c r="E37"/>
      <c r="F37"/>
    </row>
    <row r="55" spans="1:13" s="1" customFormat="1" ht="12.75">
      <c r="A55"/>
      <c r="B55"/>
      <c r="C55"/>
      <c r="D55"/>
      <c r="E55"/>
      <c r="F55"/>
      <c r="M55"/>
    </row>
    <row r="73" spans="1:6" s="1" customFormat="1" ht="12.75">
      <c r="A73"/>
      <c r="B73"/>
      <c r="C73"/>
      <c r="D73"/>
      <c r="E73"/>
      <c r="F73"/>
    </row>
    <row r="91" spans="1:6" s="1" customFormat="1" ht="12.75">
      <c r="A91"/>
      <c r="B91"/>
      <c r="C91"/>
      <c r="D91"/>
      <c r="E91"/>
      <c r="F91"/>
    </row>
    <row r="109" spans="1:6" s="1" customFormat="1" ht="12.75">
      <c r="A109"/>
      <c r="B109"/>
      <c r="C109"/>
      <c r="D109"/>
      <c r="E109"/>
      <c r="F109"/>
    </row>
    <row r="127" spans="1:6" s="1" customFormat="1" ht="12.75">
      <c r="A127"/>
      <c r="B127"/>
      <c r="C127"/>
      <c r="D127"/>
      <c r="E127"/>
      <c r="F127"/>
    </row>
    <row r="145" spans="1:6" s="1" customFormat="1" ht="12.75">
      <c r="A145"/>
      <c r="B145"/>
      <c r="C145"/>
      <c r="D145"/>
      <c r="E145"/>
      <c r="F145"/>
    </row>
    <row r="163" spans="1:6" s="1" customFormat="1" ht="12.75">
      <c r="A163"/>
      <c r="B163"/>
      <c r="C163"/>
      <c r="D163"/>
      <c r="E163"/>
      <c r="F163"/>
    </row>
    <row r="181" spans="1:7" s="1" customFormat="1" ht="12.75">
      <c r="A181"/>
      <c r="B181"/>
      <c r="C181"/>
      <c r="D181"/>
      <c r="E181"/>
      <c r="F181"/>
      <c r="G181"/>
    </row>
    <row r="199" spans="1:7" s="1" customFormat="1" ht="12.75">
      <c r="A199"/>
      <c r="B199"/>
      <c r="C199"/>
      <c r="D199"/>
      <c r="E199"/>
      <c r="F199"/>
      <c r="G199"/>
    </row>
    <row r="217" spans="1:6" s="1" customFormat="1" ht="12.75">
      <c r="A217"/>
      <c r="B217"/>
      <c r="C217"/>
      <c r="D217"/>
      <c r="E217"/>
      <c r="F217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2:H265"/>
  <sheetViews>
    <sheetView showGridLines="0" zoomScale="75" zoomScaleNormal="75" zoomScalePageLayoutView="0" workbookViewId="0" topLeftCell="A2">
      <selection activeCell="D8" sqref="D8"/>
    </sheetView>
  </sheetViews>
  <sheetFormatPr defaultColWidth="11.421875" defaultRowHeight="12.75"/>
  <cols>
    <col min="1" max="1" width="2.421875" style="0" customWidth="1"/>
    <col min="2" max="2" width="4.8515625" style="2" customWidth="1"/>
    <col min="3" max="3" width="44.00390625" style="0" customWidth="1"/>
    <col min="4" max="4" width="19.00390625" style="0" customWidth="1"/>
    <col min="5" max="5" width="21.8515625" style="0" customWidth="1"/>
    <col min="6" max="6" width="18.421875" style="0" bestFit="1" customWidth="1"/>
    <col min="7" max="8" width="19.57421875" style="0" bestFit="1" customWidth="1"/>
    <col min="9" max="15" width="13.8515625" style="0" bestFit="1" customWidth="1"/>
  </cols>
  <sheetData>
    <row r="2" spans="3:8" ht="12.75">
      <c r="C2" s="325" t="str">
        <f>+'COMPRA DE MAT. PRIMAS'!$F$2</f>
        <v>NOMBRE DE LA EMPRESA:</v>
      </c>
      <c r="D2" s="328" t="str">
        <f>+'COSTOS IND. FAB.'!C2</f>
        <v>Gas Metano</v>
      </c>
      <c r="E2" s="327"/>
      <c r="F2" s="327"/>
      <c r="G2" s="327"/>
      <c r="H2" s="327"/>
    </row>
    <row r="4" ht="12.75">
      <c r="C4" s="1" t="s">
        <v>25</v>
      </c>
    </row>
    <row r="6" spans="2:8" ht="15">
      <c r="B6" s="254"/>
      <c r="C6" s="241" t="s">
        <v>3</v>
      </c>
      <c r="D6" s="225" t="s">
        <v>176</v>
      </c>
      <c r="E6" s="225" t="s">
        <v>177</v>
      </c>
      <c r="F6" s="225" t="s">
        <v>178</v>
      </c>
      <c r="G6" s="225" t="s">
        <v>179</v>
      </c>
      <c r="H6" s="224" t="s">
        <v>180</v>
      </c>
    </row>
    <row r="7" spans="2:8" ht="12.75">
      <c r="B7" s="255" t="s">
        <v>30</v>
      </c>
      <c r="C7" s="30" t="s">
        <v>26</v>
      </c>
      <c r="D7" s="44">
        <f>+'COMPRA DE MAT. PRIMAS'!$J$18</f>
        <v>2782180.3679999993</v>
      </c>
      <c r="E7" s="44">
        <f>+'COMPRA DE MAT. PRIMAS'!$J$32</f>
        <v>2956066.641</v>
      </c>
      <c r="F7" s="44">
        <f>+'COMPRA DE MAT. PRIMAS'!$J$46</f>
        <v>3129952.914</v>
      </c>
      <c r="G7" s="44">
        <f>+'COMPRA DE MAT. PRIMAS'!$J$60</f>
        <v>3303839.187</v>
      </c>
      <c r="H7" s="256">
        <f>+'COMPRA DE MAT. PRIMAS'!$J$74</f>
        <v>3477725.46</v>
      </c>
    </row>
    <row r="8" spans="2:8" ht="12.75">
      <c r="B8" s="255" t="s">
        <v>30</v>
      </c>
      <c r="C8" s="30" t="s">
        <v>27</v>
      </c>
      <c r="D8" s="44">
        <f>+'MANO DE OBRA DIRECTA'!$F$14</f>
        <v>63448772.16</v>
      </c>
      <c r="E8" s="44">
        <f>+'MANO DE OBRA DIRECTA'!$F$23</f>
        <v>66938454.628800005</v>
      </c>
      <c r="F8" s="44">
        <f>+'MANO DE OBRA DIRECTA'!$F$32</f>
        <v>70954761.906528</v>
      </c>
      <c r="G8" s="44">
        <f>+'MANO DE OBRA DIRECTA'!$F$41</f>
        <v>109725111.68491969</v>
      </c>
      <c r="H8" s="256">
        <f>+'MANO DE OBRA DIRECTA'!$F$50</f>
        <v>116308618.38601486</v>
      </c>
    </row>
    <row r="9" spans="2:8" ht="12.75">
      <c r="B9" s="255" t="s">
        <v>30</v>
      </c>
      <c r="C9" s="70" t="s">
        <v>28</v>
      </c>
      <c r="D9" s="44">
        <f>+'COSTOS IND. FAB.'!$C$19</f>
        <v>3727550</v>
      </c>
      <c r="E9" s="44">
        <f>+'COSTOS IND. FAB.'!$D$19</f>
        <v>3727550</v>
      </c>
      <c r="F9" s="44">
        <f>+'COSTOS IND. FAB.'!$E$19</f>
        <v>3727550</v>
      </c>
      <c r="G9" s="44">
        <f>+'COSTOS IND. FAB.'!$F$19</f>
        <v>3727550</v>
      </c>
      <c r="H9" s="256">
        <f>+'COSTOS IND. FAB.'!$G$19</f>
        <v>3727550</v>
      </c>
    </row>
    <row r="10" spans="2:8" ht="12.75">
      <c r="B10" s="257" t="s">
        <v>31</v>
      </c>
      <c r="C10" s="45" t="s">
        <v>29</v>
      </c>
      <c r="D10" s="104">
        <f>+D7+D8+D9</f>
        <v>69958502.528</v>
      </c>
      <c r="E10" s="104">
        <f>+E7+E8+E9</f>
        <v>73622071.2698</v>
      </c>
      <c r="F10" s="104">
        <f>+F7+F8+F9</f>
        <v>77812264.820528</v>
      </c>
      <c r="G10" s="104">
        <f>+G7+G8+G9</f>
        <v>116756500.87191969</v>
      </c>
      <c r="H10" s="104">
        <f>+H7+H8+H9</f>
        <v>123513893.84601486</v>
      </c>
    </row>
    <row r="11" spans="2:8" ht="12.75">
      <c r="B11" s="258" t="s">
        <v>31</v>
      </c>
      <c r="C11" s="245" t="s">
        <v>32</v>
      </c>
      <c r="D11" s="239">
        <f>+D10</f>
        <v>69958502.528</v>
      </c>
      <c r="E11" s="239">
        <f>+E10</f>
        <v>73622071.2698</v>
      </c>
      <c r="F11" s="239">
        <f>+F10</f>
        <v>77812264.820528</v>
      </c>
      <c r="G11" s="239">
        <f>+G10</f>
        <v>116756500.87191969</v>
      </c>
      <c r="H11" s="239">
        <f>+H10</f>
        <v>123513893.84601486</v>
      </c>
    </row>
    <row r="13" spans="2:8" ht="12.75">
      <c r="B13" s="318" t="s">
        <v>264</v>
      </c>
      <c r="C13" s="319"/>
      <c r="D13" s="320">
        <f>+D10/PRODUCCIÓN!F11</f>
        <v>262.6069914714715</v>
      </c>
      <c r="E13" s="320">
        <f>+E10/PRODUCCIÓN!F17</f>
        <v>260.1027071888359</v>
      </c>
      <c r="F13" s="320">
        <f>+F10/PRODUCCIÓN!F23</f>
        <v>259.633849918345</v>
      </c>
      <c r="G13" s="320">
        <f>+G10/PRODUCCIÓN!F29</f>
        <v>369.07381340894483</v>
      </c>
      <c r="H13" s="321">
        <f>+H10/PRODUCCIÓN!F35</f>
        <v>370.91259413217676</v>
      </c>
    </row>
    <row r="14" spans="2:4" ht="12.75">
      <c r="B14"/>
      <c r="D14" s="5" t="s">
        <v>0</v>
      </c>
    </row>
    <row r="15" spans="2:8" ht="12.75">
      <c r="B15" s="322" t="s">
        <v>287</v>
      </c>
      <c r="C15" s="323"/>
      <c r="D15" s="324">
        <f>+D13-D17</f>
        <v>248.61468666666667</v>
      </c>
      <c r="E15" s="324">
        <f>+E13-E17</f>
        <v>246.9334791372549</v>
      </c>
      <c r="F15" s="324">
        <f>+F13-F17</f>
        <v>247.19624564740738</v>
      </c>
      <c r="G15" s="324">
        <f>+G13-G17</f>
        <v>357.29081988910923</v>
      </c>
      <c r="H15" s="324">
        <f>+H13-H17</f>
        <v>359.7187502883329</v>
      </c>
    </row>
    <row r="16" ht="12.75">
      <c r="B16"/>
    </row>
    <row r="17" spans="2:8" ht="12.75">
      <c r="B17" s="291" t="s">
        <v>288</v>
      </c>
      <c r="C17" s="292"/>
      <c r="D17" s="293">
        <f>+D9/PRODUCCIÓN!F11</f>
        <v>13.992304804804805</v>
      </c>
      <c r="E17" s="293">
        <f>+E9/PRODUCCIÓN!F17</f>
        <v>13.169228051580992</v>
      </c>
      <c r="F17" s="293">
        <f>+F9/PRODUCCIÓN!F23</f>
        <v>12.437604270937605</v>
      </c>
      <c r="G17" s="293">
        <f>+G9/PRODUCCIÓN!F29</f>
        <v>11.782993519835625</v>
      </c>
      <c r="H17" s="293">
        <f>+H9/PRODUCCIÓN!F35</f>
        <v>11.193843843843844</v>
      </c>
    </row>
    <row r="18" ht="12.75">
      <c r="B18"/>
    </row>
    <row r="19" spans="2:4" ht="12.75">
      <c r="B19"/>
      <c r="D19" t="s">
        <v>0</v>
      </c>
    </row>
    <row r="20" spans="2:4" ht="12.75">
      <c r="B20"/>
      <c r="D20" t="s">
        <v>0</v>
      </c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spans="2:7" ht="12.75">
      <c r="B34"/>
      <c r="G34" s="107" t="s">
        <v>358</v>
      </c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2:G24"/>
  <sheetViews>
    <sheetView showGridLines="0" zoomScale="75" zoomScaleNormal="75" zoomScalePageLayoutView="0" workbookViewId="0" topLeftCell="A1">
      <selection activeCell="C17" sqref="C17"/>
    </sheetView>
  </sheetViews>
  <sheetFormatPr defaultColWidth="11.421875" defaultRowHeight="12.75"/>
  <cols>
    <col min="1" max="1" width="6.421875" style="0" customWidth="1"/>
    <col min="2" max="2" width="29.00390625" style="0" customWidth="1"/>
    <col min="3" max="3" width="19.57421875" style="0" bestFit="1" customWidth="1"/>
    <col min="4" max="4" width="18.28125" style="0" bestFit="1" customWidth="1"/>
    <col min="5" max="5" width="19.57421875" style="0" bestFit="1" customWidth="1"/>
    <col min="6" max="6" width="18.28125" style="0" bestFit="1" customWidth="1"/>
    <col min="7" max="7" width="18.8515625" style="0" bestFit="1" customWidth="1"/>
    <col min="8" max="14" width="12.8515625" style="0" bestFit="1" customWidth="1"/>
  </cols>
  <sheetData>
    <row r="2" spans="2:7" ht="12.75">
      <c r="B2" s="4" t="str">
        <f>+'COMPRA DE MAT. PRIMAS'!$F$2</f>
        <v>NOMBRE DE LA EMPRESA:</v>
      </c>
      <c r="C2" s="328" t="str">
        <f>+'COSTO DE VENTAS'!D2</f>
        <v>Gas Metano</v>
      </c>
      <c r="D2" s="327"/>
      <c r="E2" s="327"/>
      <c r="F2" s="327"/>
      <c r="G2" s="327"/>
    </row>
    <row r="4" ht="12.75">
      <c r="B4" s="1" t="s">
        <v>34</v>
      </c>
    </row>
    <row r="6" spans="2:7" ht="15">
      <c r="B6" s="250" t="s">
        <v>3</v>
      </c>
      <c r="C6" s="251" t="s">
        <v>176</v>
      </c>
      <c r="D6" s="251" t="s">
        <v>177</v>
      </c>
      <c r="E6" s="251" t="s">
        <v>178</v>
      </c>
      <c r="F6" s="251" t="s">
        <v>179</v>
      </c>
      <c r="G6" s="253" t="s">
        <v>180</v>
      </c>
    </row>
    <row r="7" spans="2:7" ht="12.75">
      <c r="B7" s="246" t="str">
        <f>+'DATOS GENERALES'!$B$104</f>
        <v>Papeleria</v>
      </c>
      <c r="C7" s="124">
        <f>+'DATOS GENERALES'!C104</f>
        <v>1200000</v>
      </c>
      <c r="D7" s="124">
        <f>+C7+C7*'DATOS GENERALES'!$I$109</f>
        <v>1260000</v>
      </c>
      <c r="E7" s="124">
        <f>+D7+D7*'DATOS GENERALES'!$I$110</f>
        <v>1335600</v>
      </c>
      <c r="F7" s="124">
        <f>+E7+E7*'DATOS GENERALES'!$I$111</f>
        <v>1415736</v>
      </c>
      <c r="G7" s="119">
        <f>+F7+F7*'DATOS GENERALES'!$I$112</f>
        <v>1500680.16</v>
      </c>
    </row>
    <row r="8" spans="2:7" ht="12.75">
      <c r="B8" s="246" t="str">
        <f>+'DATOS GENERALES'!$B$105</f>
        <v>Imprevistos</v>
      </c>
      <c r="C8" s="124">
        <f>+'DATOS GENERALES'!C105</f>
        <v>1200000</v>
      </c>
      <c r="D8" s="124">
        <f>+C8+C8*'DATOS GENERALES'!$I$109</f>
        <v>1260000</v>
      </c>
      <c r="E8" s="124">
        <f>+D8+D8*'DATOS GENERALES'!$I$110</f>
        <v>1335600</v>
      </c>
      <c r="F8" s="124">
        <f>+E8+E8*'DATOS GENERALES'!$I$111</f>
        <v>1415736</v>
      </c>
      <c r="G8" s="119">
        <f>+F8+F8*'DATOS GENERALES'!$I$112</f>
        <v>1500680.16</v>
      </c>
    </row>
    <row r="9" spans="2:7" ht="12.75">
      <c r="B9" s="246" t="str">
        <f>+'DATOS GENERALES'!$B$106</f>
        <v>Servicio de Agua</v>
      </c>
      <c r="C9" s="124">
        <f>+'DATOS GENERALES'!C106</f>
        <v>1923600</v>
      </c>
      <c r="D9" s="124">
        <f>+C9+C9*'DATOS GENERALES'!$I$109</f>
        <v>2019780</v>
      </c>
      <c r="E9" s="124">
        <f>+D9+D9*'DATOS GENERALES'!$I$110</f>
        <v>2140966.8</v>
      </c>
      <c r="F9" s="124">
        <f>+E9+E9*'DATOS GENERALES'!$I$111</f>
        <v>2269424.8079999997</v>
      </c>
      <c r="G9" s="119">
        <f>+F9+F9*'DATOS GENERALES'!$I$112</f>
        <v>2405590.2964799996</v>
      </c>
    </row>
    <row r="10" spans="2:7" ht="12.75">
      <c r="B10" s="246" t="str">
        <f>+'DATOS GENERALES'!$B$107</f>
        <v>Arriendo</v>
      </c>
      <c r="C10" s="124">
        <f>+'DATOS GENERALES'!C107</f>
        <v>14400000</v>
      </c>
      <c r="D10" s="124">
        <f>+C10+C10*'DATOS GENERALES'!$I$109</f>
        <v>15120000</v>
      </c>
      <c r="E10" s="124">
        <f>+D10+D10*'DATOS GENERALES'!$I$110</f>
        <v>16027200</v>
      </c>
      <c r="F10" s="124">
        <f>+E10+E10*'DATOS GENERALES'!$I$111</f>
        <v>16988832</v>
      </c>
      <c r="G10" s="119">
        <f>+F10+F10*'DATOS GENERALES'!$I$112</f>
        <v>18008161.92</v>
      </c>
    </row>
    <row r="11" spans="2:7" ht="12.75">
      <c r="B11" s="246" t="str">
        <f>+'DATOS GENERALES'!$B$108</f>
        <v>Servicio de luz</v>
      </c>
      <c r="C11" s="124">
        <f>+'DATOS GENERALES'!C108</f>
        <v>600000</v>
      </c>
      <c r="D11" s="124">
        <f>+C11+C11*'DATOS GENERALES'!$I$109</f>
        <v>630000</v>
      </c>
      <c r="E11" s="124">
        <f>+D11+D11*'DATOS GENERALES'!$I$110</f>
        <v>667800</v>
      </c>
      <c r="F11" s="124">
        <f>+E11+E11*'DATOS GENERALES'!$I$111</f>
        <v>707868</v>
      </c>
      <c r="G11" s="119">
        <f>+F11+F11*'DATOS GENERALES'!$I$112</f>
        <v>750340.08</v>
      </c>
    </row>
    <row r="12" spans="2:7" ht="12.75">
      <c r="B12" s="246" t="str">
        <f>+'DATOS GENERALES'!$B$109</f>
        <v>Contabilidad</v>
      </c>
      <c r="C12" s="124">
        <f>+'DATOS GENERALES'!C109</f>
        <v>11858532</v>
      </c>
      <c r="D12" s="124">
        <f>+C12+C12*'DATOS GENERALES'!$I$109</f>
        <v>12451458.6</v>
      </c>
      <c r="E12" s="124">
        <f>+D12+D12*'DATOS GENERALES'!$I$110</f>
        <v>13198546.116</v>
      </c>
      <c r="F12" s="124">
        <f>+E12+E12*'DATOS GENERALES'!$I$111</f>
        <v>13990458.882960001</v>
      </c>
      <c r="G12" s="119">
        <f>+F12+F12*'DATOS GENERALES'!$I$112</f>
        <v>14829886.4159376</v>
      </c>
    </row>
    <row r="13" spans="2:7" ht="12.75">
      <c r="B13" s="246" t="str">
        <f>+'DATOS GENERALES'!$B$110</f>
        <v>Auxiliar administrativo</v>
      </c>
      <c r="C13" s="124">
        <f>+'DATOS GENERALES'!C110</f>
        <v>10433436</v>
      </c>
      <c r="D13" s="124">
        <f>+C13+C13*'DATOS GENERALES'!$I$109</f>
        <v>10955107.8</v>
      </c>
      <c r="E13" s="124">
        <f>+D13+D13*'DATOS GENERALES'!$I$110</f>
        <v>11612414.268000001</v>
      </c>
      <c r="F13" s="124">
        <f>+E13+E13*'DATOS GENERALES'!$I$111</f>
        <v>12309159.12408</v>
      </c>
      <c r="G13" s="119">
        <f>+F13+F13*'DATOS GENERALES'!$I$112</f>
        <v>13047708.6715248</v>
      </c>
    </row>
    <row r="14" spans="2:7" ht="12.75">
      <c r="B14" s="246">
        <f>+'DATOS GENERALES'!$B$111</f>
        <v>0</v>
      </c>
      <c r="C14" s="124">
        <f>+'DATOS GENERALES'!C111</f>
        <v>0</v>
      </c>
      <c r="D14" s="124">
        <f>+C14+C14*'DATOS GENERALES'!$I$109</f>
        <v>0</v>
      </c>
      <c r="E14" s="124">
        <f>+D14+D14*'DATOS GENERALES'!$I$110</f>
        <v>0</v>
      </c>
      <c r="F14" s="124">
        <f>+E14+E14*'DATOS GENERALES'!$I$111</f>
        <v>0</v>
      </c>
      <c r="G14" s="119">
        <f>+F14+F14*'DATOS GENERALES'!$I$112</f>
        <v>0</v>
      </c>
    </row>
    <row r="15" spans="2:7" ht="12.75">
      <c r="B15" s="246">
        <f>+'DATOS GENERALES'!$B$112</f>
        <v>0</v>
      </c>
      <c r="C15" s="124">
        <f>+'DATOS GENERALES'!C112</f>
        <v>0</v>
      </c>
      <c r="D15" s="124">
        <f>+C15+C15*'DATOS GENERALES'!$I$109</f>
        <v>0</v>
      </c>
      <c r="E15" s="124">
        <f>+D15+D15*'DATOS GENERALES'!$I$110</f>
        <v>0</v>
      </c>
      <c r="F15" s="124">
        <f>+E15+E15*'DATOS GENERALES'!$I$111</f>
        <v>0</v>
      </c>
      <c r="G15" s="119">
        <f>+F15+F15*'DATOS GENERALES'!$I$112</f>
        <v>0</v>
      </c>
    </row>
    <row r="16" spans="2:7" ht="12.75">
      <c r="B16" s="246">
        <f>+'DATOS GENERALES'!$B$113</f>
        <v>0</v>
      </c>
      <c r="C16" s="124">
        <f>+'DATOS GENERALES'!C113</f>
        <v>0</v>
      </c>
      <c r="D16" s="124">
        <f>+C16+C16*'DATOS GENERALES'!$I$109</f>
        <v>0</v>
      </c>
      <c r="E16" s="124">
        <f>+D16+D16*'DATOS GENERALES'!$I$110</f>
        <v>0</v>
      </c>
      <c r="F16" s="124">
        <f>+E16+E16*'DATOS GENERALES'!$I$111</f>
        <v>0</v>
      </c>
      <c r="G16" s="119">
        <f>+F16+F16*'DATOS GENERALES'!$I$112</f>
        <v>0</v>
      </c>
    </row>
    <row r="17" spans="2:7" ht="12.75">
      <c r="B17" s="246" t="s">
        <v>24</v>
      </c>
      <c r="C17" s="124">
        <f>+'BALANCE GENERAL'!U47+'BALANCE GENERAL'!U23+'BALANCE GENERAL'!U15</f>
        <v>6977433.333333333</v>
      </c>
      <c r="D17" s="200">
        <f>+'BALANCE GENERAL'!V23+'BALANCE GENERAL'!V15+'BALANCE GENERAL'!V47</f>
        <v>6977433.333333333</v>
      </c>
      <c r="E17" s="124">
        <f>+'BALANCE GENERAL'!W23+'BALANCE GENERAL'!W15+'BALANCE GENERAL'!W47</f>
        <v>6977433.333333333</v>
      </c>
      <c r="F17" s="124">
        <f>+'BALANCE GENERAL'!X23+'BALANCE GENERAL'!X15+'BALANCE GENERAL'!X47</f>
        <v>5784100</v>
      </c>
      <c r="G17" s="119">
        <f>+'BALANCE GENERAL'!Y23+'BALANCE GENERAL'!Y15+'BALANCE GENERAL'!Y47</f>
        <v>5784100</v>
      </c>
    </row>
    <row r="18" spans="2:7" ht="12.75">
      <c r="B18" s="246" t="str">
        <f>+'BALANCE GENERAL'!L7</f>
        <v>GASTOS PREOPERATIVOS</v>
      </c>
      <c r="C18" s="124">
        <f>+'BALANCE GENERAL'!M9</f>
        <v>0</v>
      </c>
      <c r="D18" s="124">
        <f>+'BALANCE GENERAL'!N9</f>
        <v>0</v>
      </c>
      <c r="E18" s="124">
        <f>+'BALANCE GENERAL'!O9</f>
        <v>0</v>
      </c>
      <c r="F18" s="124">
        <f>+'BALANCE GENERAL'!P9</f>
        <v>0</v>
      </c>
      <c r="G18" s="119">
        <f>+'BALANCE GENERAL'!Q9</f>
        <v>0</v>
      </c>
    </row>
    <row r="19" spans="2:7" ht="12.75">
      <c r="B19" s="247" t="s">
        <v>2</v>
      </c>
      <c r="C19" s="248">
        <f>SUM(C7:C18)</f>
        <v>48593001.333333336</v>
      </c>
      <c r="D19" s="248">
        <f>SUM(D7:D18)</f>
        <v>50673779.73333334</v>
      </c>
      <c r="E19" s="248">
        <f>SUM(E7:E18)</f>
        <v>53295560.517333336</v>
      </c>
      <c r="F19" s="248">
        <f>SUM(F7:F18)</f>
        <v>54881314.81504</v>
      </c>
      <c r="G19" s="249">
        <f>SUM(G7:G18)</f>
        <v>57827147.7039424</v>
      </c>
    </row>
    <row r="24" ht="12.75">
      <c r="C24" t="s">
        <v>0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wilson.vargas</cp:lastModifiedBy>
  <cp:lastPrinted>2018-08-03T19:41:28Z</cp:lastPrinted>
  <dcterms:created xsi:type="dcterms:W3CDTF">2003-02-03T16:47:19Z</dcterms:created>
  <dcterms:modified xsi:type="dcterms:W3CDTF">2019-08-30T18:39:50Z</dcterms:modified>
  <cp:category/>
  <cp:version/>
  <cp:contentType/>
  <cp:contentStatus/>
</cp:coreProperties>
</file>