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gomez\OneDrive\BIBLIOTECA\2021\Proyectos de grado\copd\"/>
    </mc:Choice>
  </mc:AlternateContent>
  <bookViews>
    <workbookView xWindow="0" yWindow="0" windowWidth="28800" windowHeight="12000" firstSheet="12" activeTab="12"/>
  </bookViews>
  <sheets>
    <sheet name="INVERSION INICIAL " sheetId="1" r:id="rId1"/>
    <sheet name="ESFA" sheetId="3" r:id="rId2"/>
    <sheet name="DATOS INFORMATIVOS" sheetId="2" r:id="rId3"/>
    <sheet name="NOMINA" sheetId="8" r:id="rId4"/>
    <sheet name="AMORTIZACION " sheetId="4" r:id="rId5"/>
    <sheet name="DEPRECIACION" sheetId="5" r:id="rId6"/>
    <sheet name="FLUJO DE CAJA" sheetId="9" r:id="rId7"/>
    <sheet name="PRESUPUESTO" sheetId="7" r:id="rId8"/>
    <sheet name="ESF" sheetId="10" r:id="rId9"/>
    <sheet name="VAN - TIR " sheetId="11" r:id="rId10"/>
    <sheet name="INDICADORES" sheetId="12" r:id="rId11"/>
    <sheet name="ESTADO DE RESULTADOS" sheetId="6" r:id="rId12"/>
    <sheet name="PUNTO DE EQUILIBRIO" sheetId="13" r:id="rId13"/>
    <sheet name="Hoja1" sheetId="14" r:id="rId14"/>
  </sheets>
  <externalReferences>
    <externalReference r:id="rId15"/>
    <externalReference r:id="rId16"/>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7" l="1"/>
  <c r="D11" i="7"/>
  <c r="K11" i="13" l="1"/>
  <c r="H28" i="13"/>
  <c r="H26" i="13"/>
  <c r="E26" i="13"/>
  <c r="B38" i="13" l="1"/>
  <c r="B30" i="13"/>
  <c r="B29" i="13"/>
  <c r="B24" i="13"/>
  <c r="B23" i="13"/>
  <c r="E11" i="13" s="1"/>
  <c r="D15" i="10" l="1"/>
  <c r="E15" i="10"/>
  <c r="C15" i="10"/>
  <c r="H22" i="7" l="1"/>
  <c r="H23" i="7"/>
  <c r="H24" i="7"/>
  <c r="H25" i="7"/>
  <c r="H26" i="7"/>
  <c r="H27" i="7"/>
  <c r="D6" i="7"/>
  <c r="E6" i="7"/>
  <c r="F6" i="7" s="1"/>
  <c r="G6" i="7" s="1"/>
  <c r="D7" i="7"/>
  <c r="E7" i="7"/>
  <c r="F7" i="7" s="1"/>
  <c r="G7" i="7" s="1"/>
  <c r="H7" i="7" s="1"/>
  <c r="I7" i="7" s="1"/>
  <c r="J7" i="7" s="1"/>
  <c r="D12" i="1"/>
  <c r="C13" i="3"/>
  <c r="F35" i="7" s="1"/>
  <c r="D19" i="7"/>
  <c r="E19" i="7" s="1"/>
  <c r="D20" i="7"/>
  <c r="E20" i="7" s="1"/>
  <c r="F20" i="7" s="1"/>
  <c r="G20" i="7" s="1"/>
  <c r="H20" i="7" s="1"/>
  <c r="I20" i="7" s="1"/>
  <c r="J20" i="7" s="1"/>
  <c r="D21" i="7"/>
  <c r="E21" i="7" s="1"/>
  <c r="F21" i="7" s="1"/>
  <c r="G21" i="7" s="1"/>
  <c r="H21" i="7" s="1"/>
  <c r="I21" i="7" s="1"/>
  <c r="J21" i="7" s="1"/>
  <c r="D10" i="8"/>
  <c r="E10" i="8"/>
  <c r="D11" i="8"/>
  <c r="E11" i="8"/>
  <c r="D12" i="8"/>
  <c r="E12" i="8"/>
  <c r="D13" i="8"/>
  <c r="E13" i="8"/>
  <c r="E14" i="8"/>
  <c r="D14" i="8"/>
  <c r="D16" i="8"/>
  <c r="E16" i="8"/>
  <c r="D17" i="8"/>
  <c r="E17" i="8"/>
  <c r="D18" i="8"/>
  <c r="E18" i="8"/>
  <c r="D19" i="8"/>
  <c r="E19" i="8"/>
  <c r="D20" i="8"/>
  <c r="E20" i="8"/>
  <c r="D21" i="8"/>
  <c r="E21" i="8"/>
  <c r="D22" i="8"/>
  <c r="E22" i="8"/>
  <c r="E23" i="8"/>
  <c r="E26" i="8"/>
  <c r="G29" i="8"/>
  <c r="B40" i="13" s="1"/>
  <c r="H29" i="8"/>
  <c r="B10" i="2"/>
  <c r="D10" i="2"/>
  <c r="F51" i="2"/>
  <c r="D63" i="1"/>
  <c r="B9" i="2"/>
  <c r="D9" i="2"/>
  <c r="F46" i="2"/>
  <c r="D12" i="2"/>
  <c r="D64" i="2" s="1"/>
  <c r="G51" i="2"/>
  <c r="G46" i="2"/>
  <c r="B11" i="2"/>
  <c r="C11" i="2"/>
  <c r="D11" i="2"/>
  <c r="D65" i="2"/>
  <c r="E28" i="9"/>
  <c r="D18" i="2" s="1"/>
  <c r="E29" i="9"/>
  <c r="D17" i="2" s="1"/>
  <c r="C3" i="4"/>
  <c r="C15" i="4"/>
  <c r="C16" i="4"/>
  <c r="C17" i="4"/>
  <c r="C18" i="4"/>
  <c r="C19" i="4"/>
  <c r="C20" i="4"/>
  <c r="C21" i="4"/>
  <c r="C22" i="4"/>
  <c r="C23" i="4"/>
  <c r="C24" i="4"/>
  <c r="C25" i="4"/>
  <c r="C26" i="4"/>
  <c r="M8" i="4"/>
  <c r="D25" i="6"/>
  <c r="D27" i="4"/>
  <c r="D28" i="4"/>
  <c r="D29" i="4"/>
  <c r="D30" i="4"/>
  <c r="D31" i="4"/>
  <c r="D32" i="4"/>
  <c r="D33" i="4"/>
  <c r="D34" i="4"/>
  <c r="D35" i="4"/>
  <c r="D36" i="4"/>
  <c r="D37" i="4"/>
  <c r="D38" i="4"/>
  <c r="N9" i="4"/>
  <c r="D31" i="10"/>
  <c r="D39" i="4"/>
  <c r="D40" i="4"/>
  <c r="D41" i="4"/>
  <c r="D42" i="4"/>
  <c r="D43" i="4"/>
  <c r="D44" i="4"/>
  <c r="D45" i="4"/>
  <c r="D46" i="4"/>
  <c r="D47" i="4"/>
  <c r="D48" i="4"/>
  <c r="D49" i="4"/>
  <c r="D50" i="4"/>
  <c r="O17" i="4"/>
  <c r="E31" i="10"/>
  <c r="D51" i="4"/>
  <c r="D52" i="4"/>
  <c r="D53" i="4"/>
  <c r="D54" i="4"/>
  <c r="D55" i="4"/>
  <c r="D56" i="4"/>
  <c r="D57" i="4"/>
  <c r="D58" i="4"/>
  <c r="D59" i="4"/>
  <c r="D60" i="4"/>
  <c r="D61" i="4"/>
  <c r="D62" i="4"/>
  <c r="P17" i="4"/>
  <c r="F31" i="10"/>
  <c r="D63" i="4"/>
  <c r="D64" i="4"/>
  <c r="D65" i="4"/>
  <c r="D66" i="4"/>
  <c r="Q17" i="4"/>
  <c r="G31" i="10"/>
  <c r="D15" i="4"/>
  <c r="D16" i="4"/>
  <c r="D17" i="4"/>
  <c r="D18" i="4"/>
  <c r="D19" i="4"/>
  <c r="D20" i="4"/>
  <c r="D21" i="4"/>
  <c r="D22" i="4"/>
  <c r="D23" i="4"/>
  <c r="D24" i="4"/>
  <c r="D25" i="4"/>
  <c r="D26" i="4"/>
  <c r="M17" i="4"/>
  <c r="C31" i="10"/>
  <c r="E21" i="14"/>
  <c r="D8" i="1"/>
  <c r="C12" i="3"/>
  <c r="B12" i="10" s="1"/>
  <c r="B14" i="10"/>
  <c r="D23" i="1"/>
  <c r="C5" i="5" s="1"/>
  <c r="C20" i="3"/>
  <c r="B21" i="10" s="1"/>
  <c r="B23" i="10" s="1"/>
  <c r="D8" i="7"/>
  <c r="E8" i="7"/>
  <c r="F8" i="7"/>
  <c r="F9" i="7"/>
  <c r="F12" i="7" s="1"/>
  <c r="E6" i="4"/>
  <c r="O6" i="4"/>
  <c r="D7" i="4"/>
  <c r="D8" i="4"/>
  <c r="D9" i="4"/>
  <c r="D10" i="4"/>
  <c r="D11" i="4"/>
  <c r="D12" i="4"/>
  <c r="D13" i="4"/>
  <c r="D14" i="4"/>
  <c r="L17" i="4"/>
  <c r="M18" i="4"/>
  <c r="N17" i="4"/>
  <c r="N18" i="4"/>
  <c r="O18" i="4"/>
  <c r="P18" i="4"/>
  <c r="Q18" i="4"/>
  <c r="G39" i="10"/>
  <c r="G40" i="10"/>
  <c r="F39" i="10"/>
  <c r="F40" i="10"/>
  <c r="E39" i="10"/>
  <c r="D39" i="10"/>
  <c r="D40" i="10"/>
  <c r="C39" i="10"/>
  <c r="C21" i="10"/>
  <c r="L18" i="4"/>
  <c r="C32" i="3"/>
  <c r="C33" i="3" s="1"/>
  <c r="C29" i="3"/>
  <c r="B31" i="10" s="1"/>
  <c r="B39" i="10"/>
  <c r="B40" i="10" s="1"/>
  <c r="E40" i="10"/>
  <c r="C40" i="10"/>
  <c r="C51" i="4"/>
  <c r="C52" i="4"/>
  <c r="C53" i="4"/>
  <c r="C54" i="4"/>
  <c r="C55" i="4"/>
  <c r="C56" i="4"/>
  <c r="C57" i="4"/>
  <c r="C58" i="4"/>
  <c r="C59" i="4"/>
  <c r="C60" i="4"/>
  <c r="C61" i="4"/>
  <c r="C62" i="4"/>
  <c r="M11" i="4"/>
  <c r="H26" i="9"/>
  <c r="C39" i="4"/>
  <c r="C40" i="4"/>
  <c r="C41" i="4"/>
  <c r="C42" i="4"/>
  <c r="C43" i="4"/>
  <c r="C44" i="4"/>
  <c r="C45" i="4"/>
  <c r="C46" i="4"/>
  <c r="C47" i="4"/>
  <c r="C48" i="4"/>
  <c r="C49" i="4"/>
  <c r="C50" i="4"/>
  <c r="M10" i="4"/>
  <c r="G26" i="9"/>
  <c r="C27" i="4"/>
  <c r="C28" i="4"/>
  <c r="C29" i="4"/>
  <c r="C30" i="4"/>
  <c r="C31" i="4"/>
  <c r="C32" i="4"/>
  <c r="C33" i="4"/>
  <c r="C34" i="4"/>
  <c r="C35" i="4"/>
  <c r="C36" i="4"/>
  <c r="C37" i="4"/>
  <c r="C38" i="4"/>
  <c r="M9" i="4"/>
  <c r="F26" i="9"/>
  <c r="F25" i="9"/>
  <c r="E26" i="9"/>
  <c r="N8" i="4"/>
  <c r="E25" i="9"/>
  <c r="E9" i="2"/>
  <c r="F9" i="2"/>
  <c r="G9" i="2"/>
  <c r="L46" i="2"/>
  <c r="M46" i="2"/>
  <c r="H22" i="9"/>
  <c r="J46" i="2"/>
  <c r="K46" i="2"/>
  <c r="G22" i="9"/>
  <c r="H46" i="2"/>
  <c r="I46" i="2"/>
  <c r="F22" i="9"/>
  <c r="E22" i="9"/>
  <c r="E27" i="9"/>
  <c r="D18" i="6" s="1"/>
  <c r="E11" i="2"/>
  <c r="F27" i="9"/>
  <c r="E18" i="6" s="1"/>
  <c r="F11" i="2"/>
  <c r="G27" i="9"/>
  <c r="F18" i="6" s="1"/>
  <c r="G11" i="2"/>
  <c r="H27" i="9"/>
  <c r="G18" i="6" s="1"/>
  <c r="D27" i="9"/>
  <c r="C18" i="6" s="1"/>
  <c r="D28" i="9"/>
  <c r="C18" i="2" s="1"/>
  <c r="D29" i="9"/>
  <c r="C17" i="2" s="1"/>
  <c r="H28" i="9"/>
  <c r="G18" i="2"/>
  <c r="H29" i="9"/>
  <c r="G17" i="2" s="1"/>
  <c r="G28" i="9"/>
  <c r="F18" i="2"/>
  <c r="F28" i="9"/>
  <c r="E18" i="2" s="1"/>
  <c r="F29" i="9"/>
  <c r="E17" i="2"/>
  <c r="G29" i="9"/>
  <c r="F17" i="2" s="1"/>
  <c r="C7" i="4"/>
  <c r="C8" i="4"/>
  <c r="C9" i="4"/>
  <c r="C10" i="4"/>
  <c r="C11" i="4"/>
  <c r="C12" i="4"/>
  <c r="C13" i="4"/>
  <c r="C14" i="4"/>
  <c r="M7" i="4"/>
  <c r="D26" i="9"/>
  <c r="N7" i="4"/>
  <c r="D25" i="9"/>
  <c r="E21" i="9"/>
  <c r="D20" i="6" s="1"/>
  <c r="F21" i="9"/>
  <c r="E20" i="6" s="1"/>
  <c r="G21" i="9"/>
  <c r="F20" i="6" s="1"/>
  <c r="H21" i="9"/>
  <c r="G20" i="6" s="1"/>
  <c r="E12" i="2"/>
  <c r="F12" i="2"/>
  <c r="G12" i="2"/>
  <c r="C12" i="2"/>
  <c r="C9" i="2"/>
  <c r="D46" i="2"/>
  <c r="E46" i="2"/>
  <c r="D22" i="9"/>
  <c r="B36" i="13" s="1"/>
  <c r="D21" i="9"/>
  <c r="C20" i="6" s="1"/>
  <c r="C10" i="2"/>
  <c r="D51" i="2"/>
  <c r="E51" i="2"/>
  <c r="D18" i="9"/>
  <c r="F19" i="8"/>
  <c r="G34" i="8"/>
  <c r="D15" i="9"/>
  <c r="F22" i="8"/>
  <c r="G35" i="8"/>
  <c r="D14" i="9"/>
  <c r="G33" i="8"/>
  <c r="D13" i="9"/>
  <c r="C6" i="9"/>
  <c r="C11" i="9" s="1"/>
  <c r="C29" i="9"/>
  <c r="C26" i="9"/>
  <c r="H25" i="9"/>
  <c r="G25" i="9"/>
  <c r="C23" i="9"/>
  <c r="C22" i="9"/>
  <c r="C21" i="9"/>
  <c r="H18" i="9"/>
  <c r="G17" i="6" s="1"/>
  <c r="G18" i="9"/>
  <c r="F17" i="6" s="1"/>
  <c r="F18" i="9"/>
  <c r="E17" i="6" s="1"/>
  <c r="E18" i="9"/>
  <c r="D17" i="6" s="1"/>
  <c r="H15" i="9"/>
  <c r="G15" i="9"/>
  <c r="F15" i="9"/>
  <c r="E15" i="9"/>
  <c r="C15" i="9"/>
  <c r="H14" i="9"/>
  <c r="G14" i="9"/>
  <c r="F14" i="9"/>
  <c r="E14" i="9"/>
  <c r="C14" i="9"/>
  <c r="H13" i="9"/>
  <c r="G16" i="6" s="1"/>
  <c r="G13" i="9"/>
  <c r="F16" i="6" s="1"/>
  <c r="F13" i="9"/>
  <c r="E16" i="6" s="1"/>
  <c r="E13" i="9"/>
  <c r="D16" i="6" s="1"/>
  <c r="C13" i="9"/>
  <c r="G25" i="6"/>
  <c r="E10" i="2"/>
  <c r="F10" i="2"/>
  <c r="G10" i="2"/>
  <c r="M51" i="2"/>
  <c r="G65" i="2"/>
  <c r="I29" i="8"/>
  <c r="J29" i="8"/>
  <c r="K29" i="8"/>
  <c r="K51" i="2"/>
  <c r="F65" i="2"/>
  <c r="I51" i="2"/>
  <c r="E65" i="2"/>
  <c r="E25" i="6"/>
  <c r="F25" i="6"/>
  <c r="C25" i="6"/>
  <c r="C65" i="2"/>
  <c r="C11" i="6"/>
  <c r="L51" i="2"/>
  <c r="J51" i="2"/>
  <c r="H51" i="2"/>
  <c r="E64" i="2"/>
  <c r="C46" i="2"/>
  <c r="C51" i="2"/>
  <c r="B65" i="2"/>
  <c r="B51" i="2"/>
  <c r="B46" i="2"/>
  <c r="B12" i="2"/>
  <c r="B64" i="2"/>
  <c r="B67" i="2"/>
  <c r="B66" i="2"/>
  <c r="C66" i="2"/>
  <c r="D66" i="2"/>
  <c r="E66" i="2"/>
  <c r="G30" i="8"/>
  <c r="H30" i="8"/>
  <c r="I30" i="8"/>
  <c r="J30" i="8"/>
  <c r="K30" i="8"/>
  <c r="D24" i="8"/>
  <c r="C23" i="8"/>
  <c r="C14" i="8"/>
  <c r="M19" i="4"/>
  <c r="N10" i="4"/>
  <c r="N11" i="4"/>
  <c r="N12" i="4"/>
  <c r="N13" i="4"/>
  <c r="C63" i="4"/>
  <c r="C64" i="4"/>
  <c r="C65" i="4"/>
  <c r="C66" i="4"/>
  <c r="M12" i="4"/>
  <c r="B63" i="4"/>
  <c r="B64" i="4"/>
  <c r="B65" i="4"/>
  <c r="B66" i="4"/>
  <c r="L12" i="4"/>
  <c r="B51" i="4"/>
  <c r="B52" i="4"/>
  <c r="B53" i="4"/>
  <c r="B54" i="4"/>
  <c r="B55" i="4"/>
  <c r="B56" i="4"/>
  <c r="B57" i="4"/>
  <c r="B58" i="4"/>
  <c r="B59" i="4"/>
  <c r="B60" i="4"/>
  <c r="B61" i="4"/>
  <c r="B62" i="4"/>
  <c r="L11" i="4"/>
  <c r="B39" i="4"/>
  <c r="B40" i="4"/>
  <c r="B41" i="4"/>
  <c r="B42" i="4"/>
  <c r="B43" i="4"/>
  <c r="B44" i="4"/>
  <c r="B45" i="4"/>
  <c r="B46" i="4"/>
  <c r="B47" i="4"/>
  <c r="B48" i="4"/>
  <c r="B49" i="4"/>
  <c r="B50" i="4"/>
  <c r="L10" i="4"/>
  <c r="B27" i="4"/>
  <c r="B28" i="4"/>
  <c r="B29" i="4"/>
  <c r="B30" i="4"/>
  <c r="B31" i="4"/>
  <c r="B32" i="4"/>
  <c r="B33" i="4"/>
  <c r="B34" i="4"/>
  <c r="B35" i="4"/>
  <c r="B36" i="4"/>
  <c r="B37" i="4"/>
  <c r="B38" i="4"/>
  <c r="L9" i="4"/>
  <c r="B15" i="4"/>
  <c r="B16" i="4"/>
  <c r="B17" i="4"/>
  <c r="B18" i="4"/>
  <c r="B19" i="4"/>
  <c r="B20" i="4"/>
  <c r="B21" i="4"/>
  <c r="B22" i="4"/>
  <c r="B23" i="4"/>
  <c r="B24" i="4"/>
  <c r="B25" i="4"/>
  <c r="B26" i="4"/>
  <c r="L8" i="4"/>
  <c r="M13" i="4"/>
  <c r="O13" i="4"/>
  <c r="B7" i="4"/>
  <c r="B8" i="4"/>
  <c r="B9" i="4"/>
  <c r="B10" i="4"/>
  <c r="B11" i="4"/>
  <c r="B12" i="4"/>
  <c r="B13" i="4"/>
  <c r="B14" i="4"/>
  <c r="L7" i="4"/>
  <c r="O7" i="4"/>
  <c r="O8" i="4"/>
  <c r="O9" i="4"/>
  <c r="O10" i="4"/>
  <c r="O11" i="4"/>
  <c r="O12" i="4"/>
  <c r="F66" i="2"/>
  <c r="G66" i="2"/>
  <c r="B13" i="2"/>
  <c r="D79" i="1"/>
  <c r="D24" i="1"/>
  <c r="D80" i="1"/>
  <c r="H35" i="8"/>
  <c r="I35" i="8"/>
  <c r="J35" i="8"/>
  <c r="K35" i="8"/>
  <c r="D9" i="7"/>
  <c r="O19" i="4"/>
  <c r="N19" i="4"/>
  <c r="P19" i="4"/>
  <c r="L19" i="4"/>
  <c r="B48" i="2"/>
  <c r="D48" i="2"/>
  <c r="D53" i="2"/>
  <c r="F14" i="8"/>
  <c r="D23" i="8"/>
  <c r="D26" i="8"/>
  <c r="E9" i="7"/>
  <c r="C67" i="4"/>
  <c r="D67" i="4"/>
  <c r="C68"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B53" i="2"/>
  <c r="H34" i="8"/>
  <c r="I34" i="8"/>
  <c r="J34" i="8"/>
  <c r="K34" i="8"/>
  <c r="G37" i="8"/>
  <c r="H33" i="8"/>
  <c r="E64" i="4"/>
  <c r="E65" i="4"/>
  <c r="E66" i="4"/>
  <c r="F67" i="4"/>
  <c r="F53" i="2"/>
  <c r="F48" i="2"/>
  <c r="G38" i="8"/>
  <c r="G39" i="8"/>
  <c r="H37" i="8"/>
  <c r="I33" i="8"/>
  <c r="H53" i="2"/>
  <c r="H48" i="2"/>
  <c r="J48" i="2"/>
  <c r="I37" i="8"/>
  <c r="J33" i="8"/>
  <c r="H38" i="8"/>
  <c r="H39" i="8"/>
  <c r="L53" i="2"/>
  <c r="J53" i="2"/>
  <c r="J37" i="8"/>
  <c r="K33" i="8"/>
  <c r="K37" i="8"/>
  <c r="I38" i="8"/>
  <c r="I39" i="8"/>
  <c r="L48" i="2"/>
  <c r="J38" i="8"/>
  <c r="K38" i="8"/>
  <c r="J39" i="8"/>
  <c r="K39" i="8"/>
  <c r="C16" i="6" l="1"/>
  <c r="C17" i="6"/>
  <c r="B39" i="13"/>
  <c r="B37" i="13"/>
  <c r="B43" i="13"/>
  <c r="C64" i="2"/>
  <c r="G64" i="2"/>
  <c r="F64" i="2"/>
  <c r="E67" i="2"/>
  <c r="G24" i="6"/>
  <c r="C34" i="3"/>
  <c r="D5" i="5"/>
  <c r="C6" i="5"/>
  <c r="C8" i="5" s="1"/>
  <c r="D67" i="2"/>
  <c r="C22" i="3"/>
  <c r="B35" i="10"/>
  <c r="B42" i="10"/>
  <c r="B16" i="10"/>
  <c r="B25" i="10" s="1"/>
  <c r="C15" i="3"/>
  <c r="C24" i="3" s="1"/>
  <c r="C39" i="3" s="1"/>
  <c r="C33" i="9"/>
  <c r="C34" i="9" s="1"/>
  <c r="D6" i="9" s="1"/>
  <c r="C37" i="12"/>
  <c r="C11" i="12"/>
  <c r="F24" i="6"/>
  <c r="F67" i="2"/>
  <c r="G67" i="2"/>
  <c r="C67" i="2"/>
  <c r="E24" i="6"/>
  <c r="C24" i="6"/>
  <c r="D24" i="6"/>
  <c r="E8" i="9"/>
  <c r="C13" i="10"/>
  <c r="C25" i="12" s="1"/>
  <c r="G9" i="7"/>
  <c r="H6" i="7"/>
  <c r="I6" i="7" s="1"/>
  <c r="J6" i="7" s="1"/>
  <c r="F11" i="7"/>
  <c r="D28" i="7"/>
  <c r="F19" i="7"/>
  <c r="E28" i="7"/>
  <c r="G12" i="7"/>
  <c r="D11" i="6"/>
  <c r="G11" i="7"/>
  <c r="C21" i="6" l="1"/>
  <c r="C9" i="5"/>
  <c r="E5" i="5"/>
  <c r="D6" i="5"/>
  <c r="K10" i="13"/>
  <c r="E10" i="13"/>
  <c r="B47" i="10"/>
  <c r="C41" i="3"/>
  <c r="C43" i="3" s="1"/>
  <c r="D37" i="12"/>
  <c r="D11" i="12"/>
  <c r="B7" i="11"/>
  <c r="F13" i="7"/>
  <c r="D9" i="9"/>
  <c r="D11" i="9" s="1"/>
  <c r="C5" i="11" s="1"/>
  <c r="C28" i="12"/>
  <c r="H9" i="7"/>
  <c r="H12" i="7" s="1"/>
  <c r="E13" i="10" s="1"/>
  <c r="F28" i="7"/>
  <c r="G19" i="7"/>
  <c r="D13" i="10"/>
  <c r="D28" i="12" s="1"/>
  <c r="F8" i="9"/>
  <c r="I9" i="7"/>
  <c r="J9" i="7"/>
  <c r="G13" i="7"/>
  <c r="E9" i="9"/>
  <c r="F31" i="7" l="1"/>
  <c r="F30" i="7"/>
  <c r="D8" i="5"/>
  <c r="D21" i="6" s="1"/>
  <c r="D21" i="10"/>
  <c r="E6" i="5"/>
  <c r="E8" i="5" s="1"/>
  <c r="E21" i="6" s="1"/>
  <c r="F5" i="5"/>
  <c r="E21" i="10"/>
  <c r="D9" i="5"/>
  <c r="C22" i="10"/>
  <c r="C23" i="10" s="1"/>
  <c r="C26" i="12" s="1"/>
  <c r="B52" i="10"/>
  <c r="B54" i="10" s="1"/>
  <c r="B56" i="10" s="1"/>
  <c r="C47" i="10"/>
  <c r="D47" i="10" s="1"/>
  <c r="E47" i="10" s="1"/>
  <c r="F47" i="10" s="1"/>
  <c r="G47" i="10" s="1"/>
  <c r="G8" i="9"/>
  <c r="H11" i="7"/>
  <c r="H13" i="7" s="1"/>
  <c r="E11" i="6"/>
  <c r="H19" i="7"/>
  <c r="G28" i="7"/>
  <c r="F36" i="7"/>
  <c r="F37" i="7" s="1"/>
  <c r="F11" i="6"/>
  <c r="I11" i="7"/>
  <c r="I12" i="7"/>
  <c r="D25" i="12"/>
  <c r="J11" i="7"/>
  <c r="J12" i="7"/>
  <c r="G13" i="10" s="1"/>
  <c r="G30" i="7" l="1"/>
  <c r="G31" i="7"/>
  <c r="D22" i="10"/>
  <c r="D23" i="10" s="1"/>
  <c r="D26" i="12" s="1"/>
  <c r="E9" i="5"/>
  <c r="G5" i="5"/>
  <c r="G6" i="5" s="1"/>
  <c r="F6" i="5"/>
  <c r="F37" i="12"/>
  <c r="F11" i="12"/>
  <c r="E37" i="12"/>
  <c r="E11" i="12"/>
  <c r="H14" i="7"/>
  <c r="E28" i="12"/>
  <c r="E25" i="12"/>
  <c r="F9" i="9"/>
  <c r="F38" i="7"/>
  <c r="F32" i="7"/>
  <c r="D16" i="9"/>
  <c r="D33" i="9" s="1"/>
  <c r="G36" i="7"/>
  <c r="E17" i="9"/>
  <c r="C32" i="10"/>
  <c r="I19" i="7"/>
  <c r="H28" i="7"/>
  <c r="H9" i="9"/>
  <c r="J13" i="7"/>
  <c r="H8" i="9"/>
  <c r="F13" i="10"/>
  <c r="F28" i="12" s="1"/>
  <c r="G9" i="9"/>
  <c r="I13" i="7"/>
  <c r="H30" i="7" l="1"/>
  <c r="H31" i="7"/>
  <c r="F8" i="5"/>
  <c r="F21" i="6" s="1"/>
  <c r="F21" i="10"/>
  <c r="G8" i="5"/>
  <c r="G21" i="6" s="1"/>
  <c r="G21" i="10"/>
  <c r="F9" i="5"/>
  <c r="E22" i="10"/>
  <c r="E23" i="10" s="1"/>
  <c r="E26" i="12" s="1"/>
  <c r="C13" i="6"/>
  <c r="G28" i="13"/>
  <c r="G26" i="13"/>
  <c r="C14" i="6"/>
  <c r="C22" i="6" s="1"/>
  <c r="C26" i="6" s="1"/>
  <c r="C38" i="12"/>
  <c r="C30" i="12" s="1"/>
  <c r="C6" i="11"/>
  <c r="H36" i="7"/>
  <c r="J19" i="7"/>
  <c r="J28" i="7" s="1"/>
  <c r="I28" i="7"/>
  <c r="E16" i="9"/>
  <c r="G32" i="7"/>
  <c r="G35" i="7"/>
  <c r="G37" i="7" s="1"/>
  <c r="C14" i="10"/>
  <c r="C29" i="12" s="1"/>
  <c r="D32" i="10"/>
  <c r="F17" i="9"/>
  <c r="G11" i="6"/>
  <c r="F25" i="12"/>
  <c r="I30" i="7" l="1"/>
  <c r="I31" i="7"/>
  <c r="J30" i="7"/>
  <c r="J31" i="7"/>
  <c r="G9" i="5"/>
  <c r="G22" i="10" s="1"/>
  <c r="G23" i="10" s="1"/>
  <c r="F22" i="10"/>
  <c r="F23" i="10" s="1"/>
  <c r="F26" i="12" s="1"/>
  <c r="M16" i="13"/>
  <c r="I28" i="13"/>
  <c r="K12" i="13" s="1"/>
  <c r="K13" i="13" s="1"/>
  <c r="K14" i="13" s="1"/>
  <c r="K16" i="13" s="1"/>
  <c r="G30" i="13"/>
  <c r="I26" i="13"/>
  <c r="E12" i="13" s="1"/>
  <c r="E13" i="13" s="1"/>
  <c r="E14" i="13" s="1"/>
  <c r="E16" i="13" s="1"/>
  <c r="C31" i="12"/>
  <c r="G37" i="12"/>
  <c r="G11" i="12"/>
  <c r="D34" i="9"/>
  <c r="E6" i="9" s="1"/>
  <c r="E11" i="9" s="1"/>
  <c r="G38" i="7"/>
  <c r="D13" i="6" s="1"/>
  <c r="D14" i="10"/>
  <c r="D29" i="12" s="1"/>
  <c r="H35" i="7"/>
  <c r="H37" i="7" s="1"/>
  <c r="F16" i="9"/>
  <c r="H32" i="7"/>
  <c r="C29" i="6"/>
  <c r="C32" i="6" s="1"/>
  <c r="C33" i="6" s="1"/>
  <c r="J36" i="7"/>
  <c r="G32" i="10"/>
  <c r="I36" i="7"/>
  <c r="G17" i="9"/>
  <c r="E32" i="10"/>
  <c r="G25" i="12"/>
  <c r="G26" i="12"/>
  <c r="G28" i="12"/>
  <c r="C7" i="11"/>
  <c r="D14" i="6" l="1"/>
  <c r="D22" i="6" s="1"/>
  <c r="D31" i="12" s="1"/>
  <c r="D38" i="12"/>
  <c r="D30" i="12" s="1"/>
  <c r="C12" i="12"/>
  <c r="C12" i="10"/>
  <c r="C32" i="12"/>
  <c r="C34" i="6"/>
  <c r="C51" i="10" s="1"/>
  <c r="F32" i="10"/>
  <c r="H17" i="9"/>
  <c r="I32" i="7"/>
  <c r="G16" i="9"/>
  <c r="H38" i="7"/>
  <c r="E13" i="6" s="1"/>
  <c r="E14" i="10"/>
  <c r="E29" i="12" s="1"/>
  <c r="I35" i="7"/>
  <c r="E23" i="9"/>
  <c r="C33" i="10"/>
  <c r="C35" i="10" s="1"/>
  <c r="C42" i="10" s="1"/>
  <c r="H16" i="9"/>
  <c r="J32" i="7"/>
  <c r="D5" i="11"/>
  <c r="E14" i="6" l="1"/>
  <c r="E22" i="6" s="1"/>
  <c r="E31" i="12" s="1"/>
  <c r="E38" i="12"/>
  <c r="E30" i="12" s="1"/>
  <c r="D26" i="6"/>
  <c r="D29" i="6" s="1"/>
  <c r="C14" i="12"/>
  <c r="C16" i="10"/>
  <c r="E33" i="9"/>
  <c r="D6" i="11" s="1"/>
  <c r="D7" i="11" s="1"/>
  <c r="I37" i="7"/>
  <c r="I38" i="7" s="1"/>
  <c r="F13" i="6" s="1"/>
  <c r="C35" i="6"/>
  <c r="C49" i="10" s="1"/>
  <c r="F14" i="10"/>
  <c r="F29" i="12" s="1"/>
  <c r="J35" i="7" l="1"/>
  <c r="E26" i="6"/>
  <c r="E29" i="6" s="1"/>
  <c r="E32" i="6" s="1"/>
  <c r="F14" i="6"/>
  <c r="F22" i="6" s="1"/>
  <c r="F26" i="6" s="1"/>
  <c r="F29" i="6" s="1"/>
  <c r="H23" i="9" s="1"/>
  <c r="F38" i="12"/>
  <c r="F30" i="12" s="1"/>
  <c r="F31" i="12"/>
  <c r="D48" i="10"/>
  <c r="C52" i="10"/>
  <c r="C33" i="12" s="1"/>
  <c r="C25" i="10"/>
  <c r="C19" i="12"/>
  <c r="C20" i="12"/>
  <c r="E34" i="9"/>
  <c r="F6" i="9" s="1"/>
  <c r="F11" i="9" s="1"/>
  <c r="E5" i="11" s="1"/>
  <c r="H33" i="9"/>
  <c r="G6" i="11" s="1"/>
  <c r="F33" i="10"/>
  <c r="F35" i="10" s="1"/>
  <c r="F42" i="10" s="1"/>
  <c r="F14" i="12" s="1"/>
  <c r="J37" i="7"/>
  <c r="G14" i="10" s="1"/>
  <c r="G29" i="12" s="1"/>
  <c r="F32" i="6"/>
  <c r="C54" i="10"/>
  <c r="C56" i="10" s="1"/>
  <c r="F23" i="9"/>
  <c r="D33" i="10"/>
  <c r="D35" i="10" s="1"/>
  <c r="D42" i="10" s="1"/>
  <c r="D14" i="12" s="1"/>
  <c r="D32" i="6"/>
  <c r="J38" i="7"/>
  <c r="G13" i="6" s="1"/>
  <c r="G14" i="6" l="1"/>
  <c r="G22" i="6" s="1"/>
  <c r="G26" i="6" s="1"/>
  <c r="G38" i="12"/>
  <c r="G30" i="12" s="1"/>
  <c r="E33" i="6"/>
  <c r="E12" i="12"/>
  <c r="F34" i="6"/>
  <c r="F35" i="6" s="1"/>
  <c r="F49" i="10" s="1"/>
  <c r="F33" i="6"/>
  <c r="F12" i="12"/>
  <c r="C23" i="12"/>
  <c r="C15" i="12"/>
  <c r="C22" i="12"/>
  <c r="D33" i="6"/>
  <c r="D12" i="12"/>
  <c r="C27" i="12"/>
  <c r="C21" i="12"/>
  <c r="C24" i="12"/>
  <c r="C13" i="12"/>
  <c r="D12" i="10"/>
  <c r="F33" i="9"/>
  <c r="E6" i="11" s="1"/>
  <c r="E7" i="11" s="1"/>
  <c r="F32" i="12"/>
  <c r="E32" i="12"/>
  <c r="E34" i="6"/>
  <c r="G23" i="9"/>
  <c r="E33" i="10"/>
  <c r="E35" i="10" s="1"/>
  <c r="E42" i="10" s="1"/>
  <c r="E14" i="12" s="1"/>
  <c r="D32" i="12"/>
  <c r="D34" i="6"/>
  <c r="D51" i="10" s="1"/>
  <c r="G31" i="12" l="1"/>
  <c r="F34" i="9"/>
  <c r="G6" i="9" s="1"/>
  <c r="G11" i="9" s="1"/>
  <c r="E51" i="10"/>
  <c r="F51" i="10" s="1"/>
  <c r="D16" i="10"/>
  <c r="D25" i="10" s="1"/>
  <c r="D13" i="12" s="1"/>
  <c r="G33" i="9"/>
  <c r="F6" i="11" s="1"/>
  <c r="H6" i="11" s="1"/>
  <c r="E12" i="10"/>
  <c r="E35" i="6"/>
  <c r="E49" i="10" s="1"/>
  <c r="D35" i="6"/>
  <c r="D49" i="10" s="1"/>
  <c r="G29" i="6"/>
  <c r="G33" i="10" s="1"/>
  <c r="G35" i="10" s="1"/>
  <c r="G42" i="10" s="1"/>
  <c r="G14" i="12" s="1"/>
  <c r="F5" i="11"/>
  <c r="G34" i="9" l="1"/>
  <c r="F12" i="10" s="1"/>
  <c r="F16" i="10" s="1"/>
  <c r="D52" i="10"/>
  <c r="D15" i="12" s="1"/>
  <c r="E48" i="10"/>
  <c r="F48" i="10" s="1"/>
  <c r="D19" i="12"/>
  <c r="D21" i="12"/>
  <c r="D27" i="12"/>
  <c r="E16" i="10"/>
  <c r="E19" i="12" s="1"/>
  <c r="D20" i="12"/>
  <c r="D22" i="12"/>
  <c r="D24" i="12"/>
  <c r="E20" i="12"/>
  <c r="G32" i="6"/>
  <c r="F7" i="11"/>
  <c r="H6" i="9"/>
  <c r="H11" i="9" s="1"/>
  <c r="D54" i="10" l="1"/>
  <c r="D56" i="10" s="1"/>
  <c r="D33" i="12"/>
  <c r="D23" i="12"/>
  <c r="G48" i="10"/>
  <c r="F52" i="10"/>
  <c r="E52" i="10"/>
  <c r="G33" i="6"/>
  <c r="G12" i="12"/>
  <c r="E25" i="10"/>
  <c r="E13" i="12" s="1"/>
  <c r="G32" i="12"/>
  <c r="G34" i="6"/>
  <c r="G51" i="10" s="1"/>
  <c r="H34" i="9"/>
  <c r="G12" i="10" s="1"/>
  <c r="G16" i="10" s="1"/>
  <c r="G5" i="11"/>
  <c r="F19" i="12"/>
  <c r="F25" i="10"/>
  <c r="F13" i="12" s="1"/>
  <c r="F20" i="12"/>
  <c r="E24" i="12" l="1"/>
  <c r="E23" i="12"/>
  <c r="E54" i="10"/>
  <c r="E56" i="10" s="1"/>
  <c r="E15" i="12"/>
  <c r="E22" i="12"/>
  <c r="E33" i="12"/>
  <c r="F22" i="12"/>
  <c r="F54" i="10"/>
  <c r="F33" i="12"/>
  <c r="F15" i="12"/>
  <c r="F23" i="12"/>
  <c r="E27" i="12"/>
  <c r="E21" i="12"/>
  <c r="G35" i="6"/>
  <c r="G49" i="10" s="1"/>
  <c r="G52" i="10" s="1"/>
  <c r="G15" i="12" s="1"/>
  <c r="F24" i="12"/>
  <c r="F21" i="12"/>
  <c r="F56" i="10"/>
  <c r="F27" i="12"/>
  <c r="G7" i="11"/>
  <c r="B10" i="11" s="1"/>
  <c r="H5" i="11"/>
  <c r="H7" i="11" s="1"/>
  <c r="G20" i="12"/>
  <c r="G25" i="10"/>
  <c r="G13" i="12" s="1"/>
  <c r="G19" i="12"/>
  <c r="G33" i="12" l="1"/>
  <c r="G22" i="12"/>
  <c r="G23" i="12"/>
  <c r="G54" i="10"/>
  <c r="G56" i="10" s="1"/>
  <c r="B9" i="11"/>
  <c r="G27" i="12"/>
  <c r="G24" i="12"/>
  <c r="G21" i="12"/>
</calcChain>
</file>

<file path=xl/sharedStrings.xml><?xml version="1.0" encoding="utf-8"?>
<sst xmlns="http://schemas.openxmlformats.org/spreadsheetml/2006/main" count="540" uniqueCount="370">
  <si>
    <t xml:space="preserve">CUADRO DE INVERSION INICIAL </t>
  </si>
  <si>
    <t>INICIAL - PIATTA INDUSTRIA ALIMENTICIA SAS</t>
  </si>
  <si>
    <t xml:space="preserve">Cantidad </t>
  </si>
  <si>
    <t>Precio Total</t>
  </si>
  <si>
    <t>Activo</t>
  </si>
  <si>
    <t xml:space="preserve">efectivo </t>
  </si>
  <si>
    <t xml:space="preserve">subtotal </t>
  </si>
  <si>
    <t>Inventario</t>
  </si>
  <si>
    <t>Inventario maiz blanco                                                               kilo 1920  -  $3.072.000                                                              Inventario platanos                                                                             kilos 912  -   $2.524.000</t>
  </si>
  <si>
    <t>Maquinaria y equipo</t>
  </si>
  <si>
    <t>prensa pataconera</t>
  </si>
  <si>
    <t>estufa industrial</t>
  </si>
  <si>
    <t>estufa piso</t>
  </si>
  <si>
    <t>refrigerador</t>
  </si>
  <si>
    <t xml:space="preserve">molino electrico </t>
  </si>
  <si>
    <t>laminadora</t>
  </si>
  <si>
    <t>horno</t>
  </si>
  <si>
    <t>gramera</t>
  </si>
  <si>
    <t>subtotal</t>
  </si>
  <si>
    <t>Totales</t>
  </si>
  <si>
    <t>CUADRO DE GASTOS PREOPERATIVOS</t>
  </si>
  <si>
    <t>Muebles y enseres</t>
  </si>
  <si>
    <t>mesa de trabajo acero inox</t>
  </si>
  <si>
    <t>accesorios</t>
  </si>
  <si>
    <t>recipientes plasticos  grandes</t>
  </si>
  <si>
    <t>moldes en acero inoxidables</t>
  </si>
  <si>
    <t xml:space="preserve">olla -caldero </t>
  </si>
  <si>
    <t xml:space="preserve">GASTOS ADMINISTRATIVOS </t>
  </si>
  <si>
    <t>Equipos de Comunicación y Computación</t>
  </si>
  <si>
    <t>Impresoras fotocopiadora</t>
  </si>
  <si>
    <t>Equipos de computo</t>
  </si>
  <si>
    <t>Equipo movil</t>
  </si>
  <si>
    <t>Software</t>
  </si>
  <si>
    <t>GASTOS ADMINISTRATIVOS</t>
  </si>
  <si>
    <t>Aspectos legales</t>
  </si>
  <si>
    <t>Camara de comercio</t>
  </si>
  <si>
    <t>Industria y Comercio</t>
  </si>
  <si>
    <t>Bomberos</t>
  </si>
  <si>
    <t>Sayco y Acinpro</t>
  </si>
  <si>
    <t>Minuta de Constitucion</t>
  </si>
  <si>
    <t>Gastos operacionales</t>
  </si>
  <si>
    <t>Arriendos</t>
  </si>
  <si>
    <t xml:space="preserve">GASTOS VENTAS - ADMON </t>
  </si>
  <si>
    <t>Servicios</t>
  </si>
  <si>
    <t>Agua</t>
  </si>
  <si>
    <t>Luz</t>
  </si>
  <si>
    <t>Gas Natural</t>
  </si>
  <si>
    <t>Internet</t>
  </si>
  <si>
    <t>Plan movil</t>
  </si>
  <si>
    <t xml:space="preserve">GASTOS VENTAS- ADMON </t>
  </si>
  <si>
    <t>Publicidad y Tecnologia</t>
  </si>
  <si>
    <t>Volantes</t>
  </si>
  <si>
    <t>Trajetas d Pesentacion</t>
  </si>
  <si>
    <t xml:space="preserve">Publicidad - pendones- tarjetas presentacion </t>
  </si>
  <si>
    <t>GASTOS VENTAS</t>
  </si>
  <si>
    <t>total gastos pre operativos</t>
  </si>
  <si>
    <t>Totas Inversion</t>
  </si>
  <si>
    <t>PIATTA INDUSTRIA ALIMENTICIA S.A.S</t>
  </si>
  <si>
    <t>ESTADO DE SITUACION FINANCIERA DE APERTURA</t>
  </si>
  <si>
    <t>30 DE ABRIL 2021</t>
  </si>
  <si>
    <t>(En miles de pesos Colombianos)</t>
  </si>
  <si>
    <t xml:space="preserve">ACTIVO </t>
  </si>
  <si>
    <t xml:space="preserve">ACTIVO CORRIENTE </t>
  </si>
  <si>
    <t xml:space="preserve">Efectivo y equivalentes de efectivo </t>
  </si>
  <si>
    <t>inventarios</t>
  </si>
  <si>
    <t>TOTAL ACTIVO CORRIENTE</t>
  </si>
  <si>
    <t xml:space="preserve"> ACTIVO NO CORIENTE</t>
  </si>
  <si>
    <t xml:space="preserve">Propiedad, planta y equipo </t>
  </si>
  <si>
    <t>TOTAL ACTIVO NO  CORRIENTE</t>
  </si>
  <si>
    <t xml:space="preserve">TOTAL ACTIVO </t>
  </si>
  <si>
    <t xml:space="preserve">PASIVO </t>
  </si>
  <si>
    <t>Pasivo Corriente</t>
  </si>
  <si>
    <t>Obligación financiera corto plazo</t>
  </si>
  <si>
    <t xml:space="preserve">PASIVO NO CORRIENTE </t>
  </si>
  <si>
    <t xml:space="preserve">Obligación financiera largo plazo </t>
  </si>
  <si>
    <t>TOTAL PASIVO NO  CORRIENTE</t>
  </si>
  <si>
    <t xml:space="preserve">TOTAL PASIVO </t>
  </si>
  <si>
    <t>PATRIMONIO</t>
  </si>
  <si>
    <t xml:space="preserve">Capital suscrito y pagado </t>
  </si>
  <si>
    <t>TOTAL PATRIMONIO</t>
  </si>
  <si>
    <t>TOTAL PASIVO Y PATRIMONIO</t>
  </si>
  <si>
    <t>Maria Angelica Garcia Barrero</t>
  </si>
  <si>
    <t>Ciro Salazar Paez</t>
  </si>
  <si>
    <t xml:space="preserve">Representante legal </t>
  </si>
  <si>
    <t>Contador publico</t>
  </si>
  <si>
    <t xml:space="preserve">Tarjeta profesional Nº </t>
  </si>
  <si>
    <t xml:space="preserve">NOTA LOS INCREMENTOS DEL AÑO 2 AL 5 SERA CON LA TARIFA </t>
  </si>
  <si>
    <t xml:space="preserve">INICIAL </t>
  </si>
  <si>
    <t xml:space="preserve">AÑO 1 </t>
  </si>
  <si>
    <t>AÑO 2</t>
  </si>
  <si>
    <t>AÑO 3</t>
  </si>
  <si>
    <t>AÑO 4</t>
  </si>
  <si>
    <t>AÑO 5</t>
  </si>
  <si>
    <t>observaciones</t>
  </si>
  <si>
    <t xml:space="preserve">ARRIENDO </t>
  </si>
  <si>
    <t>SERVICIOS</t>
  </si>
  <si>
    <t xml:space="preserve">PUBLICIDAD </t>
  </si>
  <si>
    <t>ASPECTOS LEGALES</t>
  </si>
  <si>
    <t xml:space="preserve">apartir del primer año el valor estimado por concepto de renovacion de camara y comercio </t>
  </si>
  <si>
    <t xml:space="preserve">MAQUINARIA Y EQUIPO </t>
  </si>
  <si>
    <r>
      <rPr>
        <b/>
        <sz val="9"/>
        <rFont val="Tahoma"/>
        <family val="2"/>
      </rPr>
      <t>Nota</t>
    </r>
    <r>
      <rPr>
        <sz val="9"/>
        <rFont val="Tahoma"/>
        <family val="2"/>
      </rPr>
      <t xml:space="preserve">:  ingresa una maquinaria y equipo por un valor de 11.800.000  se proyecta realizar una inversion en el año 2 de una maquina codificadora y otra estufa industrial, para el año 4 la inversion proyectada de 10.000.000 es para la compra de un horno induistrial tunel con banda transportadora, 1 nivel de coccion y 4 niveles de enfriamiento, adicional se informa que el efectivo saldra de las utilidades </t>
    </r>
  </si>
  <si>
    <t>MUEBLES Y ENSERES</t>
  </si>
  <si>
    <t xml:space="preserve">EQUIPOS DE COMPUTO </t>
  </si>
  <si>
    <t>GASTOS DEL CONTADOR</t>
  </si>
  <si>
    <t>GMF</t>
  </si>
  <si>
    <t>GASTOS Y COMISIONES BANCARIAS</t>
  </si>
  <si>
    <t>los porcentajes  seran:</t>
  </si>
  <si>
    <t xml:space="preserve">administrativos </t>
  </si>
  <si>
    <t xml:space="preserve">descriminacion  dsitribucion de gasto de arriendo  </t>
  </si>
  <si>
    <t xml:space="preserve">ventas </t>
  </si>
  <si>
    <t xml:space="preserve">arriendo </t>
  </si>
  <si>
    <t>admon</t>
  </si>
  <si>
    <t>ventas</t>
  </si>
  <si>
    <t>servicios</t>
  </si>
  <si>
    <t>cuadro de gastos</t>
  </si>
  <si>
    <t>GASTOS DE VENTAS</t>
  </si>
  <si>
    <t xml:space="preserve">OTROS INGRESOS </t>
  </si>
  <si>
    <t xml:space="preserve">OTROS GASTOS </t>
  </si>
  <si>
    <t>AÑO 1</t>
  </si>
  <si>
    <t>COSTOS FIJOS</t>
  </si>
  <si>
    <t>PIATTA INDUSTRIA ALIMENTICIA</t>
  </si>
  <si>
    <t>PRESUPUESTO GASTO DE PERSONAL OPERATIVO</t>
  </si>
  <si>
    <t>CARGO</t>
  </si>
  <si>
    <t>N°. TRABAJADORES</t>
  </si>
  <si>
    <t>REMUNERACION MENSUAL</t>
  </si>
  <si>
    <t>COSTO NOMINA MENSUAL</t>
  </si>
  <si>
    <t>COSTO NOMINA ANUAL</t>
  </si>
  <si>
    <t xml:space="preserve">Gerente </t>
  </si>
  <si>
    <t xml:space="preserve"> </t>
  </si>
  <si>
    <t>Operarios</t>
  </si>
  <si>
    <t>Mercaderistas</t>
  </si>
  <si>
    <t>AUXILIO DE TRANSP</t>
  </si>
  <si>
    <t>Sub-total</t>
  </si>
  <si>
    <t>incremento 1,033</t>
  </si>
  <si>
    <t>CONCEPTO</t>
  </si>
  <si>
    <t>%</t>
  </si>
  <si>
    <t>Prestaciones Sociales</t>
  </si>
  <si>
    <t>Prima</t>
  </si>
  <si>
    <t>Cesantias</t>
  </si>
  <si>
    <t>Intereses</t>
  </si>
  <si>
    <t>Vacaciones</t>
  </si>
  <si>
    <t>prestaciones sociales</t>
  </si>
  <si>
    <t>APORTES PARAFISCALES</t>
  </si>
  <si>
    <t>Pensión (gasto)</t>
  </si>
  <si>
    <t xml:space="preserve">ARL </t>
  </si>
  <si>
    <t>CCF</t>
  </si>
  <si>
    <t>seguridad social</t>
  </si>
  <si>
    <t>TOTAL Prestaciones y parafiscales</t>
  </si>
  <si>
    <t>DOTACIONES</t>
  </si>
  <si>
    <t xml:space="preserve">TOTAL GASTO </t>
  </si>
  <si>
    <t>Proyeccion Gastos a los 5 años de Estudio</t>
  </si>
  <si>
    <t>Contrato Contador porPrestacion de Servicios</t>
  </si>
  <si>
    <t>Año 1</t>
  </si>
  <si>
    <t>Año 2</t>
  </si>
  <si>
    <t>Año 3</t>
  </si>
  <si>
    <t>Año 4</t>
  </si>
  <si>
    <t>Año 5</t>
  </si>
  <si>
    <t>Salarios y prestaciones</t>
  </si>
  <si>
    <t>Nota:  como la empresa tendrá más de 2 trabajadores se acoje al  beneficio</t>
  </si>
  <si>
    <t xml:space="preserve">Honorarios Asesoria contable </t>
  </si>
  <si>
    <t xml:space="preserve">de no pago  del 8.5%  EPS;  2% SENA,  3%  ICBF </t>
  </si>
  <si>
    <t xml:space="preserve">La empresa debe asumir el  4% mensual de la nómina (gasto) para la CCF </t>
  </si>
  <si>
    <t xml:space="preserve">informacion discriminado </t>
  </si>
  <si>
    <t xml:space="preserve">y la empresa debe asumir la Dotación a los trabajadores que devengan menos de 2 SMMLV </t>
  </si>
  <si>
    <t xml:space="preserve">salario </t>
  </si>
  <si>
    <t xml:space="preserve"> la dotación se paga  en Abril - Agosto y Diciembre </t>
  </si>
  <si>
    <t xml:space="preserve">seguridad social </t>
  </si>
  <si>
    <t xml:space="preserve">dotacion </t>
  </si>
  <si>
    <t xml:space="preserve">total </t>
  </si>
  <si>
    <t>Credito</t>
  </si>
  <si>
    <t>Tasa Efectiva</t>
  </si>
  <si>
    <t>Numero de cuotas</t>
  </si>
  <si>
    <t>No,</t>
  </si>
  <si>
    <t>Cuota</t>
  </si>
  <si>
    <t>Capital</t>
  </si>
  <si>
    <t>saldo</t>
  </si>
  <si>
    <t>mes</t>
  </si>
  <si>
    <t>TOTALES</t>
  </si>
  <si>
    <t xml:space="preserve">capital </t>
  </si>
  <si>
    <t>Corto Plazo</t>
  </si>
  <si>
    <t>Largo Plazo</t>
  </si>
  <si>
    <t>CUADRO DE DEPRECIACION ACUMULADA</t>
  </si>
  <si>
    <t>Maquinaria y Equipo</t>
  </si>
  <si>
    <t>Total de Activos</t>
  </si>
  <si>
    <t>Depreciacion sin cuota de Salvamento</t>
  </si>
  <si>
    <t>Total</t>
  </si>
  <si>
    <t>SE DEBE FORMULAR MAS ADELANTE</t>
  </si>
  <si>
    <t>FLUJO DE CAJA PROYECTADO</t>
  </si>
  <si>
    <t>Por los años : 2021-2022-2023-2024-2025</t>
  </si>
  <si>
    <t>31 ABRIL 2021</t>
  </si>
  <si>
    <t xml:space="preserve">inicial </t>
  </si>
  <si>
    <t>Mayo- dic 2021</t>
  </si>
  <si>
    <t>ene-dic 2022</t>
  </si>
  <si>
    <t>Saldo Inicial Efectivo</t>
  </si>
  <si>
    <t xml:space="preserve"> (+) ENTRADAS DE EFECTIVO :</t>
  </si>
  <si>
    <t xml:space="preserve">Recaudo de Cartera </t>
  </si>
  <si>
    <t xml:space="preserve">Ingresos de Contado </t>
  </si>
  <si>
    <t>Prestamos Entidades Financieras</t>
  </si>
  <si>
    <t>TOTAL ENTRADAS</t>
  </si>
  <si>
    <t xml:space="preserve"> (-) SALIDAS  DE EFECTIVO :</t>
  </si>
  <si>
    <t xml:space="preserve">Nómina mensual </t>
  </si>
  <si>
    <t xml:space="preserve">Seguridad Social </t>
  </si>
  <si>
    <t xml:space="preserve">Prestaciones sociales </t>
  </si>
  <si>
    <t>Materiales y Suministros</t>
  </si>
  <si>
    <t>Pago de proveedores</t>
  </si>
  <si>
    <t>compra de maquinaria y equipo</t>
  </si>
  <si>
    <t>Prestamos a socios</t>
  </si>
  <si>
    <t>Honorarios Asesoria Contable</t>
  </si>
  <si>
    <t xml:space="preserve">Pago Impuesto de Renta </t>
  </si>
  <si>
    <t xml:space="preserve">Gastos Legales </t>
  </si>
  <si>
    <t>abono a capital obligacion financiera</t>
  </si>
  <si>
    <t>intereses obligacion financiera</t>
  </si>
  <si>
    <t>publicidad</t>
  </si>
  <si>
    <t>gastos y comisiones bancarias</t>
  </si>
  <si>
    <t xml:space="preserve">GMF </t>
  </si>
  <si>
    <t xml:space="preserve">TOTAL SALIDAS DE DINERO </t>
  </si>
  <si>
    <t xml:space="preserve">SALDO FINAL DEL PERIODO </t>
  </si>
  <si>
    <t>Ventas Diarias Estimadas</t>
  </si>
  <si>
    <t>Articulos</t>
  </si>
  <si>
    <t xml:space="preserve">paquetes diarios </t>
  </si>
  <si>
    <t>valor unitario  paquete</t>
  </si>
  <si>
    <t>Total Ventas Diarias</t>
  </si>
  <si>
    <t>Total Ventas Mensuales</t>
  </si>
  <si>
    <t>Total Ventas Primer Año</t>
  </si>
  <si>
    <t>Segúndo Año</t>
  </si>
  <si>
    <t>Tercer Año</t>
  </si>
  <si>
    <t>Cuarto Año</t>
  </si>
  <si>
    <t>Quinto Año</t>
  </si>
  <si>
    <t>arepa pequeña x 10 unid</t>
  </si>
  <si>
    <t>patacon bandeja x 10 unid</t>
  </si>
  <si>
    <t>Total Ventas</t>
  </si>
  <si>
    <t>RESUMEN DE VENTAS</t>
  </si>
  <si>
    <t>cantidad de ventas anuales arepas</t>
  </si>
  <si>
    <t>Contado</t>
  </si>
  <si>
    <t>cantidades de ventas anuales patacones</t>
  </si>
  <si>
    <t>Total Ingresos</t>
  </si>
  <si>
    <t>Compras Diarias Materia Prima</t>
  </si>
  <si>
    <t>kilos</t>
  </si>
  <si>
    <t>Unid</t>
  </si>
  <si>
    <t>Total Compras Diarias</t>
  </si>
  <si>
    <t>Total Compras Mensuales</t>
  </si>
  <si>
    <t>Total Compras  Anuales</t>
  </si>
  <si>
    <t>maiz trillado</t>
  </si>
  <si>
    <t>platano harton verde</t>
  </si>
  <si>
    <t>Otra materia prima</t>
  </si>
  <si>
    <t>Total compras</t>
  </si>
  <si>
    <t>RESUMEN DE COMPRAS</t>
  </si>
  <si>
    <t>Total Compras</t>
  </si>
  <si>
    <t>INVENTARIOS DE TIPO PERMANENTE</t>
  </si>
  <si>
    <t>Inventario Inicial</t>
  </si>
  <si>
    <t>Mas Compras</t>
  </si>
  <si>
    <t>Menos Inv final</t>
  </si>
  <si>
    <t>Costo de ventas</t>
  </si>
  <si>
    <t>año 1</t>
  </si>
  <si>
    <t>año 2</t>
  </si>
  <si>
    <t>año 3</t>
  </si>
  <si>
    <t>año 4</t>
  </si>
  <si>
    <t>año 5</t>
  </si>
  <si>
    <t>31 abril 2021</t>
  </si>
  <si>
    <t>Cuentas comerciales por cobrar y otras cuentas  por cobrar</t>
  </si>
  <si>
    <t xml:space="preserve">Curentas porcobrar a socios </t>
  </si>
  <si>
    <t xml:space="preserve">maquinaria y equipo </t>
  </si>
  <si>
    <t>depreciacion de maquinaria y equipo</t>
  </si>
  <si>
    <t>PASIVO CORRIENTE</t>
  </si>
  <si>
    <t>Cuentas comerciales por pagar</t>
  </si>
  <si>
    <t>Proveedores por Pagar</t>
  </si>
  <si>
    <t>pasivos por impuestos corrientes</t>
  </si>
  <si>
    <t>TOTAL PASIVO  CORRIENTE</t>
  </si>
  <si>
    <t>Prestamos</t>
  </si>
  <si>
    <t>utilidades Acumuladas</t>
  </si>
  <si>
    <t>Resltados de l ejericicio</t>
  </si>
  <si>
    <t xml:space="preserve">reserva legal </t>
  </si>
  <si>
    <t xml:space="preserve">CALCULO VAN- TIR- </t>
  </si>
  <si>
    <t>FLUJO DE FONDOS</t>
  </si>
  <si>
    <t>Año 0</t>
  </si>
  <si>
    <t>Ingresos</t>
  </si>
  <si>
    <t xml:space="preserve">BENEFICIO </t>
  </si>
  <si>
    <t>Pagos</t>
  </si>
  <si>
    <t>COSTO</t>
  </si>
  <si>
    <t>Flujo de caja del proyecto</t>
  </si>
  <si>
    <t xml:space="preserve">VAN </t>
  </si>
  <si>
    <t xml:space="preserve">TIR  </t>
  </si>
  <si>
    <t>ACEPTABLE</t>
  </si>
  <si>
    <t>,</t>
  </si>
  <si>
    <t>RATIOS DE RENTABILIDAD</t>
  </si>
  <si>
    <t>Detalle</t>
  </si>
  <si>
    <t xml:space="preserve">Total de Ventas Anuales </t>
  </si>
  <si>
    <t>Utilidad Neta</t>
  </si>
  <si>
    <t>Total Activos</t>
  </si>
  <si>
    <t>Total Pasivos</t>
  </si>
  <si>
    <t>Total Patrimonio</t>
  </si>
  <si>
    <t>Indicadores Financieros y de Rotacion</t>
  </si>
  <si>
    <t>analisis de los indicadores</t>
  </si>
  <si>
    <t>Indicador</t>
  </si>
  <si>
    <t>Liquidiez</t>
  </si>
  <si>
    <t>Liquidez corriente</t>
  </si>
  <si>
    <t>los indicadores de liquidez formulados, nos interpretan que la empresa PIATTA INDUSTRI ALIMENTICIA SAS tiene la capacidad de reponder a sus obligaciones a corto plazo en cualquier momento, se observa que la liquidez que maneja es adecuada para cubrir estas cuentas por pagar.</t>
  </si>
  <si>
    <t>Prueba acida</t>
  </si>
  <si>
    <t>Solvencia</t>
  </si>
  <si>
    <t>Endeudamiento del Activo</t>
  </si>
  <si>
    <t>En este indicador evidenciamos un incremento cada año  en el ratio de endeudamiento del activo fijo,   esto indice puede tener relacion en cuanto que las utilidades no seran distribuidas, para tener capital de invertir en maquinaria como sucede en los años 2 y 3</t>
  </si>
  <si>
    <t>Endeudamiento del Patrimonio</t>
  </si>
  <si>
    <t>Endudamiento del Activo Fijo</t>
  </si>
  <si>
    <t>Apalancamiento</t>
  </si>
  <si>
    <t>Gestion</t>
  </si>
  <si>
    <t>Rotacion de Cartera</t>
  </si>
  <si>
    <t>los indicadores de gestion nos muestran un comportamiento optimo en el manejo de los procesos, las politicas de rotacion de cartera, los posibles acuerdos con los proveedores, hacen que la gestion proyectada permita el recaudo para manejar liquidez, pero es pertinente que en el segundo año se revisen las politicas y procesos internos basados en estos indicadores y otros indicadores que complementen los resultados, para realizar estrategias de mejora y basadoa ya en datos historicos  se pueda realizar un presupuesto rigido simpre basados en la informacion suministrada  en los estados financieros, los resultados arrojados en los indicadores y en la experiencia adquirida en la puesta en marcha de la idea productiva.</t>
  </si>
  <si>
    <t>Rotacion de Activo Fijo</t>
  </si>
  <si>
    <t>Rotacion de Ventas</t>
  </si>
  <si>
    <t>Periodo Medio De Cobranzas</t>
  </si>
  <si>
    <t>Perido Medio De Pago</t>
  </si>
  <si>
    <t>rentabilidad</t>
  </si>
  <si>
    <t>Margen Bruto</t>
  </si>
  <si>
    <t>Los resultados que se evidencian son satisfactorio ya que se traducen a que la empresa esta generando ganacias con una buena rentabilidad, el indicador de margen bruto arroja un valor alto de porcentaje y esto se debe que este refleja la  ganancia directa.</t>
  </si>
  <si>
    <t>Margen Operacionales</t>
  </si>
  <si>
    <t>Rentabilida neta en ventas</t>
  </si>
  <si>
    <t>Rentabilidad Operacional Del Patrimonio</t>
  </si>
  <si>
    <t>costo de ventas</t>
  </si>
  <si>
    <t>ESTADO DE RESULTADOS PROYECTADO</t>
  </si>
  <si>
    <t>ene-dic 2023</t>
  </si>
  <si>
    <t>ene-dic 2024</t>
  </si>
  <si>
    <t>ene-dic 2025</t>
  </si>
  <si>
    <t>Ingresos de actividades ordinarias</t>
  </si>
  <si>
    <t>GANANCIA BRUTA</t>
  </si>
  <si>
    <t>Gastos por beneficios a empleados</t>
  </si>
  <si>
    <t>Gastos de administracion</t>
  </si>
  <si>
    <t>Gastos de ventas</t>
  </si>
  <si>
    <t>otros ingresos</t>
  </si>
  <si>
    <t>otros gastos</t>
  </si>
  <si>
    <t>Menos deterioro de Por uso</t>
  </si>
  <si>
    <t xml:space="preserve">GANANCIAS POR ACTIVIDADES DE OPERACIÓN </t>
  </si>
  <si>
    <t>ingresos financieros</t>
  </si>
  <si>
    <t>otros gastos financieros</t>
  </si>
  <si>
    <t>costos financieros</t>
  </si>
  <si>
    <t>GANANCIAS ( PERDIDAS) ANTES DE IMPUESTO A LA RENTA</t>
  </si>
  <si>
    <t>Gastos por impuesto a la Renta</t>
  </si>
  <si>
    <t xml:space="preserve">provision al impuesto de renta </t>
  </si>
  <si>
    <t>RESULTADO DEL EJERCICIO</t>
  </si>
  <si>
    <t>reserva legal 10%</t>
  </si>
  <si>
    <t>utilidades a ditribuir</t>
  </si>
  <si>
    <t xml:space="preserve">PRIMER AÑO </t>
  </si>
  <si>
    <t>arepas</t>
  </si>
  <si>
    <t>patacones</t>
  </si>
  <si>
    <t>Formula de Punto de Equilibrio en Unidades</t>
  </si>
  <si>
    <t>=</t>
  </si>
  <si>
    <t>Costos Fijos Totales</t>
  </si>
  <si>
    <t>PVU - CVU</t>
  </si>
  <si>
    <t>Aplicamos</t>
  </si>
  <si>
    <t>Costos Fijo</t>
  </si>
  <si>
    <t xml:space="preserve">precio de venta unitario </t>
  </si>
  <si>
    <t>Costos Variable Unitario</t>
  </si>
  <si>
    <t>Punto de Equilibrio en unidades paquetes Vendidas en promedio</t>
  </si>
  <si>
    <t>Ventas totales</t>
  </si>
  <si>
    <t>ANALISIS</t>
  </si>
  <si>
    <t xml:space="preserve">Para el producto de las arepas  el punto de equilibrio se alcanzara en </t>
  </si>
  <si>
    <t>porcentaje de distribucion sobre ventas</t>
  </si>
  <si>
    <t>precio de venta paquete arepas</t>
  </si>
  <si>
    <t>precio de venta paquete patacones</t>
  </si>
  <si>
    <t xml:space="preserve">patacon </t>
  </si>
  <si>
    <t>costos de ventas</t>
  </si>
  <si>
    <t>ventas anulaes en cantidades</t>
  </si>
  <si>
    <t>costo unitario</t>
  </si>
  <si>
    <t>costo variable unitario  paquete arepas</t>
  </si>
  <si>
    <t xml:space="preserve">costo variable unitario  paquete patacon </t>
  </si>
  <si>
    <t xml:space="preserve">costos fijos anuales  año 1 </t>
  </si>
  <si>
    <t xml:space="preserve">serviciios </t>
  </si>
  <si>
    <t>honorarios contador</t>
  </si>
  <si>
    <t>nomina</t>
  </si>
  <si>
    <t>dividendos a distribuir</t>
  </si>
  <si>
    <t>acumuladas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</si>
</sst>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2" formatCode="_-&quot;$&quot;\ * #,##0_-;\-&quot;$&quot;\ * #,##0_-;_-&quot;$&quot;\ * &quot;-&quot;_-;_-@_-"/>
    <numFmt numFmtId="41" formatCode="_-* #,##0_-;\-* #,##0_-;_-* &quot;-&quot;_-;_-@_-"/>
    <numFmt numFmtId="164" formatCode="_-* #,##0.00\ _€_-;\-* #,##0.00\ _€_-;_-* &quot;-&quot;??\ _€_-;_-@_-"/>
    <numFmt numFmtId="165" formatCode="_(&quot;$&quot;* #,##0_);_(&quot;$&quot;* \(#,##0\);_(&quot;$&quot;* &quot;-&quot;_);_(@_)"/>
    <numFmt numFmtId="166" formatCode="_(* #,##0.00_);_(* \(#,##0.00\);_(* &quot;-&quot;??_);_(@_)"/>
    <numFmt numFmtId="167" formatCode="_(&quot;$&quot;\ * #,##0_);_(&quot;$&quot;\ * \(#,##0\);_(&quot;$&quot;\ * &quot;-&quot;_);_(@_)"/>
    <numFmt numFmtId="168" formatCode="_(&quot;$&quot;\ * #,##0.00_);_(&quot;$&quot;\ * \(#,##0.00\);_(&quot;$&quot;\ * &quot;-&quot;??_);_(@_)"/>
    <numFmt numFmtId="169" formatCode="_-* #,##0\ _€_-;\-* #,##0\ _€_-;_-* &quot;-&quot;??\ _€_-;_-@_-"/>
    <numFmt numFmtId="170" formatCode="_-* #,##0.000\ _€_-;\-* #,##0.000\ _€_-;_-* &quot;-&quot;??\ _€_-;_-@_-"/>
    <numFmt numFmtId="171" formatCode="_(* #,##0_);_(* \(#,##0\);_(* &quot;-&quot;??_);_(@_)"/>
    <numFmt numFmtId="172" formatCode="_(&quot;$&quot;\ * #,##0_);_(&quot;$&quot;\ * \(#,##0\);_(&quot;$&quot;\ * &quot;-&quot;??_);_(@_)"/>
    <numFmt numFmtId="173" formatCode="_ &quot;$&quot;\ * #,##0_ ;_ &quot;$&quot;\ * \-#,##0_ ;_ &quot;$&quot;\ * &quot;-&quot;_ ;_ @_ "/>
    <numFmt numFmtId="174" formatCode="&quot;$&quot;#,##0.00;[Red]\-&quot;$&quot;#,##0.00"/>
    <numFmt numFmtId="175" formatCode="_ &quot;$&quot;\ * #,##0.00_ ;_ &quot;$&quot;\ * \-#,##0.00_ ;_ &quot;$&quot;\ * &quot;-&quot;_ ;_ @_ "/>
    <numFmt numFmtId="176" formatCode="0.0%"/>
    <numFmt numFmtId="177" formatCode="0.000%"/>
    <numFmt numFmtId="178" formatCode="0.0000%"/>
    <numFmt numFmtId="179" formatCode="0.00000%"/>
    <numFmt numFmtId="180" formatCode="_-&quot;$&quot;* #,##0_-;\-&quot;$&quot;* #,##0_-;_-&quot;$&quot;* &quot;-&quot;??_-;_-@_-"/>
    <numFmt numFmtId="181" formatCode="&quot;$&quot;#,##0"/>
    <numFmt numFmtId="182" formatCode="0.000"/>
    <numFmt numFmtId="183" formatCode="&quot;$&quot;\ #,##0.000;[Red]\-&quot;$&quot;\ #,##0.000"/>
    <numFmt numFmtId="184" formatCode="_(&quot;$&quot;\ * #,##0.0000_);_(&quot;$&quot;\ * \(#,##0.0000\);_(&quot;$&quot;\ * &quot;-&quot;??_);_(@_)"/>
    <numFmt numFmtId="185" formatCode="_(* #,##0.0_);_(* \(#,##0.0\);_(* &quot;-&quot;??_);_(@_)"/>
    <numFmt numFmtId="186" formatCode="0.0"/>
    <numFmt numFmtId="187" formatCode="&quot;$&quot;#,##0.00"/>
  </numFmts>
  <fonts count="50" x14ac:knownFonts="1">
    <font>
      <sz val="8"/>
      <color theme="1"/>
      <name val="Tahoma"/>
      <family val="2"/>
    </font>
    <font>
      <sz val="11"/>
      <color theme="1"/>
      <name val="Calibri"/>
      <family val="2"/>
      <scheme val="minor"/>
    </font>
    <font>
      <sz val="11"/>
      <color indexed="8"/>
      <name val="Calibri"/>
      <family val="2"/>
    </font>
    <font>
      <b/>
      <sz val="11"/>
      <color theme="1"/>
      <name val="Calibri"/>
      <family val="2"/>
      <scheme val="minor"/>
    </font>
    <font>
      <b/>
      <sz val="16"/>
      <color theme="1"/>
      <name val="Calibri"/>
      <family val="2"/>
      <scheme val="minor"/>
    </font>
    <font>
      <b/>
      <sz val="16"/>
      <name val="Calibri"/>
      <family val="2"/>
      <scheme val="minor"/>
    </font>
    <font>
      <sz val="8"/>
      <color theme="1"/>
      <name val="Tahoma"/>
      <family val="2"/>
    </font>
    <font>
      <sz val="8"/>
      <color rgb="FFFF0000"/>
      <name val="Tahoma"/>
      <family val="2"/>
    </font>
    <font>
      <b/>
      <sz val="8"/>
      <color theme="1"/>
      <name val="Tahoma"/>
      <family val="2"/>
    </font>
    <font>
      <b/>
      <sz val="12"/>
      <color theme="1"/>
      <name val="Calibri"/>
      <family val="2"/>
      <scheme val="minor"/>
    </font>
    <font>
      <sz val="9"/>
      <color theme="1"/>
      <name val="Tahoma"/>
      <family val="2"/>
    </font>
    <font>
      <b/>
      <sz val="9"/>
      <color theme="1"/>
      <name val="Tahoma"/>
      <family val="2"/>
    </font>
    <font>
      <b/>
      <sz val="10"/>
      <color theme="1"/>
      <name val="Tahoma"/>
      <family val="2"/>
    </font>
    <font>
      <b/>
      <i/>
      <sz val="11"/>
      <color theme="1"/>
      <name val="Calibri"/>
      <family val="2"/>
      <scheme val="minor"/>
    </font>
    <font>
      <b/>
      <sz val="10"/>
      <name val="Arial"/>
      <family val="2"/>
    </font>
    <font>
      <sz val="11"/>
      <name val="Calibri"/>
      <family val="2"/>
      <scheme val="minor"/>
    </font>
    <font>
      <b/>
      <sz val="10"/>
      <name val="Calibri"/>
      <family val="2"/>
      <scheme val="minor"/>
    </font>
    <font>
      <sz val="10"/>
      <color theme="1"/>
      <name val="Calibri"/>
      <family val="2"/>
      <scheme val="minor"/>
    </font>
    <font>
      <sz val="10"/>
      <name val="Calibri"/>
      <family val="2"/>
      <scheme val="minor"/>
    </font>
    <font>
      <sz val="11"/>
      <color theme="1"/>
      <name val="Tahoma"/>
      <family val="2"/>
    </font>
    <font>
      <b/>
      <sz val="11"/>
      <name val="Calibri"/>
      <family val="2"/>
      <scheme val="minor"/>
    </font>
    <font>
      <b/>
      <sz val="14"/>
      <color theme="1"/>
      <name val="Calibri"/>
      <family val="2"/>
      <scheme val="minor"/>
    </font>
    <font>
      <sz val="14"/>
      <color theme="1"/>
      <name val="Calibri"/>
      <family val="2"/>
      <scheme val="minor"/>
    </font>
    <font>
      <i/>
      <sz val="14"/>
      <name val="Book Antiqua"/>
      <family val="1"/>
    </font>
    <font>
      <b/>
      <i/>
      <sz val="10"/>
      <name val="Book Antiqua"/>
      <family val="1"/>
    </font>
    <font>
      <i/>
      <sz val="10"/>
      <name val="Book Antiqua"/>
      <family val="1"/>
    </font>
    <font>
      <sz val="11"/>
      <color rgb="FFFF0000"/>
      <name val="Calibri"/>
      <family val="2"/>
      <scheme val="minor"/>
    </font>
    <font>
      <b/>
      <i/>
      <sz val="12"/>
      <name val="Book Antiqua"/>
      <family val="1"/>
    </font>
    <font>
      <i/>
      <sz val="11"/>
      <color theme="1"/>
      <name val="Calibri"/>
      <family val="2"/>
      <scheme val="minor"/>
    </font>
    <font>
      <sz val="9"/>
      <color rgb="FFFF0000"/>
      <name val="Tahoma"/>
      <family val="2"/>
    </font>
    <font>
      <i/>
      <sz val="11"/>
      <name val="Calibri"/>
      <family val="2"/>
      <scheme val="minor"/>
    </font>
    <font>
      <b/>
      <i/>
      <sz val="11"/>
      <name val="Calibri"/>
      <family val="2"/>
      <scheme val="minor"/>
    </font>
    <font>
      <sz val="8"/>
      <name val="Tahoma"/>
      <family val="2"/>
    </font>
    <font>
      <b/>
      <sz val="12"/>
      <name val="Calibri"/>
      <family val="2"/>
      <scheme val="minor"/>
    </font>
    <font>
      <b/>
      <sz val="11"/>
      <color theme="1"/>
      <name val="Century Gothic"/>
      <family val="2"/>
    </font>
    <font>
      <sz val="11"/>
      <color theme="1"/>
      <name val="Century Gothic"/>
      <family val="2"/>
    </font>
    <font>
      <b/>
      <sz val="11"/>
      <color rgb="FFFF0000"/>
      <name val="Century Gothic"/>
      <family val="2"/>
    </font>
    <font>
      <sz val="12"/>
      <color rgb="FF000000"/>
      <name val="Century Gothic"/>
      <family val="2"/>
    </font>
    <font>
      <b/>
      <sz val="12"/>
      <color rgb="FF000000"/>
      <name val="Century Gothic"/>
      <family val="2"/>
    </font>
    <font>
      <sz val="8"/>
      <color theme="0"/>
      <name val="Tahoma"/>
      <family val="2"/>
    </font>
    <font>
      <sz val="11"/>
      <name val="Century Gothic"/>
      <family val="2"/>
    </font>
    <font>
      <sz val="11"/>
      <color theme="0"/>
      <name val="Century Gothic"/>
      <family val="2"/>
    </font>
    <font>
      <sz val="12"/>
      <color theme="1"/>
      <name val="Century Gothic"/>
      <family val="2"/>
    </font>
    <font>
      <sz val="9"/>
      <name val="Tahoma"/>
      <family val="2"/>
    </font>
    <font>
      <b/>
      <sz val="9"/>
      <name val="Tahoma"/>
      <family val="2"/>
    </font>
    <font>
      <b/>
      <sz val="11"/>
      <name val="Tahoma"/>
      <family val="2"/>
    </font>
    <font>
      <b/>
      <sz val="10"/>
      <name val="Tahoma"/>
      <family val="2"/>
    </font>
    <font>
      <b/>
      <sz val="11"/>
      <color theme="0"/>
      <name val="Calibri"/>
      <family val="2"/>
      <scheme val="minor"/>
    </font>
    <font>
      <sz val="11"/>
      <color theme="0"/>
      <name val="Calibri"/>
      <family val="2"/>
      <scheme val="minor"/>
    </font>
    <font>
      <sz val="12"/>
      <color theme="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B9FDBF"/>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ck">
        <color rgb="FF92D050"/>
      </bottom>
      <diagonal/>
    </border>
    <border>
      <left style="thick">
        <color rgb="FF92D050"/>
      </left>
      <right style="thin">
        <color rgb="FF92D050"/>
      </right>
      <top style="thick">
        <color rgb="FF92D050"/>
      </top>
      <bottom style="thin">
        <color rgb="FF92D050"/>
      </bottom>
      <diagonal/>
    </border>
    <border>
      <left style="thin">
        <color rgb="FF92D050"/>
      </left>
      <right style="thin">
        <color rgb="FF92D050"/>
      </right>
      <top style="thick">
        <color rgb="FF92D050"/>
      </top>
      <bottom style="thin">
        <color rgb="FF92D050"/>
      </bottom>
      <diagonal/>
    </border>
    <border>
      <left style="thick">
        <color rgb="FF92D050"/>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ck">
        <color rgb="FF92D050"/>
      </left>
      <right style="thin">
        <color rgb="FF92D050"/>
      </right>
      <top style="thin">
        <color rgb="FF92D050"/>
      </top>
      <bottom style="thick">
        <color rgb="FF92D050"/>
      </bottom>
      <diagonal/>
    </border>
    <border>
      <left style="thin">
        <color rgb="FF92D050"/>
      </left>
      <right style="thin">
        <color rgb="FF92D050"/>
      </right>
      <top style="thin">
        <color rgb="FF92D050"/>
      </top>
      <bottom style="thick">
        <color rgb="FF92D050"/>
      </bottom>
      <diagonal/>
    </border>
    <border>
      <left style="thin">
        <color rgb="FF92D050"/>
      </left>
      <right style="thick">
        <color rgb="FF92D050"/>
      </right>
      <top style="thin">
        <color rgb="FF92D050"/>
      </top>
      <bottom style="thick">
        <color rgb="FF92D050"/>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style="medium">
        <color rgb="FF00B050"/>
      </right>
      <top style="medium">
        <color rgb="FF00B05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medium">
        <color rgb="FF00B050"/>
      </right>
      <top style="thin">
        <color rgb="FF00B050"/>
      </top>
      <bottom style="medium">
        <color rgb="FF00B050"/>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style="medium">
        <color indexed="64"/>
      </left>
      <right style="medium">
        <color theme="6" tint="-0.24994659260841701"/>
      </right>
      <top style="medium">
        <color indexed="64"/>
      </top>
      <bottom style="medium">
        <color theme="6" tint="-0.24994659260841701"/>
      </bottom>
      <diagonal/>
    </border>
    <border>
      <left style="medium">
        <color theme="6" tint="-0.24994659260841701"/>
      </left>
      <right style="medium">
        <color theme="6" tint="-0.24994659260841701"/>
      </right>
      <top style="medium">
        <color indexed="64"/>
      </top>
      <bottom style="medium">
        <color theme="6" tint="-0.24994659260841701"/>
      </bottom>
      <diagonal/>
    </border>
    <border>
      <left style="medium">
        <color indexed="64"/>
      </left>
      <right style="medium">
        <color theme="6" tint="-0.24994659260841701"/>
      </right>
      <top style="medium">
        <color theme="6" tint="-0.24994659260841701"/>
      </top>
      <bottom style="medium">
        <color indexed="64"/>
      </bottom>
      <diagonal/>
    </border>
    <border>
      <left style="medium">
        <color theme="6" tint="-0.24994659260841701"/>
      </left>
      <right style="medium">
        <color theme="6" tint="-0.24994659260841701"/>
      </right>
      <top style="medium">
        <color theme="6" tint="-0.24994659260841701"/>
      </top>
      <bottom style="medium">
        <color indexed="64"/>
      </bottom>
      <diagonal/>
    </border>
    <border>
      <left style="medium">
        <color theme="6" tint="-0.24994659260841701"/>
      </left>
      <right style="medium">
        <color theme="6" tint="-0.24994659260841701"/>
      </right>
      <top/>
      <bottom style="medium">
        <color indexed="64"/>
      </bottom>
      <diagonal/>
    </border>
    <border>
      <left style="medium">
        <color indexed="64"/>
      </left>
      <right style="medium">
        <color theme="6" tint="-0.24994659260841701"/>
      </right>
      <top style="medium">
        <color theme="6" tint="-0.24994659260841701"/>
      </top>
      <bottom style="medium">
        <color theme="6" tint="-0.24994659260841701"/>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6" tint="-0.24994659260841701"/>
      </left>
      <right/>
      <top style="medium">
        <color indexed="64"/>
      </top>
      <bottom/>
      <diagonal/>
    </border>
    <border>
      <left style="medium">
        <color theme="6" tint="-0.24994659260841701"/>
      </left>
      <right/>
      <top/>
      <bottom/>
      <diagonal/>
    </border>
    <border>
      <left style="medium">
        <color theme="6" tint="-0.24994659260841701"/>
      </left>
      <right/>
      <top/>
      <bottom style="medium">
        <color indexed="64"/>
      </bottom>
      <diagonal/>
    </border>
  </borders>
  <cellStyleXfs count="11">
    <xf numFmtId="0" fontId="0" fillId="0" borderId="0"/>
    <xf numFmtId="0" fontId="1" fillId="0" borderId="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cellStyleXfs>
  <cellXfs count="823">
    <xf numFmtId="0" fontId="0" fillId="0" borderId="0" xfId="0"/>
    <xf numFmtId="0" fontId="1" fillId="0" borderId="1" xfId="1" applyBorder="1"/>
    <xf numFmtId="167" fontId="1" fillId="0" borderId="1" xfId="5" applyFont="1" applyBorder="1"/>
    <xf numFmtId="167" fontId="3" fillId="3" borderId="1" xfId="5" applyFont="1" applyFill="1" applyBorder="1"/>
    <xf numFmtId="0" fontId="1" fillId="0" borderId="0" xfId="1" applyBorder="1"/>
    <xf numFmtId="168" fontId="1" fillId="0" borderId="1" xfId="4" applyFont="1" applyBorder="1"/>
    <xf numFmtId="0" fontId="3" fillId="0" borderId="1" xfId="1" applyFont="1" applyBorder="1" applyAlignment="1">
      <alignment horizontal="center"/>
    </xf>
    <xf numFmtId="0" fontId="1" fillId="2" borderId="1" xfId="1" applyFill="1" applyBorder="1"/>
    <xf numFmtId="0" fontId="1" fillId="2" borderId="1" xfId="1" applyFill="1" applyBorder="1" applyAlignment="1">
      <alignment horizontal="center" vertical="center"/>
    </xf>
    <xf numFmtId="167" fontId="1" fillId="2" borderId="1" xfId="5" applyFont="1" applyFill="1" applyBorder="1"/>
    <xf numFmtId="0" fontId="3" fillId="2" borderId="0" xfId="1" applyFont="1" applyFill="1" applyBorder="1" applyAlignment="1">
      <alignment horizontal="center"/>
    </xf>
    <xf numFmtId="167" fontId="3" fillId="2" borderId="0" xfId="5" applyFont="1" applyFill="1" applyBorder="1"/>
    <xf numFmtId="0" fontId="3" fillId="5" borderId="1" xfId="1" applyFont="1" applyFill="1" applyBorder="1"/>
    <xf numFmtId="0" fontId="1" fillId="5" borderId="1" xfId="1" applyFill="1" applyBorder="1"/>
    <xf numFmtId="0" fontId="1" fillId="2" borderId="1" xfId="1" applyFont="1" applyFill="1" applyBorder="1" applyAlignment="1"/>
    <xf numFmtId="0" fontId="1" fillId="0" borderId="3" xfId="1" applyBorder="1"/>
    <xf numFmtId="0" fontId="1" fillId="0" borderId="5" xfId="1" applyBorder="1"/>
    <xf numFmtId="0" fontId="1" fillId="0" borderId="16" xfId="1" applyBorder="1"/>
    <xf numFmtId="0" fontId="1" fillId="0" borderId="6" xfId="1" applyBorder="1"/>
    <xf numFmtId="167" fontId="1" fillId="5" borderId="5" xfId="5" applyFont="1" applyFill="1" applyBorder="1"/>
    <xf numFmtId="0" fontId="1" fillId="2" borderId="4" xfId="1" applyFill="1" applyBorder="1" applyAlignment="1">
      <alignment horizontal="center" vertical="center"/>
    </xf>
    <xf numFmtId="0" fontId="1" fillId="2" borderId="4" xfId="1" applyFill="1" applyBorder="1" applyAlignment="1">
      <alignment vertical="center"/>
    </xf>
    <xf numFmtId="0" fontId="4" fillId="2" borderId="4" xfId="1" applyFont="1" applyFill="1" applyBorder="1" applyAlignment="1">
      <alignment horizontal="center" vertical="center"/>
    </xf>
    <xf numFmtId="0" fontId="3" fillId="2" borderId="1" xfId="1" applyFont="1" applyFill="1" applyBorder="1" applyAlignment="1">
      <alignment horizontal="center" vertical="center"/>
    </xf>
    <xf numFmtId="167" fontId="3" fillId="2" borderId="1" xfId="5" applyFont="1" applyFill="1" applyBorder="1" applyAlignment="1">
      <alignment vertical="center"/>
    </xf>
    <xf numFmtId="0" fontId="0" fillId="2" borderId="0" xfId="0" applyFill="1"/>
    <xf numFmtId="0" fontId="3" fillId="7" borderId="4" xfId="1" applyFont="1" applyFill="1" applyBorder="1" applyAlignment="1">
      <alignment vertical="center"/>
    </xf>
    <xf numFmtId="0" fontId="1" fillId="2" borderId="1" xfId="1" applyFill="1" applyBorder="1" applyAlignment="1">
      <alignment horizontal="left" vertical="center" wrapText="1"/>
    </xf>
    <xf numFmtId="167" fontId="3" fillId="2" borderId="17" xfId="5" applyFont="1" applyFill="1" applyBorder="1" applyAlignment="1">
      <alignment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3" fillId="7" borderId="22" xfId="1" applyFont="1" applyFill="1" applyBorder="1" applyAlignment="1">
      <alignment vertical="center"/>
    </xf>
    <xf numFmtId="0" fontId="3" fillId="7" borderId="23" xfId="1" applyFont="1" applyFill="1" applyBorder="1" applyAlignment="1">
      <alignment vertical="center"/>
    </xf>
    <xf numFmtId="0" fontId="3" fillId="2" borderId="16" xfId="1" applyFont="1" applyFill="1" applyBorder="1" applyAlignment="1"/>
    <xf numFmtId="167" fontId="1" fillId="2" borderId="17" xfId="5" applyFont="1" applyFill="1" applyBorder="1"/>
    <xf numFmtId="167" fontId="3" fillId="7" borderId="23" xfId="5" applyFont="1" applyFill="1" applyBorder="1"/>
    <xf numFmtId="0" fontId="3" fillId="2" borderId="22" xfId="1" applyFont="1" applyFill="1" applyBorder="1" applyAlignment="1">
      <alignment horizontal="center"/>
    </xf>
    <xf numFmtId="167" fontId="1" fillId="2" borderId="23" xfId="5" applyFont="1" applyFill="1" applyBorder="1"/>
    <xf numFmtId="0" fontId="1" fillId="2" borderId="16" xfId="1" applyFill="1" applyBorder="1" applyAlignment="1">
      <alignment horizontal="left" vertical="center"/>
    </xf>
    <xf numFmtId="167" fontId="1" fillId="2" borderId="17" xfId="5" applyFont="1" applyFill="1" applyBorder="1" applyAlignment="1">
      <alignment horizontal="left" vertical="center"/>
    </xf>
    <xf numFmtId="167" fontId="3" fillId="7" borderId="23" xfId="1" applyNumberFormat="1" applyFont="1" applyFill="1" applyBorder="1" applyAlignment="1">
      <alignment horizontal="left" vertical="center"/>
    </xf>
    <xf numFmtId="0" fontId="1" fillId="2" borderId="22" xfId="1" applyFill="1" applyBorder="1" applyAlignment="1">
      <alignment horizontal="center" vertical="center"/>
    </xf>
    <xf numFmtId="0" fontId="1" fillId="2" borderId="23" xfId="1" applyFill="1" applyBorder="1" applyAlignment="1">
      <alignment vertical="center"/>
    </xf>
    <xf numFmtId="0" fontId="1" fillId="2" borderId="16" xfId="1" applyFill="1" applyBorder="1"/>
    <xf numFmtId="167" fontId="3" fillId="7" borderId="17" xfId="5" applyFont="1" applyFill="1" applyBorder="1" applyAlignment="1">
      <alignment vertical="center"/>
    </xf>
    <xf numFmtId="0" fontId="1" fillId="2" borderId="0" xfId="1" applyFill="1" applyBorder="1" applyAlignment="1">
      <alignment horizontal="center"/>
    </xf>
    <xf numFmtId="167" fontId="1" fillId="2" borderId="0" xfId="5" applyFont="1" applyFill="1" applyBorder="1"/>
    <xf numFmtId="167" fontId="3" fillId="5" borderId="1" xfId="5" applyFont="1" applyFill="1" applyBorder="1"/>
    <xf numFmtId="0" fontId="3" fillId="0" borderId="0" xfId="1" applyFont="1" applyFill="1" applyBorder="1" applyAlignment="1">
      <alignment horizontal="left"/>
    </xf>
    <xf numFmtId="167" fontId="3" fillId="0" borderId="0" xfId="5" applyFont="1" applyFill="1" applyBorder="1"/>
    <xf numFmtId="0" fontId="0" fillId="0" borderId="0" xfId="0" applyFill="1"/>
    <xf numFmtId="0" fontId="0" fillId="0" borderId="0" xfId="0" applyBorder="1"/>
    <xf numFmtId="167" fontId="3" fillId="6" borderId="8" xfId="1" applyNumberFormat="1" applyFont="1" applyFill="1" applyBorder="1" applyAlignment="1">
      <alignment horizontal="center"/>
    </xf>
    <xf numFmtId="167" fontId="3" fillId="0" borderId="0" xfId="1" applyNumberFormat="1" applyFont="1" applyFill="1" applyBorder="1" applyAlignment="1">
      <alignment horizontal="center"/>
    </xf>
    <xf numFmtId="167" fontId="1" fillId="0" borderId="12" xfId="5" applyFont="1" applyFill="1" applyBorder="1"/>
    <xf numFmtId="167" fontId="3" fillId="5" borderId="8" xfId="5" applyFont="1" applyFill="1" applyBorder="1"/>
    <xf numFmtId="0" fontId="3" fillId="2" borderId="9" xfId="1" applyFont="1" applyFill="1" applyBorder="1" applyAlignment="1">
      <alignment horizontal="left"/>
    </xf>
    <xf numFmtId="167" fontId="1" fillId="2" borderId="11" xfId="5" applyFont="1" applyFill="1" applyBorder="1"/>
    <xf numFmtId="168" fontId="1" fillId="2" borderId="1" xfId="4" applyFont="1" applyFill="1" applyBorder="1"/>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9" fillId="4" borderId="2" xfId="1" applyFont="1" applyFill="1" applyBorder="1" applyAlignment="1">
      <alignment horizontal="left" vertical="center"/>
    </xf>
    <xf numFmtId="167" fontId="9" fillId="4" borderId="1" xfId="5" applyFont="1" applyFill="1" applyBorder="1" applyAlignment="1">
      <alignment vertical="center"/>
    </xf>
    <xf numFmtId="167" fontId="9" fillId="4" borderId="15" xfId="5" applyFont="1" applyFill="1" applyBorder="1" applyAlignment="1">
      <alignment vertical="center"/>
    </xf>
    <xf numFmtId="169" fontId="0" fillId="0" borderId="0" xfId="9" applyNumberFormat="1" applyFont="1"/>
    <xf numFmtId="0" fontId="10" fillId="0" borderId="26" xfId="0" applyFont="1" applyBorder="1"/>
    <xf numFmtId="169" fontId="10" fillId="0" borderId="27" xfId="9" applyNumberFormat="1" applyFont="1" applyBorder="1"/>
    <xf numFmtId="0" fontId="10" fillId="0" borderId="28" xfId="0" applyFont="1" applyBorder="1"/>
    <xf numFmtId="0" fontId="10" fillId="0" borderId="29" xfId="0" applyFont="1" applyBorder="1"/>
    <xf numFmtId="169" fontId="10" fillId="0" borderId="0" xfId="9" applyNumberFormat="1" applyFont="1" applyBorder="1"/>
    <xf numFmtId="0" fontId="10" fillId="0" borderId="30" xfId="0" applyFont="1" applyBorder="1"/>
    <xf numFmtId="169" fontId="10" fillId="11" borderId="8" xfId="9" applyNumberFormat="1" applyFont="1" applyFill="1" applyBorder="1"/>
    <xf numFmtId="171" fontId="0" fillId="0" borderId="0" xfId="3" applyNumberFormat="1" applyFont="1"/>
    <xf numFmtId="171" fontId="3" fillId="0" borderId="0" xfId="3" applyNumberFormat="1" applyFont="1" applyAlignment="1">
      <alignment horizontal="center"/>
    </xf>
    <xf numFmtId="0" fontId="9" fillId="14" borderId="0" xfId="0" applyFont="1" applyFill="1" applyAlignment="1"/>
    <xf numFmtId="171" fontId="0" fillId="0" borderId="0" xfId="3" applyNumberFormat="1" applyFont="1" applyAlignment="1"/>
    <xf numFmtId="0" fontId="0" fillId="0" borderId="0" xfId="0" applyAlignment="1"/>
    <xf numFmtId="0" fontId="3" fillId="0" borderId="0" xfId="0" applyFont="1"/>
    <xf numFmtId="172" fontId="0" fillId="0" borderId="0" xfId="6" applyNumberFormat="1" applyFont="1" applyAlignment="1"/>
    <xf numFmtId="172" fontId="0" fillId="10" borderId="43" xfId="6" applyNumberFormat="1" applyFont="1" applyFill="1" applyBorder="1" applyAlignment="1"/>
    <xf numFmtId="172" fontId="0" fillId="0" borderId="0" xfId="6" applyNumberFormat="1" applyFont="1"/>
    <xf numFmtId="172" fontId="0" fillId="10" borderId="43" xfId="6" applyNumberFormat="1" applyFont="1" applyFill="1" applyBorder="1"/>
    <xf numFmtId="0" fontId="3" fillId="15" borderId="44" xfId="0" applyFont="1" applyFill="1" applyBorder="1"/>
    <xf numFmtId="0" fontId="0" fillId="15" borderId="44" xfId="0" applyFill="1" applyBorder="1"/>
    <xf numFmtId="172" fontId="0" fillId="15" borderId="44" xfId="6" applyNumberFormat="1" applyFont="1" applyFill="1" applyBorder="1"/>
    <xf numFmtId="0" fontId="3" fillId="14" borderId="0" xfId="0" applyFont="1" applyFill="1" applyAlignment="1"/>
    <xf numFmtId="0" fontId="3" fillId="2" borderId="0" xfId="0" applyFont="1" applyFill="1" applyAlignment="1"/>
    <xf numFmtId="172" fontId="3" fillId="10" borderId="9" xfId="6" applyNumberFormat="1" applyFont="1" applyFill="1" applyBorder="1"/>
    <xf numFmtId="172" fontId="3" fillId="15" borderId="44" xfId="6" applyNumberFormat="1" applyFont="1" applyFill="1" applyBorder="1"/>
    <xf numFmtId="0" fontId="3" fillId="0" borderId="44" xfId="0" applyFont="1" applyBorder="1"/>
    <xf numFmtId="0" fontId="0" fillId="0" borderId="44" xfId="0" applyBorder="1"/>
    <xf numFmtId="171" fontId="0" fillId="0" borderId="0" xfId="3" applyNumberFormat="1" applyFont="1" applyBorder="1"/>
    <xf numFmtId="0" fontId="3" fillId="0" borderId="0" xfId="0" applyFont="1" applyBorder="1" applyAlignment="1"/>
    <xf numFmtId="0" fontId="3" fillId="0" borderId="0" xfId="0" applyFont="1" applyBorder="1" applyAlignment="1">
      <alignment horizontal="center"/>
    </xf>
    <xf numFmtId="0" fontId="3" fillId="0" borderId="0" xfId="0" applyFont="1" applyAlignment="1"/>
    <xf numFmtId="172" fontId="8" fillId="15" borderId="44" xfId="6" applyNumberFormat="1" applyFont="1" applyFill="1" applyBorder="1"/>
    <xf numFmtId="0" fontId="0" fillId="0" borderId="1" xfId="0" applyBorder="1"/>
    <xf numFmtId="41" fontId="0" fillId="0" borderId="1" xfId="8" applyFont="1" applyBorder="1"/>
    <xf numFmtId="0" fontId="14" fillId="3" borderId="1" xfId="0" applyFont="1" applyFill="1" applyBorder="1" applyAlignment="1">
      <alignment horizontal="center" vertical="center"/>
    </xf>
    <xf numFmtId="0" fontId="14" fillId="3" borderId="1" xfId="0" applyFont="1" applyFill="1" applyBorder="1" applyAlignment="1">
      <alignment horizontal="center"/>
    </xf>
    <xf numFmtId="174" fontId="0" fillId="16" borderId="1" xfId="0" applyNumberFormat="1" applyFill="1" applyBorder="1"/>
    <xf numFmtId="174" fontId="0" fillId="4" borderId="1" xfId="0" applyNumberFormat="1" applyFill="1" applyBorder="1"/>
    <xf numFmtId="174" fontId="0" fillId="5" borderId="1" xfId="0" applyNumberFormat="1" applyFill="1" applyBorder="1"/>
    <xf numFmtId="174" fontId="0" fillId="18" borderId="1" xfId="0" applyNumberFormat="1" applyFill="1" applyBorder="1"/>
    <xf numFmtId="174" fontId="0" fillId="11" borderId="1" xfId="0" applyNumberFormat="1" applyFill="1" applyBorder="1"/>
    <xf numFmtId="0" fontId="16" fillId="3" borderId="1" xfId="0" applyFont="1" applyFill="1" applyBorder="1" applyAlignment="1">
      <alignment horizontal="center" vertical="center"/>
    </xf>
    <xf numFmtId="0" fontId="16" fillId="3" borderId="1" xfId="0" applyFont="1" applyFill="1" applyBorder="1" applyAlignment="1">
      <alignment horizontal="center"/>
    </xf>
    <xf numFmtId="0" fontId="17" fillId="0" borderId="0" xfId="0" applyFont="1" applyAlignment="1">
      <alignment horizontal="center" vertical="center"/>
    </xf>
    <xf numFmtId="0" fontId="17" fillId="0" borderId="1" xfId="0" applyFont="1" applyBorder="1"/>
    <xf numFmtId="167" fontId="17" fillId="0" borderId="1" xfId="5" applyFont="1" applyBorder="1"/>
    <xf numFmtId="0" fontId="17" fillId="0" borderId="0" xfId="0" applyFont="1"/>
    <xf numFmtId="0" fontId="17" fillId="0" borderId="0" xfId="0" applyFont="1" applyAlignment="1">
      <alignment horizontal="center"/>
    </xf>
    <xf numFmtId="10" fontId="17" fillId="0" borderId="1" xfId="7" applyNumberFormat="1" applyFont="1" applyBorder="1"/>
    <xf numFmtId="10" fontId="17" fillId="0" borderId="0" xfId="7" applyNumberFormat="1" applyFont="1"/>
    <xf numFmtId="41" fontId="17" fillId="0" borderId="1" xfId="8" applyFont="1" applyBorder="1"/>
    <xf numFmtId="0" fontId="17" fillId="16" borderId="1" xfId="0" applyFont="1" applyFill="1" applyBorder="1" applyAlignment="1">
      <alignment horizontal="center" vertical="center"/>
    </xf>
    <xf numFmtId="0" fontId="17" fillId="16" borderId="1" xfId="0" applyFont="1" applyFill="1" applyBorder="1"/>
    <xf numFmtId="173" fontId="17" fillId="17" borderId="1" xfId="0" applyNumberFormat="1" applyFont="1" applyFill="1" applyBorder="1"/>
    <xf numFmtId="0" fontId="17" fillId="16" borderId="1" xfId="0" applyFont="1" applyFill="1" applyBorder="1" applyAlignment="1">
      <alignment horizontal="center"/>
    </xf>
    <xf numFmtId="174" fontId="17" fillId="16" borderId="1" xfId="0" applyNumberFormat="1" applyFont="1" applyFill="1" applyBorder="1"/>
    <xf numFmtId="173" fontId="17" fillId="16" borderId="1" xfId="0" applyNumberFormat="1" applyFont="1" applyFill="1" applyBorder="1"/>
    <xf numFmtId="17" fontId="17" fillId="16" borderId="1" xfId="0" applyNumberFormat="1" applyFont="1" applyFill="1" applyBorder="1" applyAlignment="1">
      <alignment horizontal="center"/>
    </xf>
    <xf numFmtId="0" fontId="17" fillId="4" borderId="1" xfId="0" applyFont="1" applyFill="1" applyBorder="1" applyAlignment="1">
      <alignment horizontal="center" vertical="center"/>
    </xf>
    <xf numFmtId="174" fontId="17" fillId="4" borderId="1" xfId="0" applyNumberFormat="1" applyFont="1" applyFill="1" applyBorder="1"/>
    <xf numFmtId="173" fontId="17" fillId="4" borderId="1" xfId="0" applyNumberFormat="1" applyFont="1" applyFill="1" applyBorder="1"/>
    <xf numFmtId="17" fontId="17" fillId="4" borderId="1" xfId="0" applyNumberFormat="1" applyFont="1" applyFill="1" applyBorder="1" applyAlignment="1">
      <alignment horizontal="center"/>
    </xf>
    <xf numFmtId="0" fontId="18" fillId="4" borderId="1" xfId="0" applyFont="1" applyFill="1" applyBorder="1" applyAlignment="1">
      <alignment horizontal="center" vertical="center"/>
    </xf>
    <xf numFmtId="174" fontId="18" fillId="4" borderId="1" xfId="0" applyNumberFormat="1" applyFont="1" applyFill="1" applyBorder="1"/>
    <xf numFmtId="173" fontId="18" fillId="4" borderId="1" xfId="0" applyNumberFormat="1" applyFont="1" applyFill="1" applyBorder="1"/>
    <xf numFmtId="17" fontId="18" fillId="4" borderId="1" xfId="0" applyNumberFormat="1" applyFont="1" applyFill="1" applyBorder="1" applyAlignment="1">
      <alignment horizontal="center"/>
    </xf>
    <xf numFmtId="0" fontId="17" fillId="5" borderId="1" xfId="0" applyFont="1" applyFill="1" applyBorder="1" applyAlignment="1">
      <alignment horizontal="center" vertical="center"/>
    </xf>
    <xf numFmtId="174" fontId="17" fillId="5" borderId="1" xfId="0" applyNumberFormat="1" applyFont="1" applyFill="1" applyBorder="1"/>
    <xf numFmtId="173" fontId="17" fillId="5" borderId="1" xfId="0" applyNumberFormat="1" applyFont="1" applyFill="1" applyBorder="1"/>
    <xf numFmtId="17" fontId="17" fillId="5" borderId="1" xfId="0" applyNumberFormat="1" applyFont="1" applyFill="1" applyBorder="1" applyAlignment="1">
      <alignment horizontal="center"/>
    </xf>
    <xf numFmtId="0" fontId="17" fillId="18" borderId="1" xfId="0" applyFont="1" applyFill="1" applyBorder="1" applyAlignment="1">
      <alignment horizontal="center" vertical="center"/>
    </xf>
    <xf numFmtId="174" fontId="17" fillId="18" borderId="1" xfId="0" applyNumberFormat="1" applyFont="1" applyFill="1" applyBorder="1"/>
    <xf numFmtId="173" fontId="17" fillId="18" borderId="1" xfId="0" applyNumberFormat="1" applyFont="1" applyFill="1" applyBorder="1"/>
    <xf numFmtId="17" fontId="17" fillId="18" borderId="1" xfId="0" applyNumberFormat="1" applyFont="1" applyFill="1" applyBorder="1" applyAlignment="1">
      <alignment horizontal="center"/>
    </xf>
    <xf numFmtId="0" fontId="17" fillId="11" borderId="1" xfId="0" applyFont="1" applyFill="1" applyBorder="1" applyAlignment="1">
      <alignment horizontal="center" vertical="center"/>
    </xf>
    <xf numFmtId="174" fontId="17" fillId="11" borderId="1" xfId="0" applyNumberFormat="1" applyFont="1" applyFill="1" applyBorder="1"/>
    <xf numFmtId="173" fontId="17" fillId="11" borderId="1" xfId="0" applyNumberFormat="1" applyFont="1" applyFill="1" applyBorder="1"/>
    <xf numFmtId="17" fontId="17" fillId="11" borderId="1" xfId="0" applyNumberFormat="1" applyFont="1" applyFill="1" applyBorder="1" applyAlignment="1">
      <alignment horizontal="center"/>
    </xf>
    <xf numFmtId="0" fontId="17" fillId="19" borderId="1" xfId="0" applyFont="1" applyFill="1" applyBorder="1" applyAlignment="1">
      <alignment horizontal="center" vertical="center"/>
    </xf>
    <xf numFmtId="174" fontId="17" fillId="19" borderId="1" xfId="0" applyNumberFormat="1" applyFont="1" applyFill="1" applyBorder="1"/>
    <xf numFmtId="173" fontId="17" fillId="19" borderId="1" xfId="0" applyNumberFormat="1" applyFont="1" applyFill="1" applyBorder="1"/>
    <xf numFmtId="17" fontId="17" fillId="19" borderId="1" xfId="0" applyNumberFormat="1" applyFont="1" applyFill="1" applyBorder="1" applyAlignment="1">
      <alignment horizontal="center"/>
    </xf>
    <xf numFmtId="17" fontId="17" fillId="0" borderId="1" xfId="0" applyNumberFormat="1" applyFont="1" applyFill="1" applyBorder="1" applyAlignment="1">
      <alignment horizontal="center"/>
    </xf>
    <xf numFmtId="174" fontId="17" fillId="0" borderId="0" xfId="0" applyNumberFormat="1" applyFont="1"/>
    <xf numFmtId="174" fontId="17" fillId="0" borderId="0" xfId="0" applyNumberFormat="1" applyFont="1" applyAlignment="1">
      <alignment horizontal="center"/>
    </xf>
    <xf numFmtId="0" fontId="0" fillId="2" borderId="0" xfId="0" applyFill="1" applyAlignment="1">
      <alignment horizontal="center"/>
    </xf>
    <xf numFmtId="0" fontId="14" fillId="2" borderId="0" xfId="0" applyFont="1" applyFill="1" applyBorder="1" applyAlignment="1">
      <alignment horizontal="center"/>
    </xf>
    <xf numFmtId="0" fontId="0" fillId="2" borderId="0" xfId="0" applyFill="1" applyBorder="1" applyAlignment="1">
      <alignment horizontal="center"/>
    </xf>
    <xf numFmtId="17" fontId="0" fillId="2" borderId="0" xfId="0" applyNumberFormat="1" applyFill="1" applyBorder="1" applyAlignment="1">
      <alignment horizontal="center"/>
    </xf>
    <xf numFmtId="17" fontId="15" fillId="2" borderId="0" xfId="0" applyNumberFormat="1" applyFont="1" applyFill="1" applyBorder="1" applyAlignment="1">
      <alignment horizontal="center"/>
    </xf>
    <xf numFmtId="174" fontId="0" fillId="2" borderId="0" xfId="0" applyNumberFormat="1" applyFill="1" applyAlignment="1">
      <alignment horizontal="center"/>
    </xf>
    <xf numFmtId="175" fontId="0" fillId="17" borderId="1" xfId="0" applyNumberFormat="1" applyFill="1" applyBorder="1"/>
    <xf numFmtId="41" fontId="0" fillId="16" borderId="1" xfId="8" applyFont="1" applyFill="1" applyBorder="1"/>
    <xf numFmtId="41" fontId="0" fillId="4" borderId="1" xfId="8" applyFont="1" applyFill="1" applyBorder="1"/>
    <xf numFmtId="41" fontId="0" fillId="5" borderId="1" xfId="8" applyFont="1" applyFill="1" applyBorder="1"/>
    <xf numFmtId="41" fontId="0" fillId="18" borderId="1" xfId="8" applyFont="1" applyFill="1" applyBorder="1"/>
    <xf numFmtId="41" fontId="0" fillId="11" borderId="1" xfId="8" applyFont="1" applyFill="1" applyBorder="1"/>
    <xf numFmtId="41" fontId="0" fillId="19" borderId="1" xfId="8" applyFont="1" applyFill="1" applyBorder="1"/>
    <xf numFmtId="174" fontId="0" fillId="7" borderId="5" xfId="0" applyNumberFormat="1" applyFill="1" applyBorder="1"/>
    <xf numFmtId="174" fontId="0" fillId="7" borderId="1" xfId="0" applyNumberFormat="1" applyFill="1" applyBorder="1"/>
    <xf numFmtId="167" fontId="0" fillId="0" borderId="0" xfId="5" applyFont="1"/>
    <xf numFmtId="174" fontId="0" fillId="0" borderId="0" xfId="0" applyNumberFormat="1" applyFill="1" applyBorder="1"/>
    <xf numFmtId="169" fontId="19" fillId="0" borderId="1" xfId="9" applyNumberFormat="1" applyFont="1" applyBorder="1"/>
    <xf numFmtId="0" fontId="19" fillId="0" borderId="0" xfId="0" applyFont="1"/>
    <xf numFmtId="0" fontId="15" fillId="0" borderId="0" xfId="0" applyFont="1"/>
    <xf numFmtId="0" fontId="20" fillId="0" borderId="0" xfId="0" applyFont="1" applyFill="1" applyBorder="1" applyAlignment="1">
      <alignment horizontal="center"/>
    </xf>
    <xf numFmtId="0" fontId="20" fillId="0" borderId="0" xfId="0" applyFont="1" applyFill="1" applyAlignment="1"/>
    <xf numFmtId="0" fontId="15" fillId="0" borderId="0" xfId="0" applyFont="1" applyFill="1"/>
    <xf numFmtId="172" fontId="15" fillId="0" borderId="0" xfId="0" applyNumberFormat="1" applyFont="1" applyFill="1"/>
    <xf numFmtId="171" fontId="20" fillId="13" borderId="44" xfId="3" applyNumberFormat="1" applyFont="1" applyFill="1" applyBorder="1" applyAlignment="1"/>
    <xf numFmtId="0" fontId="20" fillId="0" borderId="0" xfId="0" applyFont="1"/>
    <xf numFmtId="0" fontId="20" fillId="13" borderId="44" xfId="0" applyFont="1" applyFill="1" applyBorder="1"/>
    <xf numFmtId="0" fontId="20" fillId="0" borderId="0" xfId="0" applyFont="1" applyFill="1" applyBorder="1"/>
    <xf numFmtId="0" fontId="15" fillId="0" borderId="0" xfId="0" applyFont="1" applyFill="1" applyBorder="1"/>
    <xf numFmtId="0" fontId="20" fillId="2" borderId="0" xfId="0" applyFont="1" applyFill="1" applyAlignment="1"/>
    <xf numFmtId="0" fontId="15" fillId="0" borderId="0" xfId="0" applyFont="1" applyFill="1" applyBorder="1" applyAlignment="1" applyProtection="1">
      <protection hidden="1"/>
    </xf>
    <xf numFmtId="0" fontId="20" fillId="0" borderId="9" xfId="0" applyFont="1" applyBorder="1" applyAlignment="1">
      <alignment horizontal="center"/>
    </xf>
    <xf numFmtId="0" fontId="20" fillId="0" borderId="0" xfId="0" applyFont="1" applyFill="1"/>
    <xf numFmtId="0" fontId="20" fillId="0" borderId="0" xfId="0" applyFont="1" applyBorder="1" applyAlignment="1">
      <alignment horizontal="center"/>
    </xf>
    <xf numFmtId="0" fontId="21" fillId="6" borderId="48" xfId="0" applyFont="1" applyFill="1" applyBorder="1" applyAlignment="1">
      <alignment horizontal="center" vertical="center" wrapText="1"/>
    </xf>
    <xf numFmtId="0" fontId="21" fillId="12" borderId="48"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21" fillId="2" borderId="5" xfId="0" applyFont="1" applyFill="1" applyBorder="1" applyAlignment="1">
      <alignment horizontal="center"/>
    </xf>
    <xf numFmtId="0" fontId="22" fillId="2" borderId="5" xfId="0" applyFont="1" applyFill="1" applyBorder="1" applyAlignment="1">
      <alignment horizontal="center"/>
    </xf>
    <xf numFmtId="167" fontId="22" fillId="2" borderId="5" xfId="5" applyFont="1" applyFill="1" applyBorder="1" applyAlignment="1">
      <alignment horizontal="center"/>
    </xf>
    <xf numFmtId="167" fontId="22" fillId="2" borderId="5" xfId="5" applyFont="1" applyFill="1" applyBorder="1"/>
    <xf numFmtId="167" fontId="22" fillId="0" borderId="5" xfId="5" applyFont="1" applyFill="1" applyBorder="1"/>
    <xf numFmtId="167" fontId="22" fillId="2" borderId="1" xfId="5" applyFont="1" applyFill="1" applyBorder="1"/>
    <xf numFmtId="0" fontId="21" fillId="2" borderId="1" xfId="0" applyFont="1" applyFill="1" applyBorder="1" applyAlignment="1">
      <alignment horizontal="center"/>
    </xf>
    <xf numFmtId="0" fontId="22" fillId="2" borderId="1" xfId="0" applyFont="1" applyFill="1" applyBorder="1" applyAlignment="1">
      <alignment horizontal="center"/>
    </xf>
    <xf numFmtId="167" fontId="22" fillId="2" borderId="1" xfId="5" applyFont="1" applyFill="1" applyBorder="1" applyAlignment="1">
      <alignment horizontal="center"/>
    </xf>
    <xf numFmtId="167" fontId="22" fillId="0" borderId="1" xfId="5" applyFont="1" applyFill="1" applyBorder="1"/>
    <xf numFmtId="167" fontId="21" fillId="3" borderId="1" xfId="5" applyFont="1" applyFill="1" applyBorder="1"/>
    <xf numFmtId="167" fontId="21" fillId="21" borderId="1" xfId="5" applyFont="1" applyFill="1" applyBorder="1"/>
    <xf numFmtId="167" fontId="21" fillId="6" borderId="1" xfId="5" applyFont="1" applyFill="1" applyBorder="1"/>
    <xf numFmtId="167" fontId="21" fillId="12" borderId="1" xfId="5" applyFont="1" applyFill="1" applyBorder="1"/>
    <xf numFmtId="167" fontId="21" fillId="11" borderId="1" xfId="5" applyFont="1" applyFill="1" applyBorder="1"/>
    <xf numFmtId="0" fontId="22" fillId="2" borderId="0" xfId="0" applyFont="1" applyFill="1"/>
    <xf numFmtId="167" fontId="21" fillId="15" borderId="51" xfId="5" applyFont="1" applyFill="1" applyBorder="1"/>
    <xf numFmtId="167" fontId="22" fillId="21" borderId="52" xfId="5" applyNumberFormat="1" applyFont="1" applyFill="1" applyBorder="1"/>
    <xf numFmtId="167" fontId="22" fillId="6" borderId="52" xfId="5" applyNumberFormat="1" applyFont="1" applyFill="1" applyBorder="1"/>
    <xf numFmtId="167" fontId="22" fillId="12" borderId="52" xfId="5" applyNumberFormat="1" applyFont="1" applyFill="1" applyBorder="1"/>
    <xf numFmtId="167" fontId="22" fillId="11" borderId="52" xfId="5" applyNumberFormat="1" applyFont="1" applyFill="1" applyBorder="1"/>
    <xf numFmtId="167" fontId="22" fillId="3" borderId="52" xfId="5" applyNumberFormat="1" applyFont="1" applyFill="1" applyBorder="1"/>
    <xf numFmtId="167" fontId="21" fillId="2" borderId="53" xfId="5" applyFont="1" applyFill="1" applyBorder="1"/>
    <xf numFmtId="167" fontId="22" fillId="0" borderId="54" xfId="5" applyNumberFormat="1" applyFont="1" applyFill="1" applyBorder="1"/>
    <xf numFmtId="0" fontId="21" fillId="15" borderId="55" xfId="0" applyFont="1" applyFill="1" applyBorder="1"/>
    <xf numFmtId="167" fontId="21" fillId="21" borderId="56" xfId="0" applyNumberFormat="1" applyFont="1" applyFill="1" applyBorder="1"/>
    <xf numFmtId="167" fontId="21" fillId="6" borderId="56" xfId="0" applyNumberFormat="1" applyFont="1" applyFill="1" applyBorder="1"/>
    <xf numFmtId="167" fontId="21" fillId="12" borderId="56" xfId="0" applyNumberFormat="1" applyFont="1" applyFill="1" applyBorder="1"/>
    <xf numFmtId="167" fontId="21" fillId="11" borderId="56" xfId="0" applyNumberFormat="1" applyFont="1" applyFill="1" applyBorder="1"/>
    <xf numFmtId="167" fontId="21" fillId="15" borderId="57" xfId="0" applyNumberFormat="1" applyFont="1" applyFill="1" applyBorder="1"/>
    <xf numFmtId="0" fontId="22" fillId="0" borderId="0" xfId="0" applyFont="1" applyFill="1"/>
    <xf numFmtId="9" fontId="22" fillId="2" borderId="0" xfId="7" applyFont="1" applyFill="1"/>
    <xf numFmtId="167" fontId="22" fillId="2" borderId="0" xfId="5" applyFont="1" applyFill="1"/>
    <xf numFmtId="0" fontId="21" fillId="0" borderId="5" xfId="0" applyFont="1" applyBorder="1" applyAlignment="1">
      <alignment horizontal="center"/>
    </xf>
    <xf numFmtId="0" fontId="22" fillId="0" borderId="5" xfId="0" applyFont="1" applyBorder="1" applyAlignment="1">
      <alignment horizontal="center"/>
    </xf>
    <xf numFmtId="167" fontId="22" fillId="0" borderId="5" xfId="5" applyFont="1" applyBorder="1" applyAlignment="1">
      <alignment horizontal="center"/>
    </xf>
    <xf numFmtId="167" fontId="22" fillId="0" borderId="5" xfId="5" applyFont="1" applyBorder="1"/>
    <xf numFmtId="167" fontId="22" fillId="0" borderId="1" xfId="5" applyFont="1" applyBorder="1"/>
    <xf numFmtId="0" fontId="21" fillId="0" borderId="1" xfId="0" applyFont="1" applyBorder="1" applyAlignment="1">
      <alignment horizontal="center"/>
    </xf>
    <xf numFmtId="0" fontId="22" fillId="0" borderId="1" xfId="0" applyFont="1" applyBorder="1" applyAlignment="1">
      <alignment horizontal="center"/>
    </xf>
    <xf numFmtId="167" fontId="22" fillId="0" borderId="1" xfId="5" applyFont="1" applyBorder="1" applyAlignment="1">
      <alignment horizontal="center"/>
    </xf>
    <xf numFmtId="167" fontId="21" fillId="15" borderId="1" xfId="5" applyFont="1" applyFill="1" applyBorder="1"/>
    <xf numFmtId="0" fontId="22" fillId="0" borderId="0" xfId="0" applyFont="1"/>
    <xf numFmtId="167" fontId="22" fillId="3" borderId="51" xfId="5" applyFont="1" applyFill="1" applyBorder="1"/>
    <xf numFmtId="167" fontId="22" fillId="0" borderId="53" xfId="5" applyFont="1" applyBorder="1"/>
    <xf numFmtId="0" fontId="21" fillId="3" borderId="55" xfId="0" applyFont="1" applyFill="1" applyBorder="1"/>
    <xf numFmtId="167" fontId="21" fillId="15" borderId="56" xfId="0" applyNumberFormat="1" applyFont="1" applyFill="1" applyBorder="1"/>
    <xf numFmtId="167" fontId="22" fillId="0" borderId="0" xfId="5" applyFont="1"/>
    <xf numFmtId="0" fontId="22" fillId="0" borderId="58" xfId="0" applyFont="1" applyBorder="1"/>
    <xf numFmtId="167" fontId="22" fillId="0" borderId="59" xfId="0" applyNumberFormat="1" applyFont="1" applyFill="1" applyBorder="1"/>
    <xf numFmtId="167" fontId="22" fillId="0" borderId="59" xfId="0" applyNumberFormat="1" applyFont="1" applyBorder="1"/>
    <xf numFmtId="167" fontId="22" fillId="0" borderId="60" xfId="0" applyNumberFormat="1" applyFont="1" applyBorder="1"/>
    <xf numFmtId="0" fontId="22" fillId="0" borderId="61" xfId="0" applyFont="1" applyBorder="1"/>
    <xf numFmtId="167" fontId="22" fillId="0" borderId="62" xfId="5" applyFont="1" applyFill="1" applyBorder="1"/>
    <xf numFmtId="167" fontId="22" fillId="0" borderId="62" xfId="5" applyFont="1" applyBorder="1"/>
    <xf numFmtId="167" fontId="22" fillId="0" borderId="63" xfId="5" applyFont="1" applyBorder="1"/>
    <xf numFmtId="0" fontId="21" fillId="3" borderId="64" xfId="0" applyFont="1" applyFill="1" applyBorder="1"/>
    <xf numFmtId="167" fontId="21" fillId="21" borderId="65" xfId="5" applyFont="1" applyFill="1" applyBorder="1"/>
    <xf numFmtId="167" fontId="21" fillId="6" borderId="65" xfId="5" applyFont="1" applyFill="1" applyBorder="1"/>
    <xf numFmtId="167" fontId="21" fillId="12" borderId="65" xfId="5" applyFont="1" applyFill="1" applyBorder="1"/>
    <xf numFmtId="167" fontId="21" fillId="11" borderId="65" xfId="5" applyFont="1" applyFill="1" applyBorder="1"/>
    <xf numFmtId="167" fontId="21" fillId="15" borderId="66" xfId="5" applyFont="1" applyFill="1" applyBorder="1"/>
    <xf numFmtId="167" fontId="22" fillId="0" borderId="0" xfId="0" applyNumberFormat="1" applyFont="1" applyFill="1"/>
    <xf numFmtId="167" fontId="22" fillId="0" borderId="0" xfId="0" applyNumberFormat="1" applyFont="1"/>
    <xf numFmtId="176" fontId="0" fillId="0" borderId="0" xfId="7" applyNumberFormat="1" applyFont="1" applyFill="1"/>
    <xf numFmtId="177" fontId="0" fillId="0" borderId="0" xfId="7" applyNumberFormat="1" applyFont="1" applyFill="1"/>
    <xf numFmtId="0" fontId="24" fillId="15" borderId="1" xfId="0" applyFont="1" applyFill="1" applyBorder="1" applyAlignment="1">
      <alignment horizontal="center" vertical="center" wrapText="1"/>
    </xf>
    <xf numFmtId="165" fontId="24" fillId="15" borderId="1" xfId="0" applyNumberFormat="1" applyFont="1" applyFill="1" applyBorder="1" applyAlignment="1">
      <alignment horizontal="center" vertical="center" wrapText="1"/>
    </xf>
    <xf numFmtId="0" fontId="25" fillId="0" borderId="8" xfId="0" applyFont="1" applyBorder="1"/>
    <xf numFmtId="37" fontId="25" fillId="0" borderId="1" xfId="0" applyNumberFormat="1" applyFont="1" applyBorder="1" applyAlignment="1">
      <alignment horizontal="center"/>
    </xf>
    <xf numFmtId="165" fontId="25" fillId="0" borderId="8" xfId="0" applyNumberFormat="1" applyFont="1" applyBorder="1"/>
    <xf numFmtId="0" fontId="25" fillId="0" borderId="67" xfId="0" applyFont="1" applyBorder="1"/>
    <xf numFmtId="0" fontId="25" fillId="0" borderId="1" xfId="0" applyFont="1" applyBorder="1"/>
    <xf numFmtId="165" fontId="24" fillId="15" borderId="8" xfId="0" applyNumberFormat="1" applyFont="1" applyFill="1" applyBorder="1"/>
    <xf numFmtId="37" fontId="25" fillId="0" borderId="8" xfId="0" applyNumberFormat="1" applyFont="1" applyBorder="1" applyAlignment="1">
      <alignment horizontal="center"/>
    </xf>
    <xf numFmtId="165" fontId="25" fillId="0" borderId="8" xfId="0" applyNumberFormat="1" applyFont="1" applyBorder="1" applyAlignment="1">
      <alignment horizontal="center"/>
    </xf>
    <xf numFmtId="165" fontId="25" fillId="0" borderId="68" xfId="0" applyNumberFormat="1" applyFont="1" applyBorder="1"/>
    <xf numFmtId="178" fontId="25" fillId="0" borderId="68" xfId="0" applyNumberFormat="1" applyFont="1" applyBorder="1" applyAlignment="1">
      <alignment horizontal="center"/>
    </xf>
    <xf numFmtId="165" fontId="25" fillId="0" borderId="34" xfId="0" applyNumberFormat="1" applyFont="1" applyBorder="1"/>
    <xf numFmtId="165" fontId="25" fillId="0" borderId="69" xfId="0" applyNumberFormat="1" applyFont="1" applyBorder="1"/>
    <xf numFmtId="165" fontId="25" fillId="0" borderId="67" xfId="0" applyNumberFormat="1" applyFont="1" applyBorder="1"/>
    <xf numFmtId="178" fontId="25" fillId="0" borderId="8" xfId="0" applyNumberFormat="1" applyFont="1" applyBorder="1" applyAlignment="1">
      <alignment horizontal="center"/>
    </xf>
    <xf numFmtId="165" fontId="25" fillId="0" borderId="1" xfId="0" applyNumberFormat="1" applyFont="1" applyBorder="1"/>
    <xf numFmtId="165" fontId="25" fillId="0" borderId="41" xfId="0" applyNumberFormat="1" applyFont="1" applyBorder="1"/>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0" fontId="25" fillId="0" borderId="67" xfId="0" applyNumberFormat="1" applyFont="1" applyBorder="1" applyAlignment="1">
      <alignment horizontal="center"/>
    </xf>
    <xf numFmtId="176" fontId="0" fillId="0" borderId="0" xfId="7" applyNumberFormat="1" applyFont="1" applyBorder="1"/>
    <xf numFmtId="165" fontId="25" fillId="0" borderId="72" xfId="0" applyNumberFormat="1" applyFont="1" applyBorder="1"/>
    <xf numFmtId="179" fontId="25" fillId="0" borderId="72" xfId="0" applyNumberFormat="1" applyFont="1" applyBorder="1" applyAlignment="1">
      <alignment horizontal="center"/>
    </xf>
    <xf numFmtId="165" fontId="25" fillId="0" borderId="14" xfId="0" applyNumberFormat="1" applyFont="1" applyBorder="1"/>
    <xf numFmtId="165" fontId="25" fillId="0" borderId="15" xfId="0" applyNumberFormat="1" applyFont="1" applyBorder="1"/>
    <xf numFmtId="0" fontId="25" fillId="0" borderId="67" xfId="0" applyFont="1" applyBorder="1" applyAlignment="1">
      <alignment horizontal="center"/>
    </xf>
    <xf numFmtId="176" fontId="25" fillId="0" borderId="67" xfId="0" applyNumberFormat="1" applyFont="1" applyBorder="1" applyAlignment="1">
      <alignment horizontal="center"/>
    </xf>
    <xf numFmtId="165" fontId="25" fillId="0" borderId="5" xfId="0" applyNumberFormat="1" applyFont="1" applyBorder="1"/>
    <xf numFmtId="177" fontId="0" fillId="0" borderId="0" xfId="7" applyNumberFormat="1" applyFont="1" applyBorder="1"/>
    <xf numFmtId="177" fontId="25" fillId="0" borderId="67" xfId="0" applyNumberFormat="1" applyFont="1" applyBorder="1" applyAlignment="1">
      <alignment horizontal="center"/>
    </xf>
    <xf numFmtId="9" fontId="25" fillId="0" borderId="67" xfId="0" applyNumberFormat="1" applyFont="1" applyBorder="1" applyAlignment="1">
      <alignment horizontal="center"/>
    </xf>
    <xf numFmtId="10" fontId="0" fillId="0" borderId="0" xfId="0" applyNumberFormat="1" applyBorder="1"/>
    <xf numFmtId="0" fontId="25" fillId="0" borderId="3" xfId="0" applyFont="1" applyBorder="1"/>
    <xf numFmtId="165" fontId="25" fillId="0" borderId="4" xfId="0" applyNumberFormat="1" applyFont="1" applyBorder="1"/>
    <xf numFmtId="10" fontId="25" fillId="0" borderId="2" xfId="0" applyNumberFormat="1" applyFont="1" applyBorder="1" applyAlignment="1">
      <alignment horizontal="center"/>
    </xf>
    <xf numFmtId="165" fontId="24" fillId="15" borderId="1" xfId="0" applyNumberFormat="1" applyFont="1" applyFill="1" applyBorder="1"/>
    <xf numFmtId="0" fontId="25" fillId="4" borderId="3" xfId="0" applyFont="1" applyFill="1" applyBorder="1"/>
    <xf numFmtId="165" fontId="25" fillId="4" borderId="4" xfId="0" applyNumberFormat="1" applyFont="1" applyFill="1" applyBorder="1"/>
    <xf numFmtId="10" fontId="25" fillId="4" borderId="2" xfId="0" applyNumberFormat="1" applyFont="1" applyFill="1" applyBorder="1" applyAlignment="1">
      <alignment horizontal="center"/>
    </xf>
    <xf numFmtId="165" fontId="24" fillId="4" borderId="1" xfId="0" applyNumberFormat="1" applyFont="1" applyFill="1" applyBorder="1"/>
    <xf numFmtId="0" fontId="26" fillId="0" borderId="0" xfId="0" applyFont="1"/>
    <xf numFmtId="0" fontId="27" fillId="0" borderId="3" xfId="0" applyFont="1" applyBorder="1"/>
    <xf numFmtId="165" fontId="27" fillId="0" borderId="4" xfId="0" applyNumberFormat="1" applyFont="1" applyBorder="1"/>
    <xf numFmtId="165" fontId="27" fillId="0" borderId="2" xfId="0" applyNumberFormat="1" applyFont="1" applyBorder="1"/>
    <xf numFmtId="165" fontId="27" fillId="15" borderId="1" xfId="0" applyNumberFormat="1" applyFont="1" applyFill="1" applyBorder="1"/>
    <xf numFmtId="0" fontId="25" fillId="0" borderId="0" xfId="0" applyFont="1"/>
    <xf numFmtId="165" fontId="25" fillId="0" borderId="0" xfId="0" applyNumberFormat="1" applyFont="1"/>
    <xf numFmtId="0" fontId="3" fillId="9" borderId="8" xfId="0" applyFont="1" applyFill="1" applyBorder="1" applyAlignment="1">
      <alignment horizontal="center" vertical="center"/>
    </xf>
    <xf numFmtId="10" fontId="3" fillId="9" borderId="1" xfId="7" applyNumberFormat="1" applyFont="1" applyFill="1" applyBorder="1" applyAlignment="1">
      <alignment horizontal="center" vertical="center"/>
    </xf>
    <xf numFmtId="0" fontId="0" fillId="9" borderId="1" xfId="0" applyFont="1" applyFill="1" applyBorder="1"/>
    <xf numFmtId="165" fontId="0" fillId="3" borderId="1" xfId="0" applyNumberFormat="1" applyFont="1" applyFill="1" applyBorder="1"/>
    <xf numFmtId="167" fontId="0" fillId="3" borderId="1" xfId="5" applyFont="1" applyFill="1" applyBorder="1"/>
    <xf numFmtId="0" fontId="28" fillId="0" borderId="0" xfId="0" applyFont="1"/>
    <xf numFmtId="0" fontId="0" fillId="9" borderId="8" xfId="0" applyFont="1" applyFill="1" applyBorder="1"/>
    <xf numFmtId="167" fontId="0" fillId="3" borderId="8" xfId="5" applyFont="1" applyFill="1" applyBorder="1"/>
    <xf numFmtId="0" fontId="0" fillId="0" borderId="0" xfId="0" applyFont="1" applyFill="1" applyBorder="1"/>
    <xf numFmtId="167" fontId="0" fillId="0" borderId="0" xfId="5" applyFont="1" applyFill="1" applyBorder="1"/>
    <xf numFmtId="0" fontId="0" fillId="0" borderId="73" xfId="0" applyFill="1" applyBorder="1"/>
    <xf numFmtId="167" fontId="0" fillId="0" borderId="5" xfId="5" applyFont="1" applyFill="1" applyBorder="1"/>
    <xf numFmtId="167" fontId="0" fillId="0" borderId="74" xfId="5" applyFont="1" applyFill="1" applyBorder="1"/>
    <xf numFmtId="0" fontId="0" fillId="0" borderId="16" xfId="0" applyFill="1" applyBorder="1"/>
    <xf numFmtId="167" fontId="0" fillId="0" borderId="1" xfId="5" applyFont="1" applyFill="1" applyBorder="1"/>
    <xf numFmtId="167" fontId="0" fillId="0" borderId="17" xfId="5" applyFont="1" applyFill="1" applyBorder="1"/>
    <xf numFmtId="0" fontId="0" fillId="0" borderId="1" xfId="0" applyFill="1" applyBorder="1"/>
    <xf numFmtId="0" fontId="0" fillId="0" borderId="17" xfId="0" applyFill="1" applyBorder="1"/>
    <xf numFmtId="0" fontId="3" fillId="3" borderId="16" xfId="0" applyFont="1" applyFill="1" applyBorder="1"/>
    <xf numFmtId="167" fontId="0" fillId="3" borderId="1" xfId="0" applyNumberFormat="1" applyFill="1" applyBorder="1"/>
    <xf numFmtId="167" fontId="0" fillId="3" borderId="17" xfId="0" applyNumberFormat="1" applyFill="1" applyBorder="1"/>
    <xf numFmtId="165" fontId="0" fillId="0" borderId="1" xfId="0" applyNumberFormat="1" applyFill="1" applyBorder="1"/>
    <xf numFmtId="165" fontId="0" fillId="0" borderId="17" xfId="0" applyNumberFormat="1" applyFill="1" applyBorder="1"/>
    <xf numFmtId="0" fontId="3" fillId="14" borderId="16" xfId="0" applyFont="1" applyFill="1" applyBorder="1"/>
    <xf numFmtId="167" fontId="0" fillId="14" borderId="1" xfId="0" applyNumberFormat="1" applyFill="1" applyBorder="1"/>
    <xf numFmtId="167" fontId="0" fillId="14" borderId="17" xfId="0" applyNumberFormat="1" applyFill="1" applyBorder="1"/>
    <xf numFmtId="0" fontId="0" fillId="0" borderId="18" xfId="0" applyBorder="1"/>
    <xf numFmtId="0" fontId="0" fillId="0" borderId="14" xfId="0" applyBorder="1"/>
    <xf numFmtId="0" fontId="0" fillId="0" borderId="15" xfId="0" applyBorder="1"/>
    <xf numFmtId="169" fontId="11" fillId="11" borderId="1" xfId="9" applyNumberFormat="1" applyFont="1" applyFill="1" applyBorder="1" applyAlignment="1">
      <alignment horizontal="center"/>
    </xf>
    <xf numFmtId="169" fontId="10" fillId="11" borderId="1" xfId="9" applyNumberFormat="1" applyFont="1" applyFill="1" applyBorder="1"/>
    <xf numFmtId="169" fontId="10" fillId="11" borderId="34" xfId="9" applyNumberFormat="1" applyFont="1" applyFill="1" applyBorder="1"/>
    <xf numFmtId="169" fontId="11" fillId="3" borderId="1" xfId="9" applyNumberFormat="1" applyFont="1" applyFill="1" applyBorder="1" applyAlignment="1">
      <alignment horizontal="center"/>
    </xf>
    <xf numFmtId="169" fontId="11" fillId="3" borderId="17" xfId="9" applyNumberFormat="1" applyFont="1" applyFill="1" applyBorder="1" applyAlignment="1">
      <alignment horizontal="center"/>
    </xf>
    <xf numFmtId="169" fontId="10" fillId="3" borderId="1" xfId="9" applyNumberFormat="1" applyFont="1" applyFill="1" applyBorder="1"/>
    <xf numFmtId="164" fontId="10" fillId="3" borderId="17" xfId="0" applyNumberFormat="1" applyFont="1" applyFill="1" applyBorder="1"/>
    <xf numFmtId="0" fontId="10" fillId="3" borderId="17" xfId="0" applyFont="1" applyFill="1" applyBorder="1"/>
    <xf numFmtId="169" fontId="10" fillId="3" borderId="34" xfId="9" applyNumberFormat="1" applyFont="1" applyFill="1" applyBorder="1"/>
    <xf numFmtId="0" fontId="10" fillId="3" borderId="35" xfId="0" applyFont="1" applyFill="1" applyBorder="1"/>
    <xf numFmtId="169" fontId="10" fillId="3" borderId="17" xfId="0" applyNumberFormat="1" applyFont="1" applyFill="1" applyBorder="1"/>
    <xf numFmtId="169" fontId="10" fillId="3" borderId="8" xfId="9" applyNumberFormat="1" applyFont="1" applyFill="1" applyBorder="1"/>
    <xf numFmtId="0" fontId="10" fillId="3" borderId="41" xfId="0" applyFont="1" applyFill="1" applyBorder="1"/>
    <xf numFmtId="169" fontId="29" fillId="11" borderId="1" xfId="9" applyNumberFormat="1" applyFont="1" applyFill="1" applyBorder="1"/>
    <xf numFmtId="172" fontId="0" fillId="0" borderId="0" xfId="0" applyNumberFormat="1"/>
    <xf numFmtId="180" fontId="20" fillId="2" borderId="0" xfId="6" applyNumberFormat="1" applyFont="1" applyFill="1"/>
    <xf numFmtId="180" fontId="15" fillId="0" borderId="0" xfId="6" applyNumberFormat="1" applyFont="1" applyFill="1"/>
    <xf numFmtId="0" fontId="20" fillId="2" borderId="8" xfId="6" applyNumberFormat="1" applyFont="1" applyFill="1" applyBorder="1" applyAlignment="1">
      <alignment horizontal="center" vertical="center"/>
    </xf>
    <xf numFmtId="180" fontId="20" fillId="2" borderId="1" xfId="6" applyNumberFormat="1" applyFont="1" applyFill="1" applyBorder="1" applyAlignment="1">
      <alignment horizontal="left" vertical="center"/>
    </xf>
    <xf numFmtId="180" fontId="16" fillId="2" borderId="1" xfId="6" applyNumberFormat="1" applyFont="1" applyFill="1" applyBorder="1" applyAlignment="1">
      <alignment vertical="center"/>
    </xf>
    <xf numFmtId="180" fontId="20" fillId="2" borderId="0" xfId="6" applyNumberFormat="1" applyFont="1" applyFill="1" applyAlignment="1">
      <alignment horizontal="left" vertical="center"/>
    </xf>
    <xf numFmtId="180" fontId="15" fillId="2" borderId="75" xfId="6" applyNumberFormat="1" applyFont="1" applyFill="1" applyBorder="1" applyAlignment="1">
      <alignment vertical="center"/>
    </xf>
    <xf numFmtId="180" fontId="18" fillId="2" borderId="75" xfId="6" applyNumberFormat="1" applyFont="1" applyFill="1" applyBorder="1" applyAlignment="1">
      <alignment vertical="center"/>
    </xf>
    <xf numFmtId="180" fontId="20" fillId="2" borderId="75" xfId="6" applyNumberFormat="1" applyFont="1" applyFill="1" applyBorder="1" applyAlignment="1">
      <alignment horizontal="left" vertical="center"/>
    </xf>
    <xf numFmtId="180" fontId="16" fillId="2" borderId="75" xfId="6" applyNumberFormat="1" applyFont="1" applyFill="1" applyBorder="1" applyAlignment="1">
      <alignment vertical="center"/>
    </xf>
    <xf numFmtId="180" fontId="15" fillId="2" borderId="75" xfId="6" applyNumberFormat="1" applyFont="1" applyFill="1" applyBorder="1" applyAlignment="1">
      <alignment horizontal="left" vertical="center"/>
    </xf>
    <xf numFmtId="180" fontId="15" fillId="2" borderId="0" xfId="6" applyNumberFormat="1" applyFont="1" applyFill="1"/>
    <xf numFmtId="180" fontId="15" fillId="2" borderId="0" xfId="6" applyNumberFormat="1" applyFont="1" applyFill="1" applyAlignment="1">
      <alignment vertical="center"/>
    </xf>
    <xf numFmtId="180" fontId="30" fillId="2" borderId="0" xfId="6" applyNumberFormat="1" applyFont="1" applyFill="1" applyAlignment="1">
      <alignment horizontal="center" vertical="center"/>
    </xf>
    <xf numFmtId="180" fontId="31" fillId="2" borderId="0" xfId="6" applyNumberFormat="1" applyFont="1" applyFill="1" applyAlignment="1">
      <alignment horizontal="center" vertical="center"/>
    </xf>
    <xf numFmtId="180" fontId="16" fillId="2" borderId="0" xfId="6" applyNumberFormat="1" applyFont="1" applyFill="1" applyAlignment="1">
      <alignment horizontal="center"/>
    </xf>
    <xf numFmtId="180" fontId="16" fillId="2" borderId="0" xfId="6" applyNumberFormat="1" applyFont="1" applyFill="1" applyAlignment="1">
      <alignment vertical="center"/>
    </xf>
    <xf numFmtId="180" fontId="16" fillId="2" borderId="76" xfId="6" applyNumberFormat="1" applyFont="1" applyFill="1" applyBorder="1" applyAlignment="1">
      <alignment vertical="center"/>
    </xf>
    <xf numFmtId="180" fontId="16" fillId="2" borderId="75" xfId="6" quotePrefix="1" applyNumberFormat="1" applyFont="1" applyFill="1" applyBorder="1" applyAlignment="1">
      <alignment vertical="center"/>
    </xf>
    <xf numFmtId="0" fontId="32" fillId="0" borderId="0" xfId="0" applyFont="1"/>
    <xf numFmtId="0" fontId="7" fillId="0" borderId="0" xfId="0" applyFont="1"/>
    <xf numFmtId="180" fontId="32" fillId="0" borderId="0" xfId="0" applyNumberFormat="1" applyFont="1"/>
    <xf numFmtId="180" fontId="0" fillId="0" borderId="0" xfId="0" applyNumberFormat="1"/>
    <xf numFmtId="180" fontId="16" fillId="0" borderId="75" xfId="6" applyNumberFormat="1" applyFont="1" applyFill="1" applyBorder="1" applyAlignment="1">
      <alignment vertical="center"/>
    </xf>
    <xf numFmtId="0" fontId="7" fillId="0" borderId="0" xfId="0" applyFont="1" applyFill="1"/>
    <xf numFmtId="180" fontId="7" fillId="0" borderId="0" xfId="0" applyNumberFormat="1" applyFont="1"/>
    <xf numFmtId="180" fontId="32" fillId="0" borderId="0" xfId="6" applyNumberFormat="1" applyFont="1"/>
    <xf numFmtId="180" fontId="15" fillId="0" borderId="75" xfId="6" applyNumberFormat="1" applyFont="1" applyFill="1" applyBorder="1" applyAlignment="1">
      <alignment vertical="center"/>
    </xf>
    <xf numFmtId="180" fontId="15" fillId="0" borderId="75" xfId="6" applyNumberFormat="1" applyFont="1" applyFill="1" applyBorder="1" applyAlignment="1">
      <alignment horizontal="left" vertical="center"/>
    </xf>
    <xf numFmtId="0" fontId="3" fillId="2" borderId="5" xfId="0" applyFont="1" applyFill="1" applyBorder="1" applyAlignment="1">
      <alignment horizontal="center"/>
    </xf>
    <xf numFmtId="0" fontId="0" fillId="0" borderId="3" xfId="0" applyBorder="1"/>
    <xf numFmtId="0" fontId="3" fillId="2" borderId="1" xfId="0" applyFont="1" applyFill="1" applyBorder="1" applyAlignment="1">
      <alignment horizontal="center"/>
    </xf>
    <xf numFmtId="0" fontId="3" fillId="14" borderId="1" xfId="0" applyFont="1" applyFill="1" applyBorder="1" applyAlignment="1"/>
    <xf numFmtId="0" fontId="3" fillId="0" borderId="1" xfId="0" applyFont="1" applyBorder="1"/>
    <xf numFmtId="0" fontId="0" fillId="0" borderId="1" xfId="0" applyFont="1" applyFill="1" applyBorder="1" applyAlignment="1" applyProtection="1">
      <protection hidden="1"/>
    </xf>
    <xf numFmtId="172" fontId="0" fillId="0" borderId="1" xfId="6" applyNumberFormat="1" applyFont="1" applyFill="1" applyBorder="1" applyAlignment="1" applyProtection="1">
      <protection hidden="1"/>
    </xf>
    <xf numFmtId="0" fontId="3" fillId="16" borderId="1" xfId="0" applyFont="1" applyFill="1" applyBorder="1"/>
    <xf numFmtId="171" fontId="3" fillId="16" borderId="1" xfId="0" applyNumberFormat="1" applyFont="1" applyFill="1" applyBorder="1"/>
    <xf numFmtId="0" fontId="0" fillId="16" borderId="1" xfId="0" applyFont="1" applyFill="1" applyBorder="1"/>
    <xf numFmtId="172" fontId="3" fillId="16" borderId="1" xfId="6" applyNumberFormat="1" applyFont="1" applyFill="1" applyBorder="1"/>
    <xf numFmtId="0" fontId="3" fillId="2" borderId="1" xfId="0" applyFont="1" applyFill="1" applyBorder="1" applyAlignment="1"/>
    <xf numFmtId="0" fontId="0" fillId="2" borderId="1" xfId="0" applyFont="1" applyFill="1" applyBorder="1" applyAlignment="1"/>
    <xf numFmtId="168" fontId="0" fillId="2" borderId="1" xfId="6" applyFont="1" applyFill="1" applyBorder="1"/>
    <xf numFmtId="172" fontId="0" fillId="0" borderId="1" xfId="6" applyNumberFormat="1" applyFont="1" applyFill="1" applyBorder="1" applyAlignment="1"/>
    <xf numFmtId="171" fontId="0" fillId="0" borderId="1" xfId="3" applyNumberFormat="1" applyFont="1" applyFill="1" applyBorder="1" applyAlignment="1"/>
    <xf numFmtId="171" fontId="3" fillId="0" borderId="1" xfId="0" applyNumberFormat="1" applyFont="1" applyFill="1" applyBorder="1"/>
    <xf numFmtId="172" fontId="0" fillId="0" borderId="1" xfId="6" applyNumberFormat="1" applyFont="1" applyFill="1" applyBorder="1"/>
    <xf numFmtId="168" fontId="0" fillId="0" borderId="1" xfId="6" applyFont="1" applyFill="1" applyBorder="1"/>
    <xf numFmtId="172" fontId="8" fillId="10" borderId="44" xfId="6" applyNumberFormat="1" applyFont="1" applyFill="1" applyBorder="1"/>
    <xf numFmtId="167" fontId="0" fillId="0" borderId="0" xfId="0" applyNumberFormat="1"/>
    <xf numFmtId="0" fontId="0" fillId="0" borderId="0" xfId="0" applyFont="1"/>
    <xf numFmtId="0" fontId="0" fillId="0" borderId="0" xfId="0" applyFont="1" applyFill="1"/>
    <xf numFmtId="0" fontId="3" fillId="0" borderId="5" xfId="0" applyFont="1" applyBorder="1" applyAlignment="1">
      <alignment horizontal="center"/>
    </xf>
    <xf numFmtId="0" fontId="3" fillId="0" borderId="5" xfId="0" applyFont="1" applyFill="1" applyBorder="1" applyAlignment="1">
      <alignment horizontal="center"/>
    </xf>
    <xf numFmtId="0" fontId="3" fillId="0" borderId="1" xfId="0" applyFont="1" applyBorder="1" applyAlignment="1">
      <alignment horizontal="center"/>
    </xf>
    <xf numFmtId="0" fontId="3" fillId="0" borderId="1" xfId="0" applyFont="1" applyFill="1" applyBorder="1" applyAlignment="1">
      <alignment horizontal="center"/>
    </xf>
    <xf numFmtId="0" fontId="1" fillId="0" borderId="1" xfId="0" applyFont="1" applyFill="1" applyBorder="1"/>
    <xf numFmtId="0" fontId="0" fillId="0" borderId="1" xfId="0" applyFont="1" applyFill="1" applyBorder="1"/>
    <xf numFmtId="171" fontId="1" fillId="0" borderId="1" xfId="3" applyNumberFormat="1" applyFont="1" applyFill="1" applyBorder="1"/>
    <xf numFmtId="171" fontId="1" fillId="0" borderId="1" xfId="3" applyNumberFormat="1" applyFont="1" applyFill="1" applyBorder="1" applyAlignment="1" applyProtection="1">
      <protection hidden="1"/>
    </xf>
    <xf numFmtId="0" fontId="0" fillId="0" borderId="1" xfId="0" applyFont="1" applyFill="1" applyBorder="1" applyAlignment="1"/>
    <xf numFmtId="171" fontId="0" fillId="0" borderId="1" xfId="0" applyNumberFormat="1" applyFont="1" applyFill="1" applyBorder="1" applyAlignment="1"/>
    <xf numFmtId="171" fontId="0" fillId="0" borderId="1" xfId="0" applyNumberFormat="1" applyFont="1" applyFill="1" applyBorder="1"/>
    <xf numFmtId="0" fontId="0" fillId="2" borderId="1" xfId="0" applyFont="1" applyFill="1" applyBorder="1"/>
    <xf numFmtId="171" fontId="1" fillId="0" borderId="1" xfId="0" applyNumberFormat="1" applyFont="1" applyFill="1" applyBorder="1"/>
    <xf numFmtId="172" fontId="1" fillId="0" borderId="1" xfId="6" applyNumberFormat="1" applyFont="1" applyFill="1" applyBorder="1" applyAlignment="1" applyProtection="1">
      <protection hidden="1"/>
    </xf>
    <xf numFmtId="168" fontId="1" fillId="0" borderId="1" xfId="6" applyFont="1" applyFill="1" applyBorder="1"/>
    <xf numFmtId="0" fontId="1" fillId="2" borderId="1" xfId="0" applyFont="1" applyFill="1" applyBorder="1"/>
    <xf numFmtId="0" fontId="1" fillId="0" borderId="0" xfId="0" applyFont="1"/>
    <xf numFmtId="0" fontId="0" fillId="2" borderId="0" xfId="0" applyFont="1" applyFill="1"/>
    <xf numFmtId="171" fontId="1" fillId="2" borderId="0" xfId="0" applyNumberFormat="1" applyFont="1" applyFill="1"/>
    <xf numFmtId="171" fontId="0" fillId="2" borderId="0" xfId="0" applyNumberFormat="1" applyFont="1" applyFill="1"/>
    <xf numFmtId="0" fontId="0" fillId="0" borderId="1" xfId="0" applyFont="1" applyBorder="1"/>
    <xf numFmtId="0" fontId="35" fillId="0" borderId="0" xfId="0" applyFont="1"/>
    <xf numFmtId="1" fontId="35" fillId="0" borderId="0" xfId="0" applyNumberFormat="1" applyFont="1"/>
    <xf numFmtId="0" fontId="3" fillId="22" borderId="1" xfId="0" applyFont="1" applyFill="1" applyBorder="1" applyAlignment="1">
      <alignment horizontal="center"/>
    </xf>
    <xf numFmtId="0" fontId="3" fillId="16" borderId="1" xfId="0" applyFont="1" applyFill="1" applyBorder="1" applyAlignment="1">
      <alignment horizontal="center" vertical="center"/>
    </xf>
    <xf numFmtId="0" fontId="3" fillId="16" borderId="1" xfId="0" applyFont="1" applyFill="1" applyBorder="1" applyAlignment="1">
      <alignment horizontal="center"/>
    </xf>
    <xf numFmtId="0" fontId="3" fillId="20" borderId="8" xfId="0" applyFont="1" applyFill="1" applyBorder="1" applyAlignment="1">
      <alignment horizontal="center"/>
    </xf>
    <xf numFmtId="0" fontId="0" fillId="0" borderId="79" xfId="0" applyFill="1" applyBorder="1"/>
    <xf numFmtId="0" fontId="0" fillId="0" borderId="81" xfId="0" applyFill="1" applyBorder="1"/>
    <xf numFmtId="0" fontId="0" fillId="0" borderId="28" xfId="0" applyFill="1" applyBorder="1"/>
    <xf numFmtId="0" fontId="0" fillId="0" borderId="84" xfId="0" applyFill="1" applyBorder="1"/>
    <xf numFmtId="0" fontId="0" fillId="0" borderId="30" xfId="0" applyFill="1" applyBorder="1"/>
    <xf numFmtId="0" fontId="0" fillId="0" borderId="33" xfId="0" applyFill="1" applyBorder="1"/>
    <xf numFmtId="166" fontId="0" fillId="0" borderId="79" xfId="3" applyNumberFormat="1" applyFont="1" applyFill="1" applyBorder="1" applyAlignment="1">
      <alignment horizontal="center" vertical="center"/>
    </xf>
    <xf numFmtId="166" fontId="0" fillId="0" borderId="84" xfId="3" applyNumberFormat="1" applyFont="1" applyFill="1" applyBorder="1" applyAlignment="1">
      <alignment horizontal="center" vertical="center"/>
    </xf>
    <xf numFmtId="166" fontId="0" fillId="0" borderId="81" xfId="3" applyNumberFormat="1" applyFont="1" applyFill="1" applyBorder="1" applyAlignment="1">
      <alignment horizontal="center" vertical="center"/>
    </xf>
    <xf numFmtId="182" fontId="0" fillId="0" borderId="0" xfId="0" applyNumberFormat="1"/>
    <xf numFmtId="0" fontId="37" fillId="2" borderId="26" xfId="0" applyFont="1" applyFill="1" applyBorder="1"/>
    <xf numFmtId="0" fontId="38" fillId="2" borderId="27" xfId="0" applyFont="1" applyFill="1" applyBorder="1" applyAlignment="1">
      <alignment horizontal="center" vertical="center"/>
    </xf>
    <xf numFmtId="0" fontId="37" fillId="2" borderId="27" xfId="0" applyFont="1" applyFill="1" applyBorder="1"/>
    <xf numFmtId="0" fontId="37" fillId="2" borderId="27" xfId="0" applyFont="1" applyFill="1" applyBorder="1" applyAlignment="1">
      <alignment wrapText="1"/>
    </xf>
    <xf numFmtId="0" fontId="37" fillId="2" borderId="28" xfId="0" applyFont="1" applyFill="1" applyBorder="1" applyAlignment="1">
      <alignment wrapText="1"/>
    </xf>
    <xf numFmtId="0" fontId="38" fillId="2" borderId="0" xfId="0" applyFont="1" applyFill="1" applyAlignment="1">
      <alignment horizontal="center" vertical="center"/>
    </xf>
    <xf numFmtId="0" fontId="37" fillId="2" borderId="0" xfId="0" applyFont="1" applyFill="1"/>
    <xf numFmtId="0" fontId="37" fillId="2" borderId="0" xfId="0" applyFont="1" applyFill="1" applyAlignment="1">
      <alignment wrapText="1"/>
    </xf>
    <xf numFmtId="0" fontId="37" fillId="2" borderId="30" xfId="0" applyFont="1" applyFill="1" applyBorder="1" applyAlignment="1">
      <alignment wrapText="1"/>
    </xf>
    <xf numFmtId="0" fontId="37" fillId="2" borderId="31" xfId="0" applyFont="1" applyFill="1" applyBorder="1"/>
    <xf numFmtId="0" fontId="38" fillId="2" borderId="32" xfId="0" applyFont="1" applyFill="1" applyBorder="1" applyAlignment="1">
      <alignment horizontal="center" vertical="center"/>
    </xf>
    <xf numFmtId="0" fontId="37" fillId="2" borderId="32" xfId="0" applyFont="1" applyFill="1" applyBorder="1"/>
    <xf numFmtId="0" fontId="37" fillId="2" borderId="32" xfId="0" applyFont="1" applyFill="1" applyBorder="1" applyAlignment="1">
      <alignment wrapText="1"/>
    </xf>
    <xf numFmtId="0" fontId="37" fillId="2" borderId="33" xfId="0" applyFont="1" applyFill="1" applyBorder="1" applyAlignment="1">
      <alignment wrapText="1"/>
    </xf>
    <xf numFmtId="0" fontId="37" fillId="0" borderId="1" xfId="0" applyFont="1" applyBorder="1"/>
    <xf numFmtId="0" fontId="38" fillId="0" borderId="1" xfId="0" applyFont="1" applyBorder="1" applyAlignment="1">
      <alignment horizontal="center" vertical="center"/>
    </xf>
    <xf numFmtId="0" fontId="37" fillId="0" borderId="1" xfId="0" applyFont="1" applyBorder="1" applyAlignment="1">
      <alignment wrapText="1"/>
    </xf>
    <xf numFmtId="169" fontId="38" fillId="0" borderId="1" xfId="0" applyNumberFormat="1" applyFont="1" applyBorder="1" applyAlignment="1">
      <alignment horizontal="center" vertical="center"/>
    </xf>
    <xf numFmtId="0" fontId="38" fillId="0" borderId="1" xfId="0" applyFont="1" applyBorder="1" applyAlignment="1">
      <alignment horizontal="center" vertical="center" wrapText="1"/>
    </xf>
    <xf numFmtId="184" fontId="0" fillId="0" borderId="0" xfId="0" applyNumberFormat="1"/>
    <xf numFmtId="167" fontId="22" fillId="2" borderId="0" xfId="0" applyNumberFormat="1" applyFont="1" applyFill="1"/>
    <xf numFmtId="169" fontId="38" fillId="0" borderId="1" xfId="9" applyNumberFormat="1" applyFont="1" applyBorder="1" applyAlignment="1">
      <alignment vertical="center" wrapText="1"/>
    </xf>
    <xf numFmtId="169" fontId="22" fillId="2" borderId="0" xfId="9" applyNumberFormat="1" applyFont="1" applyFill="1"/>
    <xf numFmtId="169" fontId="22" fillId="2" borderId="0" xfId="0" applyNumberFormat="1" applyFont="1" applyFill="1"/>
    <xf numFmtId="172" fontId="37" fillId="0" borderId="1" xfId="6" applyNumberFormat="1" applyFont="1" applyBorder="1" applyAlignment="1">
      <alignment wrapText="1"/>
    </xf>
    <xf numFmtId="185" fontId="0" fillId="0" borderId="84" xfId="3" applyNumberFormat="1" applyFont="1" applyFill="1" applyBorder="1" applyAlignment="1">
      <alignment vertical="center"/>
    </xf>
    <xf numFmtId="185" fontId="0" fillId="0" borderId="84" xfId="3" applyNumberFormat="1" applyFont="1" applyFill="1" applyBorder="1" applyAlignment="1">
      <alignment horizontal="center" vertical="center"/>
    </xf>
    <xf numFmtId="185" fontId="0" fillId="0" borderId="81" xfId="3" applyNumberFormat="1" applyFont="1" applyFill="1" applyBorder="1" applyAlignment="1">
      <alignment horizontal="center" vertical="center"/>
    </xf>
    <xf numFmtId="185" fontId="0" fillId="0" borderId="79" xfId="3" applyNumberFormat="1" applyFont="1" applyFill="1" applyBorder="1" applyAlignment="1">
      <alignment vertical="center"/>
    </xf>
    <xf numFmtId="185" fontId="0" fillId="0" borderId="82" xfId="3" applyNumberFormat="1" applyFont="1" applyFill="1" applyBorder="1" applyAlignment="1">
      <alignment vertical="center"/>
    </xf>
    <xf numFmtId="185" fontId="0" fillId="0" borderId="81" xfId="3" applyNumberFormat="1" applyFont="1" applyFill="1" applyBorder="1" applyAlignment="1">
      <alignment vertical="center"/>
    </xf>
    <xf numFmtId="172" fontId="15" fillId="0" borderId="0" xfId="6" applyNumberFormat="1" applyFont="1" applyFill="1" applyAlignment="1"/>
    <xf numFmtId="172" fontId="15" fillId="20" borderId="44" xfId="3" applyNumberFormat="1" applyFont="1" applyFill="1" applyBorder="1" applyAlignment="1"/>
    <xf numFmtId="172" fontId="15" fillId="0" borderId="0" xfId="3" applyNumberFormat="1" applyFont="1" applyFill="1" applyAlignment="1"/>
    <xf numFmtId="172" fontId="15" fillId="0" borderId="0" xfId="6" applyNumberFormat="1" applyFont="1" applyFill="1"/>
    <xf numFmtId="172" fontId="32" fillId="0" borderId="0" xfId="0" applyNumberFormat="1" applyFont="1"/>
    <xf numFmtId="172" fontId="15" fillId="0" borderId="0" xfId="0" applyNumberFormat="1" applyFont="1" applyFill="1" applyAlignment="1"/>
    <xf numFmtId="172" fontId="32" fillId="0" borderId="0" xfId="0" applyNumberFormat="1" applyFont="1" applyFill="1"/>
    <xf numFmtId="172" fontId="15" fillId="20" borderId="44" xfId="0" applyNumberFormat="1" applyFont="1" applyFill="1" applyBorder="1"/>
    <xf numFmtId="172" fontId="15" fillId="0" borderId="0" xfId="6" applyNumberFormat="1" applyFont="1" applyFill="1" applyBorder="1" applyAlignment="1" applyProtection="1">
      <protection hidden="1"/>
    </xf>
    <xf numFmtId="171" fontId="15" fillId="0" borderId="0" xfId="3" applyNumberFormat="1" applyFont="1" applyFill="1"/>
    <xf numFmtId="180" fontId="7" fillId="0" borderId="0" xfId="0" applyNumberFormat="1" applyFont="1" applyFill="1"/>
    <xf numFmtId="172" fontId="0" fillId="0" borderId="0" xfId="0" applyNumberFormat="1" applyFill="1"/>
    <xf numFmtId="0" fontId="32" fillId="0" borderId="1" xfId="0" applyFont="1" applyBorder="1"/>
    <xf numFmtId="171" fontId="32" fillId="0" borderId="1" xfId="3" applyNumberFormat="1" applyFont="1" applyBorder="1"/>
    <xf numFmtId="0" fontId="32" fillId="2" borderId="1" xfId="0" applyFont="1" applyFill="1" applyBorder="1"/>
    <xf numFmtId="172" fontId="32" fillId="2" borderId="1" xfId="6" applyNumberFormat="1" applyFont="1" applyFill="1" applyBorder="1"/>
    <xf numFmtId="171" fontId="32" fillId="2" borderId="1" xfId="3" applyNumberFormat="1" applyFont="1" applyFill="1" applyBorder="1"/>
    <xf numFmtId="0" fontId="40" fillId="0" borderId="0" xfId="0" applyFont="1"/>
    <xf numFmtId="0" fontId="39" fillId="0" borderId="0" xfId="0" applyFont="1"/>
    <xf numFmtId="181" fontId="41" fillId="0" borderId="0" xfId="0" applyNumberFormat="1" applyFont="1"/>
    <xf numFmtId="0" fontId="41" fillId="0" borderId="0" xfId="0" applyFont="1"/>
    <xf numFmtId="0" fontId="0" fillId="0" borderId="79" xfId="0" applyFill="1" applyBorder="1" applyAlignment="1">
      <alignment vertical="center"/>
    </xf>
    <xf numFmtId="0" fontId="0" fillId="0" borderId="81" xfId="0" applyFill="1" applyBorder="1" applyAlignment="1">
      <alignment vertical="center"/>
    </xf>
    <xf numFmtId="186" fontId="0" fillId="0" borderId="0" xfId="0" applyNumberFormat="1"/>
    <xf numFmtId="0" fontId="32" fillId="0" borderId="79" xfId="0" applyFont="1" applyFill="1" applyBorder="1"/>
    <xf numFmtId="185" fontId="32" fillId="0" borderId="79" xfId="3" applyNumberFormat="1" applyFont="1" applyFill="1" applyBorder="1" applyAlignment="1">
      <alignment horizontal="center" vertical="center"/>
    </xf>
    <xf numFmtId="0" fontId="32" fillId="0" borderId="28" xfId="0" applyFont="1" applyFill="1" applyBorder="1"/>
    <xf numFmtId="0" fontId="32" fillId="0" borderId="0" xfId="0" applyFont="1" applyFill="1"/>
    <xf numFmtId="0" fontId="32" fillId="0" borderId="84" xfId="0" applyFont="1" applyFill="1" applyBorder="1"/>
    <xf numFmtId="185" fontId="32" fillId="0" borderId="84" xfId="3" applyNumberFormat="1" applyFont="1" applyFill="1" applyBorder="1" applyAlignment="1">
      <alignment vertical="center"/>
    </xf>
    <xf numFmtId="0" fontId="32" fillId="0" borderId="30" xfId="0" applyFont="1" applyFill="1" applyBorder="1"/>
    <xf numFmtId="185" fontId="32" fillId="0" borderId="84" xfId="3" applyNumberFormat="1" applyFont="1" applyFill="1" applyBorder="1" applyAlignment="1">
      <alignment horizontal="center" vertical="center"/>
    </xf>
    <xf numFmtId="169" fontId="39" fillId="0" borderId="0" xfId="9" applyNumberFormat="1" applyFont="1"/>
    <xf numFmtId="169" fontId="10" fillId="0" borderId="30" xfId="9" applyNumberFormat="1" applyFont="1" applyBorder="1"/>
    <xf numFmtId="0" fontId="10" fillId="0" borderId="31" xfId="0" applyFont="1" applyBorder="1"/>
    <xf numFmtId="0" fontId="10" fillId="0" borderId="33" xfId="0" applyFont="1" applyBorder="1"/>
    <xf numFmtId="0" fontId="10" fillId="0" borderId="26" xfId="0" applyFont="1" applyBorder="1" applyAlignment="1">
      <alignment horizontal="center"/>
    </xf>
    <xf numFmtId="0" fontId="10" fillId="0" borderId="28" xfId="0" applyFont="1" applyBorder="1" applyAlignment="1">
      <alignment horizontal="center"/>
    </xf>
    <xf numFmtId="0" fontId="10" fillId="0" borderId="45" xfId="0" applyFont="1" applyBorder="1"/>
    <xf numFmtId="169" fontId="10" fillId="0" borderId="47" xfId="0" applyNumberFormat="1" applyFont="1" applyBorder="1"/>
    <xf numFmtId="0" fontId="42" fillId="2" borderId="0" xfId="0" applyFont="1" applyFill="1" applyAlignment="1">
      <alignment wrapText="1"/>
    </xf>
    <xf numFmtId="183" fontId="42" fillId="2" borderId="0" xfId="6" applyNumberFormat="1" applyFont="1" applyFill="1" applyBorder="1" applyAlignment="1">
      <alignment wrapText="1"/>
    </xf>
    <xf numFmtId="172" fontId="42" fillId="2" borderId="0" xfId="0" applyNumberFormat="1" applyFont="1" applyFill="1" applyAlignment="1">
      <alignment wrapText="1"/>
    </xf>
    <xf numFmtId="172" fontId="0" fillId="2" borderId="0" xfId="0" applyNumberFormat="1" applyFont="1" applyFill="1"/>
    <xf numFmtId="168" fontId="0" fillId="2" borderId="0" xfId="0" applyNumberFormat="1" applyFont="1" applyFill="1"/>
    <xf numFmtId="10" fontId="0" fillId="0" borderId="0" xfId="0" applyNumberFormat="1"/>
    <xf numFmtId="10" fontId="0" fillId="0" borderId="0" xfId="9" applyNumberFormat="1" applyFont="1"/>
    <xf numFmtId="0" fontId="43" fillId="0" borderId="26" xfId="0" applyFont="1" applyBorder="1"/>
    <xf numFmtId="169" fontId="43" fillId="0" borderId="27" xfId="9" applyNumberFormat="1" applyFont="1" applyBorder="1"/>
    <xf numFmtId="0" fontId="43" fillId="0" borderId="28" xfId="0" applyFont="1" applyBorder="1"/>
    <xf numFmtId="0" fontId="43" fillId="0" borderId="29" xfId="0" applyFont="1" applyBorder="1"/>
    <xf numFmtId="169" fontId="43" fillId="0" borderId="0" xfId="9" applyNumberFormat="1" applyFont="1" applyBorder="1"/>
    <xf numFmtId="0" fontId="43" fillId="0" borderId="30" xfId="0" applyFont="1" applyBorder="1"/>
    <xf numFmtId="170" fontId="43" fillId="0" borderId="0" xfId="9" applyNumberFormat="1" applyFont="1" applyBorder="1"/>
    <xf numFmtId="0" fontId="43" fillId="5" borderId="1" xfId="0" applyFont="1" applyFill="1" applyBorder="1"/>
    <xf numFmtId="169" fontId="43" fillId="10" borderId="1" xfId="9" applyNumberFormat="1" applyFont="1" applyFill="1" applyBorder="1" applyAlignment="1">
      <alignment horizontal="center" vertical="center"/>
    </xf>
    <xf numFmtId="169" fontId="43" fillId="21" borderId="1" xfId="9" applyNumberFormat="1" applyFont="1" applyFill="1" applyBorder="1" applyAlignment="1">
      <alignment horizontal="center" vertical="center"/>
    </xf>
    <xf numFmtId="169" fontId="43" fillId="6" borderId="1" xfId="9" applyNumberFormat="1" applyFont="1" applyFill="1" applyBorder="1" applyAlignment="1">
      <alignment horizontal="center" vertical="center"/>
    </xf>
    <xf numFmtId="169" fontId="43" fillId="22" borderId="1" xfId="9" applyNumberFormat="1" applyFont="1" applyFill="1" applyBorder="1" applyAlignment="1">
      <alignment horizontal="center" vertical="center"/>
    </xf>
    <xf numFmtId="169" fontId="43" fillId="11" borderId="1" xfId="9" applyNumberFormat="1" applyFont="1" applyFill="1" applyBorder="1" applyAlignment="1">
      <alignment horizontal="center" vertical="center"/>
    </xf>
    <xf numFmtId="0" fontId="43" fillId="0" borderId="1" xfId="0" applyFont="1" applyBorder="1"/>
    <xf numFmtId="169" fontId="43" fillId="10" borderId="1" xfId="9" applyNumberFormat="1" applyFont="1" applyFill="1" applyBorder="1"/>
    <xf numFmtId="169" fontId="43" fillId="21" borderId="1" xfId="9" applyNumberFormat="1" applyFont="1" applyFill="1" applyBorder="1"/>
    <xf numFmtId="169" fontId="43" fillId="6" borderId="1" xfId="9" applyNumberFormat="1" applyFont="1" applyFill="1" applyBorder="1"/>
    <xf numFmtId="169" fontId="43" fillId="22" borderId="1" xfId="9" applyNumberFormat="1" applyFont="1" applyFill="1" applyBorder="1"/>
    <xf numFmtId="169" fontId="43" fillId="11" borderId="1" xfId="9" applyNumberFormat="1" applyFont="1" applyFill="1" applyBorder="1"/>
    <xf numFmtId="0" fontId="43" fillId="0" borderId="1" xfId="0" applyFont="1" applyBorder="1" applyAlignment="1">
      <alignment horizontal="left" vertical="center"/>
    </xf>
    <xf numFmtId="0" fontId="44" fillId="0" borderId="0" xfId="0" applyFont="1"/>
    <xf numFmtId="0" fontId="43" fillId="0" borderId="0" xfId="0" applyFont="1"/>
    <xf numFmtId="169" fontId="43" fillId="0" borderId="0" xfId="9" applyNumberFormat="1" applyFont="1"/>
    <xf numFmtId="164" fontId="43" fillId="0" borderId="0" xfId="9" applyNumberFormat="1" applyFont="1" applyBorder="1"/>
    <xf numFmtId="0" fontId="44" fillId="0" borderId="29" xfId="0" applyFont="1" applyBorder="1" applyAlignment="1"/>
    <xf numFmtId="0" fontId="44" fillId="0" borderId="0" xfId="0" applyFont="1" applyBorder="1" applyAlignment="1"/>
    <xf numFmtId="0" fontId="43" fillId="5" borderId="38" xfId="0" applyFont="1" applyFill="1" applyBorder="1"/>
    <xf numFmtId="169" fontId="44" fillId="10" borderId="2" xfId="9" applyNumberFormat="1" applyFont="1" applyFill="1" applyBorder="1" applyAlignment="1">
      <alignment horizontal="center"/>
    </xf>
    <xf numFmtId="169" fontId="44" fillId="10" borderId="1" xfId="9" applyNumberFormat="1" applyFont="1" applyFill="1" applyBorder="1" applyAlignment="1">
      <alignment horizontal="center"/>
    </xf>
    <xf numFmtId="169" fontId="44" fillId="21" borderId="1" xfId="9" applyNumberFormat="1" applyFont="1" applyFill="1" applyBorder="1" applyAlignment="1">
      <alignment horizontal="center"/>
    </xf>
    <xf numFmtId="169" fontId="44" fillId="6" borderId="1" xfId="9" applyNumberFormat="1" applyFont="1" applyFill="1" applyBorder="1" applyAlignment="1">
      <alignment horizontal="center"/>
    </xf>
    <xf numFmtId="169" fontId="44" fillId="16" borderId="1" xfId="9" applyNumberFormat="1" applyFont="1" applyFill="1" applyBorder="1" applyAlignment="1">
      <alignment horizontal="center"/>
    </xf>
    <xf numFmtId="169" fontId="44" fillId="11" borderId="1" xfId="9" applyNumberFormat="1" applyFont="1" applyFill="1" applyBorder="1" applyAlignment="1">
      <alignment horizontal="center"/>
    </xf>
    <xf numFmtId="169" fontId="43" fillId="10" borderId="2" xfId="9" applyNumberFormat="1" applyFont="1" applyFill="1" applyBorder="1"/>
    <xf numFmtId="169" fontId="43" fillId="16" borderId="1" xfId="9" applyNumberFormat="1" applyFont="1" applyFill="1" applyBorder="1"/>
    <xf numFmtId="0" fontId="43" fillId="10" borderId="20" xfId="0" applyFont="1" applyFill="1" applyBorder="1"/>
    <xf numFmtId="169" fontId="43" fillId="10" borderId="34" xfId="9" applyNumberFormat="1" applyFont="1" applyFill="1" applyBorder="1"/>
    <xf numFmtId="169" fontId="43" fillId="21" borderId="34" xfId="9" applyNumberFormat="1" applyFont="1" applyFill="1" applyBorder="1"/>
    <xf numFmtId="169" fontId="43" fillId="6" borderId="34" xfId="9" applyNumberFormat="1" applyFont="1" applyFill="1" applyBorder="1"/>
    <xf numFmtId="169" fontId="43" fillId="16" borderId="34" xfId="9" applyNumberFormat="1" applyFont="1" applyFill="1" applyBorder="1"/>
    <xf numFmtId="169" fontId="43" fillId="11" borderId="34" xfId="9" applyNumberFormat="1" applyFont="1" applyFill="1" applyBorder="1"/>
    <xf numFmtId="169" fontId="43" fillId="10" borderId="2" xfId="0" applyNumberFormat="1" applyFont="1" applyFill="1" applyBorder="1"/>
    <xf numFmtId="0" fontId="43" fillId="10" borderId="11" xfId="0" applyFont="1" applyFill="1" applyBorder="1"/>
    <xf numFmtId="169" fontId="43" fillId="10" borderId="8" xfId="9" applyNumberFormat="1" applyFont="1" applyFill="1" applyBorder="1"/>
    <xf numFmtId="169" fontId="43" fillId="21" borderId="8" xfId="9" applyNumberFormat="1" applyFont="1" applyFill="1" applyBorder="1"/>
    <xf numFmtId="169" fontId="43" fillId="6" borderId="8" xfId="9" applyNumberFormat="1" applyFont="1" applyFill="1" applyBorder="1"/>
    <xf numFmtId="169" fontId="43" fillId="16" borderId="8" xfId="9" applyNumberFormat="1" applyFont="1" applyFill="1" applyBorder="1"/>
    <xf numFmtId="169" fontId="43" fillId="11" borderId="8" xfId="9" applyNumberFormat="1" applyFont="1" applyFill="1" applyBorder="1"/>
    <xf numFmtId="169" fontId="43" fillId="16" borderId="1" xfId="9" applyNumberFormat="1" applyFont="1" applyFill="1" applyBorder="1" applyAlignment="1">
      <alignment horizontal="center" vertical="center"/>
    </xf>
    <xf numFmtId="169" fontId="43" fillId="15" borderId="1" xfId="9" applyNumberFormat="1" applyFont="1" applyFill="1" applyBorder="1" applyAlignment="1">
      <alignment horizontal="center" vertical="center"/>
    </xf>
    <xf numFmtId="169" fontId="43" fillId="15" borderId="1" xfId="9" applyNumberFormat="1" applyFont="1" applyFill="1" applyBorder="1"/>
    <xf numFmtId="169" fontId="43" fillId="0" borderId="0" xfId="9" applyNumberFormat="1" applyFont="1" applyAlignment="1">
      <alignment horizontal="center"/>
    </xf>
    <xf numFmtId="0" fontId="0" fillId="0" borderId="0" xfId="0" applyFill="1" applyBorder="1"/>
    <xf numFmtId="165" fontId="39" fillId="0" borderId="0" xfId="0" applyNumberFormat="1" applyFont="1" applyFill="1"/>
    <xf numFmtId="0" fontId="39" fillId="0" borderId="0" xfId="0" applyFont="1" applyFill="1"/>
    <xf numFmtId="0" fontId="39" fillId="0" borderId="0" xfId="0" applyFont="1" applyFill="1" applyBorder="1" applyAlignment="1">
      <alignment horizontal="center" vertical="center"/>
    </xf>
    <xf numFmtId="9" fontId="39" fillId="0" borderId="0" xfId="7" applyFont="1" applyFill="1" applyBorder="1"/>
    <xf numFmtId="176" fontId="39" fillId="0" borderId="0" xfId="7" applyNumberFormat="1" applyFont="1" applyFill="1" applyBorder="1"/>
    <xf numFmtId="0" fontId="39" fillId="0" borderId="0" xfId="0" applyFont="1" applyFill="1" applyBorder="1"/>
    <xf numFmtId="177" fontId="39" fillId="0" borderId="0" xfId="7" applyNumberFormat="1" applyFont="1" applyFill="1" applyBorder="1"/>
    <xf numFmtId="177" fontId="39" fillId="0" borderId="0" xfId="0" applyNumberFormat="1" applyFont="1" applyFill="1" applyBorder="1"/>
    <xf numFmtId="165" fontId="24" fillId="0" borderId="77" xfId="0" applyNumberFormat="1" applyFont="1" applyFill="1" applyBorder="1" applyAlignment="1">
      <alignment horizontal="center" vertical="center" wrapText="1"/>
    </xf>
    <xf numFmtId="176" fontId="0" fillId="0" borderId="0" xfId="0" applyNumberFormat="1" applyFill="1" applyBorder="1"/>
    <xf numFmtId="0" fontId="32" fillId="0" borderId="26" xfId="0" applyFont="1" applyBorder="1"/>
    <xf numFmtId="167" fontId="32" fillId="0" borderId="27" xfId="5" applyFont="1" applyBorder="1"/>
    <xf numFmtId="0" fontId="20" fillId="0" borderId="27" xfId="0" applyFont="1" applyBorder="1" applyAlignment="1">
      <alignment horizontal="center"/>
    </xf>
    <xf numFmtId="171" fontId="32" fillId="0" borderId="28" xfId="3" applyNumberFormat="1" applyFont="1" applyBorder="1"/>
    <xf numFmtId="171" fontId="32" fillId="0" borderId="3" xfId="3" applyNumberFormat="1" applyFont="1" applyBorder="1"/>
    <xf numFmtId="0" fontId="32" fillId="0" borderId="31" xfId="0" applyFont="1" applyBorder="1"/>
    <xf numFmtId="167" fontId="32" fillId="0" borderId="32" xfId="5" applyFont="1" applyBorder="1"/>
    <xf numFmtId="171" fontId="32" fillId="0" borderId="32" xfId="3" applyNumberFormat="1" applyFont="1" applyBorder="1"/>
    <xf numFmtId="180" fontId="30" fillId="0" borderId="0" xfId="6" applyNumberFormat="1" applyFont="1" applyFill="1" applyAlignment="1">
      <alignment horizontal="center" vertical="center"/>
    </xf>
    <xf numFmtId="180" fontId="16" fillId="0" borderId="0" xfId="6" applyNumberFormat="1" applyFont="1" applyFill="1" applyAlignment="1">
      <alignment horizontal="center"/>
    </xf>
    <xf numFmtId="180" fontId="16" fillId="0" borderId="1" xfId="6" applyNumberFormat="1" applyFont="1" applyFill="1" applyBorder="1" applyAlignment="1">
      <alignment vertical="center"/>
    </xf>
    <xf numFmtId="180" fontId="18" fillId="0" borderId="0" xfId="6" applyNumberFormat="1" applyFont="1" applyFill="1" applyAlignment="1">
      <alignment vertical="center"/>
    </xf>
    <xf numFmtId="180" fontId="18" fillId="0" borderId="75" xfId="6" applyNumberFormat="1" applyFont="1" applyFill="1" applyBorder="1" applyAlignment="1">
      <alignment vertical="center"/>
    </xf>
    <xf numFmtId="180" fontId="18" fillId="0" borderId="76" xfId="6" applyNumberFormat="1" applyFont="1" applyFill="1" applyBorder="1" applyAlignment="1">
      <alignment vertical="center"/>
    </xf>
    <xf numFmtId="180" fontId="32" fillId="0" borderId="0" xfId="0" applyNumberFormat="1" applyFont="1" applyFill="1"/>
    <xf numFmtId="180" fontId="32" fillId="0" borderId="0" xfId="6" applyNumberFormat="1" applyFont="1" applyFill="1"/>
    <xf numFmtId="180" fontId="20" fillId="0" borderId="0" xfId="6" applyNumberFormat="1" applyFont="1" applyFill="1"/>
    <xf numFmtId="180" fontId="15" fillId="0" borderId="76" xfId="6" applyNumberFormat="1" applyFont="1" applyFill="1" applyBorder="1" applyAlignment="1">
      <alignment vertical="center"/>
    </xf>
    <xf numFmtId="180" fontId="20" fillId="0" borderId="75" xfId="6" applyNumberFormat="1" applyFont="1" applyFill="1" applyBorder="1" applyAlignment="1">
      <alignment horizontal="left" vertical="center"/>
    </xf>
    <xf numFmtId="180" fontId="15" fillId="0" borderId="0" xfId="6" applyNumberFormat="1" applyFont="1" applyFill="1" applyAlignment="1">
      <alignment vertical="center"/>
    </xf>
    <xf numFmtId="180" fontId="16" fillId="22" borderId="1" xfId="6" applyNumberFormat="1" applyFont="1" applyFill="1" applyBorder="1" applyAlignment="1">
      <alignment vertical="center"/>
    </xf>
    <xf numFmtId="171" fontId="20" fillId="16" borderId="1" xfId="0" applyNumberFormat="1" applyFont="1" applyFill="1" applyBorder="1"/>
    <xf numFmtId="172" fontId="0" fillId="0" borderId="77" xfId="6" applyNumberFormat="1" applyFont="1" applyFill="1" applyBorder="1" applyAlignment="1" applyProtection="1">
      <protection hidden="1"/>
    </xf>
    <xf numFmtId="172" fontId="3" fillId="22" borderId="1" xfId="6" applyNumberFormat="1" applyFont="1" applyFill="1" applyBorder="1"/>
    <xf numFmtId="0" fontId="0" fillId="0" borderId="84" xfId="0" applyFill="1" applyBorder="1" applyAlignment="1">
      <alignment vertical="center"/>
    </xf>
    <xf numFmtId="0" fontId="47" fillId="0" borderId="0" xfId="0" applyFont="1"/>
    <xf numFmtId="168" fontId="48" fillId="0" borderId="0" xfId="0" applyNumberFormat="1" applyFont="1" applyFill="1"/>
    <xf numFmtId="0" fontId="39" fillId="0" borderId="0" xfId="0" applyFont="1" applyBorder="1"/>
    <xf numFmtId="169" fontId="39" fillId="0" borderId="0" xfId="9" applyNumberFormat="1" applyFont="1" applyBorder="1" applyAlignment="1">
      <alignment horizontal="center"/>
    </xf>
    <xf numFmtId="169" fontId="39" fillId="0" borderId="0" xfId="0" applyNumberFormat="1" applyFont="1" applyBorder="1"/>
    <xf numFmtId="172" fontId="39" fillId="0" borderId="0" xfId="0" applyNumberFormat="1" applyFont="1" applyBorder="1"/>
    <xf numFmtId="172" fontId="39" fillId="0" borderId="0" xfId="0" applyNumberFormat="1" applyFont="1"/>
    <xf numFmtId="0" fontId="37" fillId="0" borderId="0" xfId="0" applyFont="1" applyFill="1" applyBorder="1"/>
    <xf numFmtId="0" fontId="0" fillId="0" borderId="26" xfId="0" applyBorder="1" applyAlignment="1">
      <alignment horizontal="center"/>
    </xf>
    <xf numFmtId="0" fontId="0" fillId="0" borderId="27" xfId="0" applyBorder="1" applyAlignment="1">
      <alignment horizontal="center"/>
    </xf>
    <xf numFmtId="0" fontId="0" fillId="0" borderId="28" xfId="0" applyBorder="1"/>
    <xf numFmtId="0" fontId="0" fillId="0" borderId="29" xfId="0" applyBorder="1"/>
    <xf numFmtId="0" fontId="0" fillId="0" borderId="30" xfId="0" applyBorder="1"/>
    <xf numFmtId="169" fontId="0" fillId="0" borderId="29" xfId="9" applyNumberFormat="1" applyFont="1" applyBorder="1"/>
    <xf numFmtId="169" fontId="0" fillId="0" borderId="0" xfId="0" applyNumberFormat="1" applyBorder="1"/>
    <xf numFmtId="169" fontId="0" fillId="0" borderId="0" xfId="9" applyNumberFormat="1" applyFont="1" applyBorder="1"/>
    <xf numFmtId="0" fontId="0" fillId="0" borderId="30" xfId="0" applyBorder="1" applyAlignment="1">
      <alignment horizontal="center"/>
    </xf>
    <xf numFmtId="169" fontId="0" fillId="0" borderId="0" xfId="9" applyNumberFormat="1" applyFont="1" applyBorder="1" applyAlignment="1">
      <alignment horizontal="right"/>
    </xf>
    <xf numFmtId="169" fontId="0" fillId="0" borderId="29" xfId="0" applyNumberFormat="1" applyBorder="1"/>
    <xf numFmtId="0" fontId="0" fillId="0" borderId="31" xfId="0" applyBorder="1"/>
    <xf numFmtId="0" fontId="0" fillId="0" borderId="32" xfId="0" applyBorder="1"/>
    <xf numFmtId="0" fontId="0" fillId="0" borderId="33" xfId="0" applyBorder="1"/>
    <xf numFmtId="0" fontId="3" fillId="2" borderId="4" xfId="1" applyFont="1" applyFill="1" applyBorder="1" applyAlignment="1">
      <alignment horizontal="center"/>
    </xf>
    <xf numFmtId="0" fontId="3" fillId="0" borderId="0" xfId="0" applyFont="1" applyAlignment="1">
      <alignment horizontal="center"/>
    </xf>
    <xf numFmtId="180" fontId="20" fillId="22" borderId="1" xfId="6" applyNumberFormat="1" applyFont="1" applyFill="1" applyBorder="1" applyAlignment="1">
      <alignment horizontal="left" vertical="center"/>
    </xf>
    <xf numFmtId="180" fontId="33" fillId="0" borderId="0" xfId="6" applyNumberFormat="1" applyFont="1" applyAlignment="1">
      <alignment horizontal="center" vertical="center"/>
    </xf>
    <xf numFmtId="180" fontId="20" fillId="0" borderId="0" xfId="6" applyNumberFormat="1" applyFont="1" applyFill="1" applyAlignment="1">
      <alignment horizontal="left" vertical="center"/>
    </xf>
    <xf numFmtId="0" fontId="3" fillId="0" borderId="9" xfId="0" applyFont="1" applyBorder="1" applyAlignment="1">
      <alignment horizontal="center"/>
    </xf>
    <xf numFmtId="0" fontId="0" fillId="0" borderId="0" xfId="0" applyAlignment="1">
      <alignment horizontal="center"/>
    </xf>
    <xf numFmtId="0" fontId="34" fillId="0" borderId="1" xfId="0" applyFont="1" applyFill="1" applyBorder="1" applyAlignment="1">
      <alignment horizontal="center"/>
    </xf>
    <xf numFmtId="181" fontId="34" fillId="0" borderId="1" xfId="0" applyNumberFormat="1" applyFont="1" applyFill="1" applyBorder="1" applyAlignment="1">
      <alignment horizontal="center"/>
    </xf>
    <xf numFmtId="0" fontId="35" fillId="0" borderId="1" xfId="0" applyFont="1" applyFill="1" applyBorder="1"/>
    <xf numFmtId="181" fontId="35" fillId="0" borderId="1" xfId="0" applyNumberFormat="1" applyFont="1" applyFill="1" applyBorder="1"/>
    <xf numFmtId="0" fontId="34" fillId="0" borderId="1" xfId="0" applyFont="1" applyFill="1" applyBorder="1"/>
    <xf numFmtId="181" fontId="34" fillId="0" borderId="1" xfId="0" applyNumberFormat="1" applyFont="1" applyFill="1" applyBorder="1"/>
    <xf numFmtId="0" fontId="34" fillId="0" borderId="0" xfId="0" applyFont="1" applyFill="1" applyBorder="1"/>
    <xf numFmtId="181" fontId="34" fillId="0" borderId="0" xfId="0" applyNumberFormat="1" applyFont="1" applyFill="1" applyBorder="1"/>
    <xf numFmtId="42" fontId="34" fillId="0" borderId="1" xfId="0" applyNumberFormat="1" applyFont="1" applyFill="1" applyBorder="1"/>
    <xf numFmtId="9" fontId="36" fillId="0" borderId="0" xfId="7" applyFont="1" applyFill="1" applyBorder="1" applyAlignment="1">
      <alignment horizontal="center" vertical="center"/>
    </xf>
    <xf numFmtId="9" fontId="34" fillId="0" borderId="1" xfId="10" applyNumberFormat="1" applyFont="1" applyFill="1" applyBorder="1"/>
    <xf numFmtId="187" fontId="34" fillId="0" borderId="0" xfId="0" applyNumberFormat="1" applyFont="1" applyFill="1" applyBorder="1"/>
    <xf numFmtId="0" fontId="35" fillId="0" borderId="0" xfId="0" applyFont="1" applyFill="1"/>
    <xf numFmtId="181" fontId="0" fillId="0" borderId="0" xfId="0" applyNumberFormat="1" applyFill="1"/>
    <xf numFmtId="9" fontId="0" fillId="0" borderId="0" xfId="10" applyFont="1" applyFill="1"/>
    <xf numFmtId="168" fontId="0" fillId="0" borderId="0" xfId="0" applyNumberFormat="1"/>
    <xf numFmtId="0" fontId="3" fillId="5" borderId="25" xfId="1" applyFont="1" applyFill="1" applyBorder="1" applyAlignment="1">
      <alignment horizontal="left"/>
    </xf>
    <xf numFmtId="0" fontId="3" fillId="5" borderId="9" xfId="1" applyFont="1" applyFill="1" applyBorder="1" applyAlignment="1">
      <alignment horizontal="left"/>
    </xf>
    <xf numFmtId="0" fontId="3" fillId="5" borderId="11" xfId="1" applyFont="1" applyFill="1" applyBorder="1" applyAlignment="1">
      <alignment horizontal="left"/>
    </xf>
    <xf numFmtId="0" fontId="3" fillId="3" borderId="1" xfId="1" applyFont="1" applyFill="1" applyBorder="1" applyAlignment="1">
      <alignment horizontal="center"/>
    </xf>
    <xf numFmtId="0" fontId="3" fillId="4" borderId="22" xfId="1" applyFont="1" applyFill="1" applyBorder="1" applyAlignment="1">
      <alignment horizontal="center"/>
    </xf>
    <xf numFmtId="0" fontId="3" fillId="4" borderId="4" xfId="1" applyFont="1" applyFill="1" applyBorder="1" applyAlignment="1">
      <alignment horizontal="center"/>
    </xf>
    <xf numFmtId="0" fontId="3" fillId="4" borderId="23" xfId="1" applyFont="1" applyFill="1" applyBorder="1" applyAlignment="1">
      <alignment horizontal="center"/>
    </xf>
    <xf numFmtId="0" fontId="9" fillId="4" borderId="18" xfId="1" applyFont="1" applyFill="1" applyBorder="1" applyAlignment="1">
      <alignment horizontal="left" vertical="center"/>
    </xf>
    <xf numFmtId="0" fontId="9" fillId="4" borderId="14" xfId="1" applyFont="1" applyFill="1" applyBorder="1" applyAlignment="1">
      <alignment horizontal="left" vertical="center"/>
    </xf>
    <xf numFmtId="0" fontId="5" fillId="4" borderId="22"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23" xfId="1" applyFont="1" applyFill="1" applyBorder="1" applyAlignment="1">
      <alignment horizontal="center" vertical="center"/>
    </xf>
    <xf numFmtId="0" fontId="3" fillId="5" borderId="19" xfId="1" applyFont="1" applyFill="1" applyBorder="1" applyAlignment="1">
      <alignment horizontal="left"/>
    </xf>
    <xf numFmtId="0" fontId="3" fillId="5" borderId="13" xfId="1" applyFont="1" applyFill="1" applyBorder="1" applyAlignment="1">
      <alignment horizontal="left"/>
    </xf>
    <xf numFmtId="0" fontId="3" fillId="5" borderId="20" xfId="1" applyFont="1" applyFill="1" applyBorder="1" applyAlignment="1">
      <alignment horizontal="left"/>
    </xf>
    <xf numFmtId="0" fontId="3" fillId="5" borderId="1" xfId="1" applyFont="1" applyFill="1" applyBorder="1" applyAlignment="1">
      <alignment horizontal="left"/>
    </xf>
    <xf numFmtId="0" fontId="3" fillId="5" borderId="6" xfId="1" applyFont="1" applyFill="1" applyBorder="1" applyAlignment="1">
      <alignment horizontal="left"/>
    </xf>
    <xf numFmtId="0" fontId="3" fillId="5" borderId="7" xfId="1" applyFont="1" applyFill="1" applyBorder="1" applyAlignment="1">
      <alignment horizontal="left"/>
    </xf>
    <xf numFmtId="0" fontId="3" fillId="5" borderId="24" xfId="1" applyFont="1" applyFill="1" applyBorder="1" applyAlignment="1">
      <alignment horizontal="left"/>
    </xf>
    <xf numFmtId="0" fontId="3" fillId="5" borderId="3" xfId="1" applyFont="1" applyFill="1" applyBorder="1" applyAlignment="1">
      <alignment horizontal="left"/>
    </xf>
    <xf numFmtId="0" fontId="3" fillId="5" borderId="4" xfId="1" applyFont="1" applyFill="1" applyBorder="1" applyAlignment="1">
      <alignment horizontal="left"/>
    </xf>
    <xf numFmtId="0" fontId="3" fillId="5" borderId="2" xfId="1" applyFont="1" applyFill="1" applyBorder="1" applyAlignment="1">
      <alignment horizontal="left"/>
    </xf>
    <xf numFmtId="0" fontId="3" fillId="5" borderId="10" xfId="1" applyFont="1" applyFill="1" applyBorder="1" applyAlignment="1">
      <alignment horizontal="left"/>
    </xf>
    <xf numFmtId="0" fontId="3" fillId="8" borderId="3" xfId="1" applyFont="1" applyFill="1" applyBorder="1" applyAlignment="1">
      <alignment horizontal="center" vertical="center"/>
    </xf>
    <xf numFmtId="0" fontId="3" fillId="8" borderId="4" xfId="1" applyFont="1" applyFill="1" applyBorder="1" applyAlignment="1">
      <alignment horizontal="center" vertical="center"/>
    </xf>
    <xf numFmtId="0" fontId="3" fillId="8" borderId="2" xfId="1" applyFont="1" applyFill="1" applyBorder="1" applyAlignment="1">
      <alignment horizontal="center" vertical="center"/>
    </xf>
    <xf numFmtId="0" fontId="3" fillId="6" borderId="10" xfId="1" applyFont="1" applyFill="1" applyBorder="1" applyAlignment="1">
      <alignment horizontal="left"/>
    </xf>
    <xf numFmtId="0" fontId="3" fillId="6" borderId="9" xfId="1" applyFont="1" applyFill="1" applyBorder="1" applyAlignment="1">
      <alignment horizontal="left"/>
    </xf>
    <xf numFmtId="0" fontId="3" fillId="6" borderId="11" xfId="1" applyFont="1" applyFill="1" applyBorder="1" applyAlignment="1">
      <alignment horizontal="left"/>
    </xf>
    <xf numFmtId="0" fontId="3" fillId="2" borderId="3" xfId="1" applyFont="1" applyFill="1" applyBorder="1" applyAlignment="1">
      <alignment horizontal="center"/>
    </xf>
    <xf numFmtId="0" fontId="3" fillId="2" borderId="4"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4" borderId="19" xfId="1" applyFont="1" applyFill="1" applyBorder="1" applyAlignment="1">
      <alignment horizontal="center"/>
    </xf>
    <xf numFmtId="0" fontId="3" fillId="4" borderId="13" xfId="1" applyFont="1" applyFill="1" applyBorder="1" applyAlignment="1">
      <alignment horizontal="center"/>
    </xf>
    <xf numFmtId="0" fontId="3" fillId="4" borderId="21" xfId="1" applyFont="1" applyFill="1" applyBorder="1" applyAlignment="1">
      <alignment horizontal="center"/>
    </xf>
    <xf numFmtId="0" fontId="3" fillId="7" borderId="22" xfId="1" applyFont="1" applyFill="1" applyBorder="1" applyAlignment="1">
      <alignment horizontal="left" vertical="center"/>
    </xf>
    <xf numFmtId="0" fontId="3" fillId="7" borderId="4" xfId="1" applyFont="1" applyFill="1" applyBorder="1" applyAlignment="1">
      <alignment horizontal="left" vertical="center"/>
    </xf>
    <xf numFmtId="0" fontId="3" fillId="7" borderId="23" xfId="1" applyFont="1" applyFill="1" applyBorder="1" applyAlignment="1">
      <alignment horizontal="left" vertical="center"/>
    </xf>
    <xf numFmtId="0" fontId="3" fillId="2" borderId="22" xfId="1" applyFont="1" applyFill="1" applyBorder="1" applyAlignment="1">
      <alignment horizontal="center" vertical="center"/>
    </xf>
    <xf numFmtId="0" fontId="3" fillId="7" borderId="2" xfId="1" applyFont="1" applyFill="1" applyBorder="1" applyAlignment="1">
      <alignment horizontal="left" vertical="center"/>
    </xf>
    <xf numFmtId="0" fontId="3" fillId="7" borderId="22" xfId="1" applyFont="1" applyFill="1" applyBorder="1" applyAlignment="1">
      <alignment horizontal="left"/>
    </xf>
    <xf numFmtId="0" fontId="3" fillId="7" borderId="4" xfId="1" applyFont="1" applyFill="1" applyBorder="1" applyAlignment="1">
      <alignment horizontal="left"/>
    </xf>
    <xf numFmtId="0" fontId="9"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0" fontId="46" fillId="0" borderId="0" xfId="0" applyFont="1" applyAlignment="1">
      <alignment horizontal="center" vertical="center"/>
    </xf>
    <xf numFmtId="0" fontId="43" fillId="0" borderId="3" xfId="0" applyFont="1" applyBorder="1" applyAlignment="1">
      <alignment horizontal="center"/>
    </xf>
    <xf numFmtId="0" fontId="43" fillId="0" borderId="2" xfId="0" applyFont="1" applyBorder="1" applyAlignment="1">
      <alignment horizont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169" fontId="44" fillId="10" borderId="42" xfId="0" applyNumberFormat="1" applyFont="1" applyFill="1" applyBorder="1" applyAlignment="1">
      <alignment horizontal="center"/>
    </xf>
    <xf numFmtId="0" fontId="44" fillId="10" borderId="36" xfId="0" applyFont="1" applyFill="1" applyBorder="1" applyAlignment="1">
      <alignment horizontal="center"/>
    </xf>
    <xf numFmtId="169" fontId="44" fillId="21" borderId="42" xfId="0" applyNumberFormat="1" applyFont="1" applyFill="1" applyBorder="1" applyAlignment="1">
      <alignment horizontal="center"/>
    </xf>
    <xf numFmtId="0" fontId="44" fillId="21" borderId="36" xfId="0" applyFont="1" applyFill="1" applyBorder="1" applyAlignment="1">
      <alignment horizontal="center"/>
    </xf>
    <xf numFmtId="169" fontId="44" fillId="6" borderId="42" xfId="0" applyNumberFormat="1" applyFont="1" applyFill="1" applyBorder="1" applyAlignment="1">
      <alignment horizontal="center"/>
    </xf>
    <xf numFmtId="0" fontId="44" fillId="6" borderId="36" xfId="0" applyFont="1" applyFill="1" applyBorder="1" applyAlignment="1">
      <alignment horizontal="center"/>
    </xf>
    <xf numFmtId="169" fontId="43" fillId="10" borderId="13" xfId="9" applyNumberFormat="1" applyFont="1" applyFill="1" applyBorder="1" applyAlignment="1">
      <alignment horizontal="center" vertical="center"/>
    </xf>
    <xf numFmtId="169" fontId="43" fillId="10" borderId="20" xfId="9" applyNumberFormat="1" applyFont="1" applyFill="1" applyBorder="1" applyAlignment="1">
      <alignment horizontal="center" vertical="center"/>
    </xf>
    <xf numFmtId="169" fontId="44" fillId="10" borderId="42" xfId="9" applyNumberFormat="1" applyFont="1" applyFill="1" applyBorder="1" applyAlignment="1"/>
    <xf numFmtId="169" fontId="44" fillId="10" borderId="36" xfId="9" applyNumberFormat="1" applyFont="1" applyFill="1" applyBorder="1" applyAlignment="1"/>
    <xf numFmtId="169" fontId="44" fillId="21" borderId="42" xfId="9" applyNumberFormat="1" applyFont="1" applyFill="1" applyBorder="1" applyAlignment="1"/>
    <xf numFmtId="169" fontId="44" fillId="21" borderId="36" xfId="9" applyNumberFormat="1" applyFont="1" applyFill="1" applyBorder="1" applyAlignment="1"/>
    <xf numFmtId="169" fontId="44" fillId="6" borderId="42" xfId="9" applyNumberFormat="1" applyFont="1" applyFill="1" applyBorder="1" applyAlignment="1"/>
    <xf numFmtId="169" fontId="44" fillId="6" borderId="36" xfId="9" applyNumberFormat="1" applyFont="1" applyFill="1" applyBorder="1" applyAlignment="1"/>
    <xf numFmtId="0" fontId="43" fillId="0" borderId="1" xfId="0" applyFont="1" applyBorder="1" applyAlignment="1">
      <alignment horizontal="center" vertical="center" wrapText="1"/>
    </xf>
    <xf numFmtId="169" fontId="11" fillId="11" borderId="42" xfId="0" applyNumberFormat="1" applyFont="1" applyFill="1" applyBorder="1" applyAlignment="1">
      <alignment horizontal="center"/>
    </xf>
    <xf numFmtId="0" fontId="11" fillId="11" borderId="36" xfId="0" applyFont="1" applyFill="1" applyBorder="1" applyAlignment="1">
      <alignment horizontal="center"/>
    </xf>
    <xf numFmtId="169" fontId="11" fillId="3" borderId="42" xfId="0" applyNumberFormat="1" applyFont="1" applyFill="1" applyBorder="1" applyAlignment="1">
      <alignment horizontal="center"/>
    </xf>
    <xf numFmtId="0" fontId="11" fillId="3" borderId="36" xfId="0" applyFont="1" applyFill="1" applyBorder="1" applyAlignment="1">
      <alignment horizontal="center"/>
    </xf>
    <xf numFmtId="169" fontId="44" fillId="16" borderId="42" xfId="0" applyNumberFormat="1" applyFont="1" applyFill="1" applyBorder="1" applyAlignment="1">
      <alignment horizontal="center"/>
    </xf>
    <xf numFmtId="0" fontId="44" fillId="16" borderId="36" xfId="0" applyFont="1" applyFill="1" applyBorder="1" applyAlignment="1">
      <alignment horizontal="center"/>
    </xf>
    <xf numFmtId="169" fontId="10" fillId="11" borderId="34" xfId="9" applyNumberFormat="1" applyFont="1" applyFill="1" applyBorder="1" applyAlignment="1">
      <alignment horizontal="center" vertical="center"/>
    </xf>
    <xf numFmtId="169" fontId="10" fillId="3" borderId="34" xfId="9" applyNumberFormat="1" applyFont="1" applyFill="1" applyBorder="1" applyAlignment="1">
      <alignment horizontal="center" vertical="center"/>
    </xf>
    <xf numFmtId="169" fontId="10" fillId="3" borderId="35" xfId="9" applyNumberFormat="1" applyFont="1" applyFill="1" applyBorder="1" applyAlignment="1">
      <alignment horizontal="center" vertical="center"/>
    </xf>
    <xf numFmtId="169" fontId="44" fillId="16" borderId="42" xfId="9" applyNumberFormat="1" applyFont="1" applyFill="1" applyBorder="1" applyAlignment="1"/>
    <xf numFmtId="169" fontId="44" fillId="16" borderId="36" xfId="9" applyNumberFormat="1" applyFont="1" applyFill="1" applyBorder="1" applyAlignment="1"/>
    <xf numFmtId="169" fontId="11" fillId="11" borderId="42" xfId="9" applyNumberFormat="1" applyFont="1" applyFill="1" applyBorder="1" applyAlignment="1"/>
    <xf numFmtId="169" fontId="11" fillId="11" borderId="36" xfId="9" applyNumberFormat="1" applyFont="1" applyFill="1" applyBorder="1" applyAlignment="1"/>
    <xf numFmtId="169" fontId="11" fillId="3" borderId="42" xfId="9" applyNumberFormat="1" applyFont="1" applyFill="1" applyBorder="1" applyAlignment="1"/>
    <xf numFmtId="169" fontId="11" fillId="3" borderId="36" xfId="9" applyNumberFormat="1" applyFont="1" applyFill="1" applyBorder="1" applyAlignment="1"/>
    <xf numFmtId="169" fontId="43" fillId="5" borderId="1" xfId="9" applyNumberFormat="1" applyFont="1" applyFill="1" applyBorder="1" applyAlignment="1">
      <alignment horizontal="center" vertical="center"/>
    </xf>
    <xf numFmtId="169" fontId="43" fillId="0" borderId="3" xfId="9" applyNumberFormat="1" applyFont="1" applyBorder="1" applyAlignment="1">
      <alignment horizontal="center"/>
    </xf>
    <xf numFmtId="169" fontId="43" fillId="0" borderId="2" xfId="9" applyNumberFormat="1" applyFont="1" applyBorder="1" applyAlignment="1">
      <alignment horizontal="center"/>
    </xf>
    <xf numFmtId="0" fontId="43" fillId="0" borderId="29" xfId="0" applyFont="1" applyBorder="1" applyAlignment="1">
      <alignment horizontal="center"/>
    </xf>
    <xf numFmtId="0" fontId="43" fillId="0" borderId="0" xfId="0" applyFont="1" applyBorder="1" applyAlignment="1">
      <alignment horizontal="center"/>
    </xf>
    <xf numFmtId="169" fontId="43" fillId="21" borderId="34" xfId="9" applyNumberFormat="1" applyFont="1" applyFill="1" applyBorder="1" applyAlignment="1">
      <alignment horizontal="center" vertical="center"/>
    </xf>
    <xf numFmtId="169" fontId="43" fillId="6" borderId="34" xfId="9" applyNumberFormat="1" applyFont="1" applyFill="1" applyBorder="1" applyAlignment="1">
      <alignment horizontal="center" vertical="center"/>
    </xf>
    <xf numFmtId="169" fontId="43" fillId="16" borderId="34" xfId="9" applyNumberFormat="1" applyFont="1" applyFill="1" applyBorder="1" applyAlignment="1">
      <alignment horizontal="center" vertical="center"/>
    </xf>
    <xf numFmtId="0" fontId="23" fillId="0" borderId="0" xfId="0" applyFont="1" applyAlignment="1">
      <alignment horizontal="center"/>
    </xf>
    <xf numFmtId="0" fontId="25" fillId="0" borderId="37"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1" fillId="9" borderId="1" xfId="0" applyFont="1" applyFill="1" applyBorder="1" applyAlignment="1">
      <alignment horizontal="center"/>
    </xf>
    <xf numFmtId="0" fontId="3" fillId="21" borderId="45" xfId="0" applyFont="1" applyFill="1" applyBorder="1" applyAlignment="1">
      <alignment horizontal="center"/>
    </xf>
    <xf numFmtId="0" fontId="3" fillId="21" borderId="46" xfId="0" applyFont="1" applyFill="1" applyBorder="1" applyAlignment="1">
      <alignment horizontal="center"/>
    </xf>
    <xf numFmtId="0" fontId="3" fillId="21" borderId="47" xfId="0" applyFont="1" applyFill="1" applyBorder="1" applyAlignment="1">
      <alignment horizontal="center"/>
    </xf>
    <xf numFmtId="167" fontId="0" fillId="0" borderId="9" xfId="5" applyFont="1" applyBorder="1" applyAlignment="1">
      <alignment horizontal="center"/>
    </xf>
    <xf numFmtId="167" fontId="0" fillId="0" borderId="11" xfId="5" applyFont="1" applyBorder="1" applyAlignment="1">
      <alignment horizontal="center"/>
    </xf>
    <xf numFmtId="174" fontId="15" fillId="0" borderId="45" xfId="0" applyNumberFormat="1" applyFont="1" applyBorder="1" applyAlignment="1">
      <alignment horizontal="center"/>
    </xf>
    <xf numFmtId="174" fontId="15" fillId="0" borderId="46" xfId="0" applyNumberFormat="1" applyFont="1" applyBorder="1" applyAlignment="1">
      <alignment horizontal="center"/>
    </xf>
    <xf numFmtId="174" fontId="15" fillId="0" borderId="47" xfId="0" applyNumberFormat="1" applyFont="1" applyBorder="1" applyAlignment="1">
      <alignment horizontal="center"/>
    </xf>
    <xf numFmtId="0" fontId="32" fillId="0" borderId="16" xfId="0" applyFont="1" applyBorder="1" applyAlignment="1">
      <alignment horizontal="left"/>
    </xf>
    <xf numFmtId="0" fontId="32" fillId="0" borderId="1" xfId="0" applyFont="1" applyBorder="1" applyAlignment="1">
      <alignment horizontal="left"/>
    </xf>
    <xf numFmtId="180" fontId="20" fillId="0" borderId="1" xfId="6" applyNumberFormat="1" applyFont="1" applyFill="1" applyBorder="1" applyAlignment="1">
      <alignment horizontal="left" vertical="center"/>
    </xf>
    <xf numFmtId="180" fontId="20" fillId="22" borderId="1" xfId="6" applyNumberFormat="1" applyFont="1" applyFill="1" applyBorder="1" applyAlignment="1">
      <alignment horizontal="left" vertical="center"/>
    </xf>
    <xf numFmtId="180" fontId="33" fillId="0" borderId="0" xfId="6" applyNumberFormat="1" applyFont="1" applyAlignment="1">
      <alignment horizontal="center" vertical="center"/>
    </xf>
    <xf numFmtId="180" fontId="31" fillId="0" borderId="0" xfId="6" applyNumberFormat="1" applyFont="1" applyAlignment="1">
      <alignment horizontal="center" vertical="center"/>
    </xf>
    <xf numFmtId="180" fontId="20" fillId="0" borderId="0" xfId="6" applyNumberFormat="1" applyFont="1" applyFill="1" applyAlignment="1">
      <alignment horizontal="left" vertical="center"/>
    </xf>
    <xf numFmtId="0" fontId="21" fillId="3" borderId="1" xfId="0" applyFont="1" applyFill="1" applyBorder="1" applyAlignment="1">
      <alignment horizontal="center"/>
    </xf>
    <xf numFmtId="0" fontId="21" fillId="0" borderId="50" xfId="0" applyFont="1" applyBorder="1" applyAlignment="1">
      <alignment horizontal="center"/>
    </xf>
    <xf numFmtId="0" fontId="21" fillId="0" borderId="0" xfId="0" applyFont="1" applyAlignment="1">
      <alignment horizontal="center"/>
    </xf>
    <xf numFmtId="0" fontId="21" fillId="2" borderId="50" xfId="0" applyFont="1" applyFill="1" applyBorder="1" applyAlignment="1">
      <alignment horizontal="center"/>
    </xf>
    <xf numFmtId="0" fontId="21" fillId="0" borderId="0" xfId="0" applyFont="1" applyBorder="1" applyAlignment="1">
      <alignment horizontal="center"/>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21" borderId="1" xfId="0" applyFont="1" applyFill="1" applyBorder="1" applyAlignment="1">
      <alignment horizontal="center" vertical="center" wrapText="1"/>
    </xf>
    <xf numFmtId="0" fontId="21" fillId="9" borderId="0"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2" borderId="0" xfId="0" applyFont="1" applyFill="1" applyBorder="1" applyAlignment="1">
      <alignment horizontal="center"/>
    </xf>
    <xf numFmtId="0" fontId="3" fillId="2" borderId="30" xfId="0" applyFont="1"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3" fillId="2" borderId="33" xfId="0" applyFont="1" applyFill="1" applyBorder="1" applyAlignment="1">
      <alignment horizontal="center"/>
    </xf>
    <xf numFmtId="0" fontId="0" fillId="0" borderId="0" xfId="0" applyFont="1" applyAlignment="1">
      <alignment horizontal="center"/>
    </xf>
    <xf numFmtId="0" fontId="3" fillId="0" borderId="9" xfId="0" applyFont="1" applyBorder="1" applyAlignment="1">
      <alignment horizontal="center"/>
    </xf>
    <xf numFmtId="0" fontId="34" fillId="0" borderId="7" xfId="0" applyFont="1" applyFill="1" applyBorder="1" applyAlignment="1">
      <alignment horizontal="center"/>
    </xf>
    <xf numFmtId="0" fontId="0" fillId="0" borderId="78" xfId="0" applyFill="1" applyBorder="1" applyAlignment="1">
      <alignment horizontal="center" vertical="center"/>
    </xf>
    <xf numFmtId="0" fontId="0" fillId="0" borderId="83" xfId="0" applyFill="1" applyBorder="1" applyAlignment="1">
      <alignment horizontal="center" vertical="center"/>
    </xf>
    <xf numFmtId="0" fontId="0" fillId="0" borderId="80" xfId="0" applyFill="1" applyBorder="1" applyAlignment="1">
      <alignment horizontal="center" vertical="center"/>
    </xf>
    <xf numFmtId="0" fontId="3" fillId="22" borderId="7" xfId="0" applyFont="1" applyFill="1" applyBorder="1" applyAlignment="1">
      <alignment horizontal="center"/>
    </xf>
    <xf numFmtId="0" fontId="3" fillId="20" borderId="1" xfId="0" applyFont="1" applyFill="1" applyBorder="1" applyAlignment="1">
      <alignment horizontal="center"/>
    </xf>
    <xf numFmtId="0" fontId="0" fillId="0" borderId="77" xfId="0" applyBorder="1" applyAlignment="1">
      <alignment horizontal="center"/>
    </xf>
    <xf numFmtId="0" fontId="0" fillId="0" borderId="0" xfId="0" applyAlignment="1">
      <alignment horizontal="center"/>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85" xfId="0" applyFill="1" applyBorder="1" applyAlignment="1">
      <alignment horizontal="center" vertical="top" wrapText="1"/>
    </xf>
    <xf numFmtId="0" fontId="0" fillId="0" borderId="27" xfId="0" applyFill="1" applyBorder="1" applyAlignment="1">
      <alignment horizontal="center" vertical="top" wrapText="1"/>
    </xf>
    <xf numFmtId="0" fontId="0" fillId="0" borderId="86" xfId="0" applyFill="1" applyBorder="1" applyAlignment="1">
      <alignment horizontal="center" vertical="top" wrapText="1"/>
    </xf>
    <xf numFmtId="0" fontId="0" fillId="0" borderId="0" xfId="0" applyFill="1" applyBorder="1" applyAlignment="1">
      <alignment horizontal="center" vertical="top" wrapText="1"/>
    </xf>
    <xf numFmtId="0" fontId="0" fillId="0" borderId="87" xfId="0" applyFill="1" applyBorder="1" applyAlignment="1">
      <alignment horizontal="center" vertical="top" wrapText="1"/>
    </xf>
    <xf numFmtId="0" fontId="0" fillId="0" borderId="32" xfId="0" applyFill="1" applyBorder="1" applyAlignment="1">
      <alignment horizontal="center" vertical="top" wrapText="1"/>
    </xf>
    <xf numFmtId="0" fontId="0" fillId="0" borderId="85" xfId="0" applyFont="1" applyFill="1" applyBorder="1" applyAlignment="1">
      <alignment horizontal="center" wrapText="1"/>
    </xf>
    <xf numFmtId="0" fontId="0" fillId="0" borderId="27" xfId="0" applyFont="1" applyFill="1" applyBorder="1" applyAlignment="1">
      <alignment horizontal="center" wrapText="1"/>
    </xf>
    <xf numFmtId="0" fontId="0" fillId="0" borderId="86" xfId="0" applyFont="1" applyFill="1" applyBorder="1" applyAlignment="1">
      <alignment horizontal="center" wrapText="1"/>
    </xf>
    <xf numFmtId="0" fontId="0" fillId="0" borderId="0" xfId="0" applyFont="1" applyFill="1" applyBorder="1" applyAlignment="1">
      <alignment horizontal="center" wrapText="1"/>
    </xf>
    <xf numFmtId="0" fontId="0" fillId="0" borderId="87" xfId="0" applyFont="1" applyFill="1" applyBorder="1" applyAlignment="1">
      <alignment horizontal="center" wrapText="1"/>
    </xf>
    <xf numFmtId="0" fontId="0" fillId="0" borderId="32" xfId="0" applyFont="1" applyFill="1" applyBorder="1" applyAlignment="1">
      <alignment horizontal="center" wrapText="1"/>
    </xf>
    <xf numFmtId="0" fontId="0" fillId="0" borderId="85" xfId="0" applyFill="1" applyBorder="1" applyAlignment="1">
      <alignment vertical="center" wrapText="1"/>
    </xf>
    <xf numFmtId="0" fontId="0" fillId="0" borderId="27" xfId="0" applyBorder="1" applyAlignment="1">
      <alignment vertical="center" wrapText="1"/>
    </xf>
    <xf numFmtId="0" fontId="0" fillId="0" borderId="86" xfId="0" applyBorder="1" applyAlignment="1">
      <alignment vertical="center" wrapText="1"/>
    </xf>
    <xf numFmtId="0" fontId="0" fillId="0" borderId="0" xfId="0" applyAlignment="1">
      <alignment vertical="center" wrapText="1"/>
    </xf>
    <xf numFmtId="0" fontId="0" fillId="0" borderId="87" xfId="0" applyBorder="1" applyAlignment="1">
      <alignment vertical="center" wrapText="1"/>
    </xf>
    <xf numFmtId="0" fontId="0" fillId="0" borderId="32" xfId="0" applyBorder="1" applyAlignment="1">
      <alignment vertical="center" wrapText="1"/>
    </xf>
    <xf numFmtId="0" fontId="20" fillId="0" borderId="0" xfId="0" applyFont="1" applyFill="1" applyAlignment="1">
      <alignment horizontal="center"/>
    </xf>
    <xf numFmtId="0" fontId="20" fillId="0" borderId="0" xfId="0" applyFont="1" applyAlignment="1">
      <alignment horizontal="center"/>
    </xf>
    <xf numFmtId="0" fontId="20" fillId="0" borderId="9" xfId="0" applyFont="1" applyFill="1" applyBorder="1" applyAlignment="1">
      <alignment horizontal="center"/>
    </xf>
    <xf numFmtId="0" fontId="49" fillId="2" borderId="0" xfId="0" applyFont="1" applyFill="1" applyBorder="1" applyAlignment="1">
      <alignment horizontal="center"/>
    </xf>
    <xf numFmtId="0" fontId="49" fillId="0" borderId="0" xfId="0" applyFont="1" applyBorder="1" applyAlignment="1">
      <alignment horizontal="center"/>
    </xf>
    <xf numFmtId="0" fontId="37" fillId="2" borderId="38" xfId="0" applyFont="1" applyFill="1" applyBorder="1" applyAlignment="1">
      <alignment horizontal="left" vertical="center" wrapText="1"/>
    </xf>
    <xf numFmtId="0" fontId="37" fillId="2" borderId="39" xfId="0" applyFont="1" applyFill="1" applyBorder="1" applyAlignment="1">
      <alignment horizontal="left" vertical="center" wrapText="1"/>
    </xf>
    <xf numFmtId="0" fontId="37" fillId="2" borderId="40" xfId="0" applyFont="1" applyFill="1" applyBorder="1" applyAlignment="1">
      <alignment horizontal="left" vertical="center" wrapText="1"/>
    </xf>
    <xf numFmtId="0" fontId="37" fillId="2" borderId="32" xfId="0" applyFont="1" applyFill="1" applyBorder="1" applyAlignment="1">
      <alignment horizontal="center"/>
    </xf>
    <xf numFmtId="0" fontId="37" fillId="2" borderId="33" xfId="0" applyFont="1" applyFill="1" applyBorder="1" applyAlignment="1">
      <alignment horizontal="center"/>
    </xf>
    <xf numFmtId="0" fontId="37" fillId="2" borderId="0" xfId="0" applyFont="1" applyFill="1" applyAlignment="1">
      <alignment horizontal="center"/>
    </xf>
    <xf numFmtId="0" fontId="37" fillId="2" borderId="30" xfId="0" applyFont="1" applyFill="1" applyBorder="1" applyAlignment="1">
      <alignment horizontal="center"/>
    </xf>
    <xf numFmtId="0" fontId="37" fillId="16" borderId="13" xfId="0" applyFont="1" applyFill="1" applyBorder="1" applyAlignment="1">
      <alignment horizontal="center"/>
    </xf>
    <xf numFmtId="0" fontId="12" fillId="0" borderId="0" xfId="0" applyFont="1" applyAlignment="1">
      <alignment horizontal="center"/>
    </xf>
  </cellXfs>
  <cellStyles count="11">
    <cellStyle name="Millares" xfId="9" builtinId="3"/>
    <cellStyle name="Millares [0] 2" xfId="8"/>
    <cellStyle name="Millares 2" xfId="3"/>
    <cellStyle name="Millares 3" xfId="2"/>
    <cellStyle name="Moneda [0] 2" xfId="5"/>
    <cellStyle name="Moneda 2" xfId="6"/>
    <cellStyle name="Moneda 3" xfId="4"/>
    <cellStyle name="Normal" xfId="0" builtinId="0"/>
    <cellStyle name="Normal 2" xfId="1"/>
    <cellStyle name="Porcentaje" xfId="10" builtinId="5"/>
    <cellStyle name="Porcentaje 2" xfId="7"/>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2"/>
          <c:order val="0"/>
          <c:tx>
            <c:strRef>
              <c:f>'VAN - TIR '!$A$7</c:f>
              <c:strCache>
                <c:ptCount val="1"/>
                <c:pt idx="0">
                  <c:v>Flujo de caja del proyecto</c:v>
                </c:pt>
              </c:strCache>
            </c:strRef>
          </c:tx>
          <c:invertIfNegative val="0"/>
          <c:cat>
            <c:strRef>
              <c:f>'VAN - TIR '!$B$4:$G$4</c:f>
              <c:strCache>
                <c:ptCount val="6"/>
                <c:pt idx="0">
                  <c:v>Año 0</c:v>
                </c:pt>
                <c:pt idx="1">
                  <c:v>Año 1</c:v>
                </c:pt>
                <c:pt idx="2">
                  <c:v>Año 2</c:v>
                </c:pt>
                <c:pt idx="3">
                  <c:v>Año 3</c:v>
                </c:pt>
                <c:pt idx="4">
                  <c:v>Año 4</c:v>
                </c:pt>
                <c:pt idx="5">
                  <c:v>Año 5</c:v>
                </c:pt>
              </c:strCache>
            </c:strRef>
          </c:cat>
          <c:val>
            <c:numRef>
              <c:f>'VAN - TIR '!$B$7:$G$7</c:f>
              <c:numCache>
                <c:formatCode>"$"#,##0</c:formatCode>
                <c:ptCount val="6"/>
                <c:pt idx="0">
                  <c:v>-17000000</c:v>
                </c:pt>
                <c:pt idx="1">
                  <c:v>10576488.644640416</c:v>
                </c:pt>
                <c:pt idx="2">
                  <c:v>1162950.3286644518</c:v>
                </c:pt>
                <c:pt idx="3">
                  <c:v>6387208.1805954576</c:v>
                </c:pt>
                <c:pt idx="4">
                  <c:v>30098605.416096926</c:v>
                </c:pt>
                <c:pt idx="5">
                  <c:v>56759063.93439129</c:v>
                </c:pt>
              </c:numCache>
            </c:numRef>
          </c:val>
          <c:extLst>
            <c:ext xmlns:c16="http://schemas.microsoft.com/office/drawing/2014/chart" uri="{C3380CC4-5D6E-409C-BE32-E72D297353CC}">
              <c16:uniqueId val="{00000000-BD69-446F-BFEC-8F8D922F89F9}"/>
            </c:ext>
          </c:extLst>
        </c:ser>
        <c:dLbls>
          <c:showLegendKey val="0"/>
          <c:showVal val="0"/>
          <c:showCatName val="0"/>
          <c:showSerName val="0"/>
          <c:showPercent val="0"/>
          <c:showBubbleSize val="0"/>
        </c:dLbls>
        <c:gapWidth val="150"/>
        <c:axId val="80614912"/>
        <c:axId val="80616448"/>
      </c:barChart>
      <c:catAx>
        <c:axId val="80614912"/>
        <c:scaling>
          <c:orientation val="minMax"/>
        </c:scaling>
        <c:delete val="0"/>
        <c:axPos val="b"/>
        <c:numFmt formatCode="General" sourceLinked="0"/>
        <c:majorTickMark val="none"/>
        <c:minorTickMark val="none"/>
        <c:tickLblPos val="nextTo"/>
        <c:crossAx val="80616448"/>
        <c:crosses val="autoZero"/>
        <c:auto val="1"/>
        <c:lblAlgn val="ctr"/>
        <c:lblOffset val="100"/>
        <c:noMultiLvlLbl val="0"/>
      </c:catAx>
      <c:valAx>
        <c:axId val="80616448"/>
        <c:scaling>
          <c:orientation val="minMax"/>
        </c:scaling>
        <c:delete val="0"/>
        <c:axPos val="l"/>
        <c:majorGridlines/>
        <c:numFmt formatCode="&quot;$&quot;#,##0" sourceLinked="1"/>
        <c:majorTickMark val="none"/>
        <c:minorTickMark val="none"/>
        <c:tickLblPos val="nextTo"/>
        <c:crossAx val="8061491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1742016</xdr:colOff>
      <xdr:row>0</xdr:row>
      <xdr:rowOff>89959</xdr:rowOff>
    </xdr:from>
    <xdr:to>
      <xdr:col>3</xdr:col>
      <xdr:colOff>652991</xdr:colOff>
      <xdr:row>5</xdr:row>
      <xdr:rowOff>128059</xdr:rowOff>
    </xdr:to>
    <xdr:pic>
      <xdr:nvPicPr>
        <xdr:cNvPr id="2" name="Imagen 1">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a:srcRect l="3168" t="15828" r="4503" b="18653"/>
        <a:stretch/>
      </xdr:blipFill>
      <xdr:spPr bwMode="auto">
        <a:xfrm>
          <a:off x="1742016" y="89959"/>
          <a:ext cx="3854450" cy="9906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2076450</xdr:colOff>
      <xdr:row>0</xdr:row>
      <xdr:rowOff>76200</xdr:rowOff>
    </xdr:from>
    <xdr:to>
      <xdr:col>4</xdr:col>
      <xdr:colOff>457200</xdr:colOff>
      <xdr:row>2</xdr:row>
      <xdr:rowOff>104775</xdr:rowOff>
    </xdr:to>
    <xdr:pic>
      <xdr:nvPicPr>
        <xdr:cNvPr id="2" name="1 Imagen">
          <a:extLst>
            <a:ext uri="{FF2B5EF4-FFF2-40B4-BE49-F238E27FC236}">
              <a16:creationId xmlns:a16="http://schemas.microsoft.com/office/drawing/2014/main" id="{00000000-0008-0000-0800-000002000000}"/>
            </a:ext>
          </a:extLst>
        </xdr:cNvPr>
        <xdr:cNvPicPr/>
      </xdr:nvPicPr>
      <xdr:blipFill rotWithShape="1">
        <a:blip xmlns:r="http://schemas.openxmlformats.org/officeDocument/2006/relationships" r:embed="rId1"/>
        <a:srcRect l="28572" t="33878" r="40741" b="50751"/>
        <a:stretch/>
      </xdr:blipFill>
      <xdr:spPr bwMode="auto">
        <a:xfrm>
          <a:off x="2076450" y="76200"/>
          <a:ext cx="1228725" cy="295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278191</xdr:colOff>
      <xdr:row>15</xdr:row>
      <xdr:rowOff>54502</xdr:rowOff>
    </xdr:from>
    <xdr:to>
      <xdr:col>8</xdr:col>
      <xdr:colOff>54429</xdr:colOff>
      <xdr:row>51</xdr:row>
      <xdr:rowOff>13607</xdr:rowOff>
    </xdr:to>
    <xdr:graphicFrame macro="">
      <xdr:nvGraphicFramePr>
        <xdr:cNvPr id="8" name="7 Gráfico">
          <a:extLst>
            <a:ext uri="{FF2B5EF4-FFF2-40B4-BE49-F238E27FC236}">
              <a16:creationId xmlns:a16="http://schemas.microsoft.com/office/drawing/2014/main" id="{00000000-0008-0000-0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247650</xdr:colOff>
      <xdr:row>0</xdr:row>
      <xdr:rowOff>180975</xdr:rowOff>
    </xdr:from>
    <xdr:to>
      <xdr:col>6</xdr:col>
      <xdr:colOff>661988</xdr:colOff>
      <xdr:row>6</xdr:row>
      <xdr:rowOff>114300</xdr:rowOff>
    </xdr:to>
    <xdr:pic>
      <xdr:nvPicPr>
        <xdr:cNvPr id="2" name="Imagen 4">
          <a:extLst>
            <a:ext uri="{FF2B5EF4-FFF2-40B4-BE49-F238E27FC236}">
              <a16:creationId xmlns:a16="http://schemas.microsoft.com/office/drawing/2014/main" id="{00000000-0008-0000-0A00-000002000000}"/>
            </a:ext>
          </a:extLst>
        </xdr:cNvPr>
        <xdr:cNvPicPr/>
      </xdr:nvPicPr>
      <xdr:blipFill rotWithShape="1">
        <a:blip xmlns:r="http://schemas.openxmlformats.org/officeDocument/2006/relationships" r:embed="rId1"/>
        <a:srcRect l="3168" t="15828" r="4503" b="18653"/>
        <a:stretch/>
      </xdr:blipFill>
      <xdr:spPr bwMode="auto">
        <a:xfrm>
          <a:off x="3600450" y="180975"/>
          <a:ext cx="3943350" cy="10763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133350</xdr:colOff>
      <xdr:row>2</xdr:row>
      <xdr:rowOff>95250</xdr:rowOff>
    </xdr:from>
    <xdr:to>
      <xdr:col>1</xdr:col>
      <xdr:colOff>2581275</xdr:colOff>
      <xdr:row>5</xdr:row>
      <xdr:rowOff>152400</xdr:rowOff>
    </xdr:to>
    <xdr:pic>
      <xdr:nvPicPr>
        <xdr:cNvPr id="2" name="1 Imagen">
          <a:extLst>
            <a:ext uri="{FF2B5EF4-FFF2-40B4-BE49-F238E27FC236}">
              <a16:creationId xmlns:a16="http://schemas.microsoft.com/office/drawing/2014/main" id="{00000000-0008-0000-0B00-000002000000}"/>
            </a:ext>
          </a:extLst>
        </xdr:cNvPr>
        <xdr:cNvPicPr/>
      </xdr:nvPicPr>
      <xdr:blipFill rotWithShape="1">
        <a:blip xmlns:r="http://schemas.openxmlformats.org/officeDocument/2006/relationships" r:embed="rId1"/>
        <a:srcRect l="28572" t="33878" r="40741" b="50751"/>
        <a:stretch/>
      </xdr:blipFill>
      <xdr:spPr bwMode="auto">
        <a:xfrm>
          <a:off x="504825" y="361950"/>
          <a:ext cx="2447925" cy="5715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O/Downloads/Ejemplo%201___Flujo%20de%20caja%20proyectado%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o/Downloads/Modulo%20financiero%20Abril%2030%20d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19-20-21-22"/>
      <sheetName val="2017"/>
    </sheetNames>
    <sheetDataSet>
      <sheetData sheetId="0"/>
      <sheetData sheetId="1">
        <row r="13">
          <cell r="F13">
            <v>0</v>
          </cell>
        </row>
        <row r="14">
          <cell r="F14">
            <v>0</v>
          </cell>
        </row>
        <row r="15">
          <cell r="F15">
            <v>0</v>
          </cell>
        </row>
        <row r="19">
          <cell r="F19">
            <v>0</v>
          </cell>
        </row>
        <row r="20">
          <cell r="F20">
            <v>0</v>
          </cell>
        </row>
        <row r="22">
          <cell r="F22">
            <v>0</v>
          </cell>
        </row>
        <row r="28">
          <cell r="F28">
            <v>0</v>
          </cell>
        </row>
        <row r="29">
          <cell r="F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ON "/>
      <sheetName val="ESFA "/>
      <sheetName val="PRESUPUESTOS"/>
      <sheetName val="Hoja1"/>
      <sheetName val="ESTADO DE RESULTADOS NIIF"/>
      <sheetName val="Amort"/>
      <sheetName val="Depreciacion acumulada"/>
      <sheetName val="NOMINA"/>
      <sheetName val="FLUJO DE CAJA "/>
      <sheetName val="ESF NIIF (2)"/>
      <sheetName val="FLUJO DE CAJA NIIF"/>
      <sheetName val="ESF NIIF"/>
      <sheetName val="van y Tir"/>
      <sheetName val="Indicadores"/>
      <sheetName val="Punto de Equilibrio"/>
    </sheetNames>
    <sheetDataSet>
      <sheetData sheetId="0">
        <row r="64">
          <cell r="H64">
            <v>13620000</v>
          </cell>
          <cell r="I64">
            <v>14069459.999999998</v>
          </cell>
          <cell r="J64">
            <v>14533752.179999998</v>
          </cell>
          <cell r="K64">
            <v>15013366.001939997</v>
          </cell>
        </row>
      </sheetData>
      <sheetData sheetId="1"/>
      <sheetData sheetId="2"/>
      <sheetData sheetId="3"/>
      <sheetData sheetId="4">
        <row r="11">
          <cell r="B11">
            <v>142200000</v>
          </cell>
        </row>
      </sheetData>
      <sheetData sheetId="5">
        <row r="26">
          <cell r="N26">
            <v>2572841.0829251236</v>
          </cell>
        </row>
        <row r="27">
          <cell r="N27">
            <v>2927976.7223994159</v>
          </cell>
        </row>
      </sheetData>
      <sheetData sheetId="6"/>
      <sheetData sheetId="7">
        <row r="33">
          <cell r="H33">
            <v>43757384.159999996</v>
          </cell>
          <cell r="I33">
            <v>45201377.83727999</v>
          </cell>
          <cell r="J33">
            <v>46693023.30591023</v>
          </cell>
          <cell r="K33">
            <v>48233893.075005263</v>
          </cell>
        </row>
        <row r="34">
          <cell r="H34">
            <v>9443725.779501643</v>
          </cell>
          <cell r="I34">
            <v>9755368.7302251961</v>
          </cell>
          <cell r="J34">
            <v>10077295.898322627</v>
          </cell>
          <cell r="K34">
            <v>10409846.662967272</v>
          </cell>
        </row>
        <row r="35">
          <cell r="H35">
            <v>7448381.9317151997</v>
          </cell>
          <cell r="I35">
            <v>7694178.5354618011</v>
          </cell>
          <cell r="J35">
            <v>7948086.4271320403</v>
          </cell>
          <cell r="K35">
            <v>8210373.2792273974</v>
          </cell>
        </row>
      </sheetData>
      <sheetData sheetId="8"/>
      <sheetData sheetId="9"/>
      <sheetData sheetId="10"/>
      <sheetData sheetId="11">
        <row r="13">
          <cell r="C13">
            <v>14220000</v>
          </cell>
        </row>
      </sheetData>
      <sheetData sheetId="12">
        <row r="11">
          <cell r="C11">
            <v>10333592.760615692</v>
          </cell>
        </row>
      </sheetData>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10" workbookViewId="0">
      <selection activeCell="H10" sqref="H10"/>
    </sheetView>
  </sheetViews>
  <sheetFormatPr baseColWidth="10" defaultColWidth="11" defaultRowHeight="10.5" x14ac:dyDescent="0.15"/>
  <cols>
    <col min="2" max="2" width="49" bestFit="1" customWidth="1"/>
    <col min="3" max="3" width="21.1640625" customWidth="1"/>
    <col min="4" max="4" width="17.1640625" bestFit="1" customWidth="1"/>
  </cols>
  <sheetData>
    <row r="1" spans="1:4" ht="15" x14ac:dyDescent="0.25">
      <c r="A1" s="680" t="s">
        <v>0</v>
      </c>
      <c r="B1" s="681"/>
      <c r="C1" s="681"/>
      <c r="D1" s="682"/>
    </row>
    <row r="2" spans="1:4" ht="15" x14ac:dyDescent="0.25">
      <c r="A2" s="650"/>
      <c r="B2" s="651"/>
      <c r="C2" s="651"/>
      <c r="D2" s="652"/>
    </row>
    <row r="3" spans="1:4" ht="39" customHeight="1" x14ac:dyDescent="0.15">
      <c r="A3" s="686" t="s">
        <v>1</v>
      </c>
      <c r="B3" s="679"/>
      <c r="C3" s="23" t="s">
        <v>2</v>
      </c>
      <c r="D3" s="28" t="s">
        <v>3</v>
      </c>
    </row>
    <row r="4" spans="1:4" ht="33.75" customHeight="1" x14ac:dyDescent="0.15">
      <c r="A4" s="655" t="s">
        <v>4</v>
      </c>
      <c r="B4" s="656"/>
      <c r="C4" s="656"/>
      <c r="D4" s="657"/>
    </row>
    <row r="5" spans="1:4" ht="15.75" customHeight="1" x14ac:dyDescent="0.15">
      <c r="A5" s="29"/>
      <c r="B5" s="22"/>
      <c r="C5" s="22"/>
      <c r="D5" s="30"/>
    </row>
    <row r="6" spans="1:4" ht="41.25" customHeight="1" x14ac:dyDescent="0.15">
      <c r="A6" s="31" t="s">
        <v>5</v>
      </c>
      <c r="B6" s="26"/>
      <c r="C6" s="26"/>
      <c r="D6" s="32"/>
    </row>
    <row r="7" spans="1:4" ht="15" x14ac:dyDescent="0.25">
      <c r="A7" s="33"/>
      <c r="B7" s="14" t="s">
        <v>5</v>
      </c>
      <c r="C7" s="8"/>
      <c r="D7" s="34">
        <v>5000000</v>
      </c>
    </row>
    <row r="8" spans="1:4" ht="15" x14ac:dyDescent="0.25">
      <c r="A8" s="688" t="s">
        <v>6</v>
      </c>
      <c r="B8" s="689"/>
      <c r="C8" s="689"/>
      <c r="D8" s="35">
        <f>SUM(D7)</f>
        <v>5000000</v>
      </c>
    </row>
    <row r="9" spans="1:4" ht="15" x14ac:dyDescent="0.25">
      <c r="A9" s="36"/>
      <c r="B9" s="623"/>
      <c r="C9" s="20"/>
      <c r="D9" s="37"/>
    </row>
    <row r="10" spans="1:4" ht="37.5" customHeight="1" x14ac:dyDescent="0.15">
      <c r="A10" s="683" t="s">
        <v>7</v>
      </c>
      <c r="B10" s="684"/>
      <c r="C10" s="684"/>
      <c r="D10" s="685"/>
    </row>
    <row r="11" spans="1:4" ht="60" x14ac:dyDescent="0.15">
      <c r="A11" s="38"/>
      <c r="B11" s="27" t="s">
        <v>8</v>
      </c>
      <c r="C11" s="8">
        <v>2832</v>
      </c>
      <c r="D11" s="39">
        <v>5596000</v>
      </c>
    </row>
    <row r="12" spans="1:4" ht="15" x14ac:dyDescent="0.15">
      <c r="A12" s="683" t="s">
        <v>6</v>
      </c>
      <c r="B12" s="684"/>
      <c r="C12" s="684"/>
      <c r="D12" s="40">
        <f>SUM(D11)</f>
        <v>5596000</v>
      </c>
    </row>
    <row r="13" spans="1:4" s="25" customFormat="1" ht="15" x14ac:dyDescent="0.15">
      <c r="A13" s="41"/>
      <c r="B13" s="20"/>
      <c r="C13" s="21"/>
      <c r="D13" s="42"/>
    </row>
    <row r="14" spans="1:4" ht="33.75" customHeight="1" x14ac:dyDescent="0.15">
      <c r="A14" s="31" t="s">
        <v>9</v>
      </c>
      <c r="B14" s="26"/>
      <c r="C14" s="26"/>
      <c r="D14" s="32"/>
    </row>
    <row r="15" spans="1:4" ht="15" x14ac:dyDescent="0.25">
      <c r="A15" s="43"/>
      <c r="B15" s="7" t="s">
        <v>10</v>
      </c>
      <c r="C15" s="8">
        <v>1</v>
      </c>
      <c r="D15" s="34">
        <v>3500000</v>
      </c>
    </row>
    <row r="16" spans="1:4" ht="15" x14ac:dyDescent="0.25">
      <c r="A16" s="43"/>
      <c r="B16" s="7" t="s">
        <v>11</v>
      </c>
      <c r="C16" s="8">
        <v>1</v>
      </c>
      <c r="D16" s="34">
        <v>1500000</v>
      </c>
    </row>
    <row r="17" spans="1:5" ht="15" x14ac:dyDescent="0.25">
      <c r="A17" s="43"/>
      <c r="B17" s="7" t="s">
        <v>12</v>
      </c>
      <c r="C17" s="8">
        <v>1</v>
      </c>
      <c r="D17" s="34">
        <v>350000</v>
      </c>
    </row>
    <row r="18" spans="1:5" ht="15" x14ac:dyDescent="0.25">
      <c r="A18" s="43"/>
      <c r="B18" s="7" t="s">
        <v>13</v>
      </c>
      <c r="C18" s="8">
        <v>1</v>
      </c>
      <c r="D18" s="34">
        <v>1500000</v>
      </c>
    </row>
    <row r="19" spans="1:5" ht="15" x14ac:dyDescent="0.25">
      <c r="A19" s="43"/>
      <c r="B19" s="7" t="s">
        <v>14</v>
      </c>
      <c r="C19" s="8">
        <v>1</v>
      </c>
      <c r="D19" s="34">
        <v>650000</v>
      </c>
    </row>
    <row r="20" spans="1:5" ht="15" x14ac:dyDescent="0.25">
      <c r="A20" s="43"/>
      <c r="B20" s="7" t="s">
        <v>15</v>
      </c>
      <c r="C20" s="8">
        <v>1</v>
      </c>
      <c r="D20" s="34">
        <v>2800000</v>
      </c>
    </row>
    <row r="21" spans="1:5" ht="15" x14ac:dyDescent="0.25">
      <c r="A21" s="43"/>
      <c r="B21" s="7" t="s">
        <v>16</v>
      </c>
      <c r="C21" s="8">
        <v>1</v>
      </c>
      <c r="D21" s="34">
        <v>1200000</v>
      </c>
    </row>
    <row r="22" spans="1:5" ht="15" x14ac:dyDescent="0.25">
      <c r="A22" s="43"/>
      <c r="B22" s="7" t="s">
        <v>17</v>
      </c>
      <c r="C22" s="8">
        <v>1</v>
      </c>
      <c r="D22" s="34">
        <v>300000</v>
      </c>
    </row>
    <row r="23" spans="1:5" ht="15" x14ac:dyDescent="0.15">
      <c r="A23" s="683" t="s">
        <v>18</v>
      </c>
      <c r="B23" s="684"/>
      <c r="C23" s="687"/>
      <c r="D23" s="44">
        <f>SUM(D15:D22)</f>
        <v>11800000</v>
      </c>
    </row>
    <row r="24" spans="1:5" ht="32.25" customHeight="1" thickBot="1" x14ac:dyDescent="0.2">
      <c r="A24" s="653" t="s">
        <v>19</v>
      </c>
      <c r="B24" s="654"/>
      <c r="C24" s="654"/>
      <c r="D24" s="63">
        <f>D23+D12+D8</f>
        <v>22396000</v>
      </c>
      <c r="E24" s="25"/>
    </row>
    <row r="25" spans="1:5" ht="15" x14ac:dyDescent="0.25">
      <c r="A25" s="10"/>
      <c r="B25" s="10"/>
      <c r="C25" s="10"/>
      <c r="D25" s="11"/>
    </row>
    <row r="26" spans="1:5" ht="15" x14ac:dyDescent="0.25">
      <c r="A26" s="10"/>
      <c r="B26" s="10"/>
      <c r="C26" s="10"/>
      <c r="D26" s="11"/>
    </row>
    <row r="27" spans="1:5" ht="15" x14ac:dyDescent="0.25">
      <c r="A27" s="10"/>
      <c r="B27" s="10"/>
      <c r="C27" s="10"/>
      <c r="D27" s="11"/>
    </row>
    <row r="28" spans="1:5" ht="15" x14ac:dyDescent="0.25">
      <c r="A28" s="10"/>
      <c r="B28" s="10"/>
      <c r="C28" s="10"/>
      <c r="D28" s="11"/>
    </row>
    <row r="29" spans="1:5" ht="26.25" customHeight="1" x14ac:dyDescent="0.15">
      <c r="A29" s="669" t="s">
        <v>20</v>
      </c>
      <c r="B29" s="670"/>
      <c r="C29" s="670"/>
      <c r="D29" s="671"/>
    </row>
    <row r="30" spans="1:5" ht="15" x14ac:dyDescent="0.25">
      <c r="A30" s="675"/>
      <c r="B30" s="676"/>
      <c r="C30" s="676"/>
      <c r="D30" s="677"/>
    </row>
    <row r="31" spans="1:5" ht="15" x14ac:dyDescent="0.15">
      <c r="A31" s="678" t="s">
        <v>1</v>
      </c>
      <c r="B31" s="679"/>
      <c r="C31" s="23" t="s">
        <v>2</v>
      </c>
      <c r="D31" s="24" t="s">
        <v>3</v>
      </c>
    </row>
    <row r="32" spans="1:5" ht="15" x14ac:dyDescent="0.25">
      <c r="A32" s="10"/>
      <c r="B32" s="10"/>
      <c r="C32" s="10"/>
      <c r="D32" s="11"/>
    </row>
    <row r="33" spans="1:5" ht="15" x14ac:dyDescent="0.25">
      <c r="A33" s="10"/>
      <c r="B33" s="10"/>
      <c r="C33" s="10"/>
      <c r="D33" s="11"/>
    </row>
    <row r="34" spans="1:5" ht="15" x14ac:dyDescent="0.25">
      <c r="A34" s="6"/>
      <c r="B34" s="6"/>
      <c r="C34" s="6"/>
      <c r="D34" s="6"/>
    </row>
    <row r="35" spans="1:5" ht="15" x14ac:dyDescent="0.25">
      <c r="A35" s="661" t="s">
        <v>21</v>
      </c>
      <c r="B35" s="661"/>
      <c r="C35" s="661"/>
      <c r="D35" s="661"/>
    </row>
    <row r="36" spans="1:5" ht="15" x14ac:dyDescent="0.25">
      <c r="A36" s="7"/>
      <c r="B36" s="7" t="s">
        <v>22</v>
      </c>
      <c r="C36" s="8">
        <v>2</v>
      </c>
      <c r="D36" s="9">
        <v>1600000</v>
      </c>
    </row>
    <row r="37" spans="1:5" ht="15" x14ac:dyDescent="0.25">
      <c r="A37" s="7"/>
      <c r="B37" s="7" t="s">
        <v>23</v>
      </c>
      <c r="C37" s="8">
        <v>5</v>
      </c>
      <c r="D37" s="9">
        <v>200000</v>
      </c>
    </row>
    <row r="38" spans="1:5" ht="15" x14ac:dyDescent="0.25">
      <c r="A38" s="7"/>
      <c r="B38" s="7" t="s">
        <v>24</v>
      </c>
      <c r="C38" s="8">
        <v>3</v>
      </c>
      <c r="D38" s="9">
        <v>250000</v>
      </c>
    </row>
    <row r="39" spans="1:5" ht="15" x14ac:dyDescent="0.25">
      <c r="A39" s="7"/>
      <c r="B39" s="7" t="s">
        <v>25</v>
      </c>
      <c r="C39" s="8">
        <v>3</v>
      </c>
      <c r="D39" s="9">
        <v>60000</v>
      </c>
    </row>
    <row r="40" spans="1:5" ht="15" x14ac:dyDescent="0.25">
      <c r="A40" s="7"/>
      <c r="B40" s="7" t="s">
        <v>26</v>
      </c>
      <c r="C40" s="8">
        <v>2</v>
      </c>
      <c r="D40" s="9">
        <v>300000</v>
      </c>
    </row>
    <row r="41" spans="1:5" ht="15" x14ac:dyDescent="0.25">
      <c r="A41" s="665" t="s">
        <v>6</v>
      </c>
      <c r="B41" s="666"/>
      <c r="C41" s="667"/>
      <c r="D41" s="47">
        <v>2410000</v>
      </c>
      <c r="E41" t="s">
        <v>27</v>
      </c>
    </row>
    <row r="42" spans="1:5" s="50" customFormat="1" ht="15" x14ac:dyDescent="0.25">
      <c r="A42" s="48"/>
      <c r="B42" s="48"/>
      <c r="C42" s="48"/>
      <c r="D42" s="49"/>
    </row>
    <row r="43" spans="1:5" ht="15" x14ac:dyDescent="0.25">
      <c r="A43" s="45"/>
      <c r="B43" s="45"/>
      <c r="C43" s="45"/>
      <c r="D43" s="46"/>
    </row>
    <row r="44" spans="1:5" ht="15" x14ac:dyDescent="0.25">
      <c r="A44" s="662" t="s">
        <v>28</v>
      </c>
      <c r="B44" s="663"/>
      <c r="C44" s="663"/>
      <c r="D44" s="664"/>
    </row>
    <row r="45" spans="1:5" ht="15" x14ac:dyDescent="0.25">
      <c r="A45" s="7"/>
      <c r="B45" s="7" t="s">
        <v>29</v>
      </c>
      <c r="C45" s="8">
        <v>1</v>
      </c>
      <c r="D45" s="9">
        <v>350000</v>
      </c>
    </row>
    <row r="46" spans="1:5" ht="15" x14ac:dyDescent="0.25">
      <c r="A46" s="7"/>
      <c r="B46" s="7" t="s">
        <v>30</v>
      </c>
      <c r="C46" s="8">
        <v>2</v>
      </c>
      <c r="D46" s="9">
        <v>1500000</v>
      </c>
    </row>
    <row r="47" spans="1:5" ht="15" x14ac:dyDescent="0.25">
      <c r="A47" s="7"/>
      <c r="B47" s="7" t="s">
        <v>31</v>
      </c>
      <c r="C47" s="8">
        <v>1</v>
      </c>
      <c r="D47" s="9">
        <v>600000</v>
      </c>
    </row>
    <row r="48" spans="1:5" ht="15" x14ac:dyDescent="0.25">
      <c r="A48" s="7"/>
      <c r="B48" s="7" t="s">
        <v>32</v>
      </c>
      <c r="C48" s="8">
        <v>1</v>
      </c>
      <c r="D48" s="9">
        <v>1500000</v>
      </c>
    </row>
    <row r="49" spans="1:5" ht="15" x14ac:dyDescent="0.25">
      <c r="A49" s="672" t="s">
        <v>18</v>
      </c>
      <c r="B49" s="673"/>
      <c r="C49" s="674"/>
      <c r="D49" s="52">
        <v>3950000</v>
      </c>
      <c r="E49" t="s">
        <v>33</v>
      </c>
    </row>
    <row r="50" spans="1:5" s="51" customFormat="1" ht="15" x14ac:dyDescent="0.25">
      <c r="A50" s="10"/>
      <c r="B50" s="10"/>
      <c r="C50" s="10"/>
      <c r="D50" s="53"/>
    </row>
    <row r="51" spans="1:5" s="51" customFormat="1" ht="15" x14ac:dyDescent="0.25">
      <c r="A51" s="10"/>
      <c r="B51" s="10"/>
      <c r="C51" s="10"/>
      <c r="D51" s="53"/>
    </row>
    <row r="52" spans="1:5" ht="15" x14ac:dyDescent="0.25">
      <c r="A52" s="662" t="s">
        <v>34</v>
      </c>
      <c r="B52" s="663"/>
      <c r="C52" s="663"/>
      <c r="D52" s="664"/>
    </row>
    <row r="53" spans="1:5" ht="15" x14ac:dyDescent="0.25">
      <c r="A53" s="1"/>
      <c r="B53" s="1" t="s">
        <v>35</v>
      </c>
      <c r="C53" s="1">
        <v>1</v>
      </c>
      <c r="D53" s="2">
        <v>250000</v>
      </c>
    </row>
    <row r="54" spans="1:5" ht="15" x14ac:dyDescent="0.25">
      <c r="A54" s="1"/>
      <c r="B54" s="1" t="s">
        <v>36</v>
      </c>
      <c r="C54" s="1">
        <v>1</v>
      </c>
      <c r="D54" s="2">
        <v>150000</v>
      </c>
    </row>
    <row r="55" spans="1:5" ht="15" x14ac:dyDescent="0.25">
      <c r="A55" s="1"/>
      <c r="B55" s="1" t="s">
        <v>37</v>
      </c>
      <c r="C55" s="1">
        <v>1</v>
      </c>
      <c r="D55" s="2">
        <v>90000</v>
      </c>
    </row>
    <row r="56" spans="1:5" ht="15" x14ac:dyDescent="0.25">
      <c r="A56" s="1"/>
      <c r="B56" s="1" t="s">
        <v>38</v>
      </c>
      <c r="C56" s="1">
        <v>1</v>
      </c>
      <c r="D56" s="2">
        <v>0</v>
      </c>
    </row>
    <row r="57" spans="1:5" ht="15" x14ac:dyDescent="0.25">
      <c r="A57" s="1"/>
      <c r="B57" s="1" t="s">
        <v>39</v>
      </c>
      <c r="C57" s="1">
        <v>1</v>
      </c>
      <c r="D57" s="2">
        <v>450000</v>
      </c>
    </row>
    <row r="58" spans="1:5" ht="15" x14ac:dyDescent="0.25">
      <c r="A58" s="668" t="s">
        <v>18</v>
      </c>
      <c r="B58" s="647"/>
      <c r="C58" s="648"/>
      <c r="D58" s="55">
        <v>940000</v>
      </c>
      <c r="E58" t="s">
        <v>33</v>
      </c>
    </row>
    <row r="59" spans="1:5" ht="15" x14ac:dyDescent="0.25">
      <c r="A59" s="4"/>
      <c r="B59" s="4"/>
      <c r="C59" s="4"/>
      <c r="D59" s="54"/>
    </row>
    <row r="60" spans="1:5" ht="15.75" thickBot="1" x14ac:dyDescent="0.3">
      <c r="A60" s="4"/>
      <c r="B60" s="4"/>
      <c r="C60" s="4"/>
      <c r="D60" s="54"/>
    </row>
    <row r="61" spans="1:5" ht="15" x14ac:dyDescent="0.25">
      <c r="A61" s="658" t="s">
        <v>40</v>
      </c>
      <c r="B61" s="659"/>
      <c r="C61" s="659"/>
      <c r="D61" s="660"/>
    </row>
    <row r="62" spans="1:5" ht="15" x14ac:dyDescent="0.25">
      <c r="A62" s="17"/>
      <c r="B62" s="1" t="s">
        <v>41</v>
      </c>
      <c r="C62" s="1">
        <v>12</v>
      </c>
      <c r="D62" s="2">
        <v>550000</v>
      </c>
    </row>
    <row r="63" spans="1:5" ht="15" x14ac:dyDescent="0.25">
      <c r="A63" s="668" t="s">
        <v>18</v>
      </c>
      <c r="B63" s="647"/>
      <c r="C63" s="648"/>
      <c r="D63" s="47">
        <f>SUM(D62)</f>
        <v>550000</v>
      </c>
      <c r="E63" t="s">
        <v>42</v>
      </c>
    </row>
    <row r="64" spans="1:5" s="25" customFormat="1" ht="15" x14ac:dyDescent="0.25">
      <c r="A64" s="56"/>
      <c r="B64" s="56"/>
      <c r="C64" s="56"/>
      <c r="D64" s="57"/>
    </row>
    <row r="65" spans="1:5" ht="15" x14ac:dyDescent="0.25">
      <c r="A65" s="646" t="s">
        <v>43</v>
      </c>
      <c r="B65" s="647"/>
      <c r="C65" s="647"/>
      <c r="D65" s="648"/>
    </row>
    <row r="66" spans="1:5" ht="15" x14ac:dyDescent="0.25">
      <c r="A66" s="1"/>
      <c r="B66" s="1" t="s">
        <v>44</v>
      </c>
      <c r="C66" s="1">
        <v>12</v>
      </c>
      <c r="D66" s="2">
        <v>450000</v>
      </c>
    </row>
    <row r="67" spans="1:5" ht="15" x14ac:dyDescent="0.25">
      <c r="A67" s="1"/>
      <c r="B67" s="1" t="s">
        <v>45</v>
      </c>
      <c r="C67" s="1">
        <v>12</v>
      </c>
      <c r="D67" s="2">
        <v>350000</v>
      </c>
    </row>
    <row r="68" spans="1:5" ht="15" x14ac:dyDescent="0.25">
      <c r="A68" s="1"/>
      <c r="B68" s="1" t="s">
        <v>46</v>
      </c>
      <c r="C68" s="1">
        <v>12</v>
      </c>
      <c r="D68" s="2">
        <v>125000</v>
      </c>
    </row>
    <row r="69" spans="1:5" ht="15" x14ac:dyDescent="0.25">
      <c r="A69" s="1"/>
      <c r="B69" s="1" t="s">
        <v>47</v>
      </c>
      <c r="C69" s="1">
        <v>12</v>
      </c>
      <c r="D69" s="2">
        <v>120000</v>
      </c>
    </row>
    <row r="70" spans="1:5" ht="15" x14ac:dyDescent="0.25">
      <c r="A70" s="1"/>
      <c r="B70" s="1" t="s">
        <v>48</v>
      </c>
      <c r="C70" s="1">
        <v>12</v>
      </c>
      <c r="D70" s="2">
        <v>90000</v>
      </c>
    </row>
    <row r="71" spans="1:5" ht="15" x14ac:dyDescent="0.25">
      <c r="A71" s="665" t="s">
        <v>6</v>
      </c>
      <c r="B71" s="666"/>
      <c r="C71" s="667"/>
      <c r="D71" s="47">
        <v>1135000</v>
      </c>
      <c r="E71" t="s">
        <v>49</v>
      </c>
    </row>
    <row r="72" spans="1:5" ht="15" x14ac:dyDescent="0.25">
      <c r="A72" s="16"/>
      <c r="B72" s="16"/>
      <c r="C72" s="18"/>
      <c r="D72" s="2"/>
    </row>
    <row r="73" spans="1:5" ht="15" x14ac:dyDescent="0.25">
      <c r="A73" s="1"/>
      <c r="B73" s="1"/>
      <c r="C73" s="15"/>
      <c r="D73" s="2"/>
    </row>
    <row r="74" spans="1:5" ht="15" x14ac:dyDescent="0.25">
      <c r="A74" s="12" t="s">
        <v>50</v>
      </c>
      <c r="B74" s="13"/>
      <c r="C74" s="13"/>
      <c r="D74" s="19"/>
    </row>
    <row r="75" spans="1:5" ht="15" x14ac:dyDescent="0.25">
      <c r="A75" s="1"/>
      <c r="B75" s="1" t="s">
        <v>51</v>
      </c>
      <c r="C75" s="1">
        <v>1000</v>
      </c>
      <c r="D75" s="5">
        <v>350000</v>
      </c>
    </row>
    <row r="76" spans="1:5" ht="15" x14ac:dyDescent="0.25">
      <c r="A76" s="1"/>
      <c r="B76" s="1" t="s">
        <v>52</v>
      </c>
      <c r="C76" s="1"/>
      <c r="D76" s="58"/>
    </row>
    <row r="77" spans="1:5" ht="15" x14ac:dyDescent="0.25">
      <c r="A77" s="1"/>
      <c r="B77" s="1" t="s">
        <v>53</v>
      </c>
      <c r="C77" s="1"/>
      <c r="D77" s="58">
        <v>3600000</v>
      </c>
    </row>
    <row r="78" spans="1:5" ht="15" x14ac:dyDescent="0.25">
      <c r="A78" s="665" t="s">
        <v>6</v>
      </c>
      <c r="B78" s="666"/>
      <c r="C78" s="667"/>
      <c r="D78" s="47">
        <v>3950000</v>
      </c>
      <c r="E78" t="s">
        <v>54</v>
      </c>
    </row>
    <row r="79" spans="1:5" ht="31.5" customHeight="1" x14ac:dyDescent="0.15">
      <c r="A79" s="59" t="s">
        <v>55</v>
      </c>
      <c r="B79" s="60"/>
      <c r="C79" s="61"/>
      <c r="D79" s="62">
        <f>D41+D49+D58+D63+D71+D78</f>
        <v>12935000</v>
      </c>
    </row>
    <row r="80" spans="1:5" ht="15" x14ac:dyDescent="0.25">
      <c r="A80" s="649" t="s">
        <v>56</v>
      </c>
      <c r="B80" s="649"/>
      <c r="C80" s="649"/>
      <c r="D80" s="3">
        <f>+D79+D24</f>
        <v>35331000</v>
      </c>
    </row>
    <row r="81" spans="1:4" ht="15" x14ac:dyDescent="0.25">
      <c r="A81" s="649"/>
      <c r="B81" s="649"/>
      <c r="C81" s="649"/>
      <c r="D81" s="3"/>
    </row>
  </sheetData>
  <mergeCells count="25">
    <mergeCell ref="A58:C58"/>
    <mergeCell ref="A30:D30"/>
    <mergeCell ref="A31:B31"/>
    <mergeCell ref="A1:D1"/>
    <mergeCell ref="A10:D10"/>
    <mergeCell ref="A3:B3"/>
    <mergeCell ref="A23:C23"/>
    <mergeCell ref="A12:C12"/>
    <mergeCell ref="A8:C8"/>
    <mergeCell ref="A65:D65"/>
    <mergeCell ref="A80:C80"/>
    <mergeCell ref="A81:C81"/>
    <mergeCell ref="A2:D2"/>
    <mergeCell ref="A24:C24"/>
    <mergeCell ref="A4:D4"/>
    <mergeCell ref="A61:D61"/>
    <mergeCell ref="A35:D35"/>
    <mergeCell ref="A44:D44"/>
    <mergeCell ref="A52:D52"/>
    <mergeCell ref="A71:C71"/>
    <mergeCell ref="A63:C63"/>
    <mergeCell ref="A78:C78"/>
    <mergeCell ref="A29:D29"/>
    <mergeCell ref="A41:C41"/>
    <mergeCell ref="A49:C49"/>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4"/>
  <sheetViews>
    <sheetView topLeftCell="A13" zoomScale="90" zoomScaleNormal="90" workbookViewId="0">
      <selection activeCell="M39" sqref="M39"/>
    </sheetView>
  </sheetViews>
  <sheetFormatPr baseColWidth="10" defaultColWidth="11" defaultRowHeight="10.5" x14ac:dyDescent="0.15"/>
  <cols>
    <col min="1" max="1" width="34.5" style="50" bestFit="1" customWidth="1"/>
    <col min="2" max="2" width="18.6640625" style="50" customWidth="1"/>
    <col min="3" max="7" width="17" style="50" customWidth="1"/>
    <col min="8" max="8" width="18" bestFit="1" customWidth="1"/>
  </cols>
  <sheetData>
    <row r="3" spans="1:13" ht="16.5" x14ac:dyDescent="0.3">
      <c r="A3" s="777" t="s">
        <v>272</v>
      </c>
      <c r="B3" s="777"/>
      <c r="C3" s="777"/>
      <c r="D3" s="777"/>
      <c r="E3" s="777"/>
      <c r="F3" s="777"/>
      <c r="G3" s="777"/>
      <c r="H3" s="419"/>
      <c r="I3" s="419"/>
      <c r="J3" s="419"/>
      <c r="K3" s="419"/>
      <c r="L3" s="419"/>
    </row>
    <row r="4" spans="1:13" ht="16.5" x14ac:dyDescent="0.3">
      <c r="A4" s="630" t="s">
        <v>273</v>
      </c>
      <c r="B4" s="631" t="s">
        <v>274</v>
      </c>
      <c r="C4" s="631" t="s">
        <v>152</v>
      </c>
      <c r="D4" s="631" t="s">
        <v>153</v>
      </c>
      <c r="E4" s="631" t="s">
        <v>154</v>
      </c>
      <c r="F4" s="631" t="s">
        <v>155</v>
      </c>
      <c r="G4" s="631" t="s">
        <v>156</v>
      </c>
      <c r="H4" s="419"/>
      <c r="I4" s="419"/>
      <c r="J4" s="419"/>
      <c r="K4" s="419"/>
      <c r="L4" s="419"/>
    </row>
    <row r="5" spans="1:13" ht="16.5" x14ac:dyDescent="0.3">
      <c r="A5" s="632" t="s">
        <v>275</v>
      </c>
      <c r="B5" s="633"/>
      <c r="C5" s="633">
        <f>+'FLUJO DE CAJA'!D11</f>
        <v>160977500</v>
      </c>
      <c r="D5" s="633">
        <f>+'FLUJO DE CAJA'!E11</f>
        <v>206545863.64464042</v>
      </c>
      <c r="E5" s="633">
        <f>+'FLUJO DE CAJA'!F11</f>
        <v>250124044.07866445</v>
      </c>
      <c r="F5" s="633">
        <f>+'FLUJO DE CAJA'!G11</f>
        <v>267796356.61809546</v>
      </c>
      <c r="G5" s="633">
        <f>+'FLUJO DE CAJA'!H11</f>
        <v>304578211.27547193</v>
      </c>
      <c r="H5" s="485">
        <f>SUM(C5:G5)</f>
        <v>1190021975.6168723</v>
      </c>
      <c r="I5" s="486" t="s">
        <v>276</v>
      </c>
      <c r="J5" s="483"/>
      <c r="K5" s="419"/>
      <c r="L5" s="419"/>
    </row>
    <row r="6" spans="1:13" ht="16.5" x14ac:dyDescent="0.3">
      <c r="A6" s="632" t="s">
        <v>277</v>
      </c>
      <c r="B6" s="633"/>
      <c r="C6" s="633">
        <f>+'FLUJO DE CAJA'!D33</f>
        <v>150401011.35535958</v>
      </c>
      <c r="D6" s="633">
        <f>+'FLUJO DE CAJA'!E33</f>
        <v>205382913.31597596</v>
      </c>
      <c r="E6" s="633">
        <f>+'FLUJO DE CAJA'!F33</f>
        <v>243736835.89806899</v>
      </c>
      <c r="F6" s="633">
        <f>+'FLUJO DE CAJA'!G33</f>
        <v>237697751.20199853</v>
      </c>
      <c r="G6" s="633">
        <f>+'FLUJO DE CAJA'!H33</f>
        <v>247819147.34108064</v>
      </c>
      <c r="H6" s="485">
        <f>SUM(C6:G6)</f>
        <v>1085037659.1124837</v>
      </c>
      <c r="I6" s="486" t="s">
        <v>278</v>
      </c>
      <c r="J6" s="483"/>
      <c r="K6" s="419"/>
      <c r="L6" s="419"/>
    </row>
    <row r="7" spans="1:13" ht="16.5" x14ac:dyDescent="0.3">
      <c r="A7" s="634" t="s">
        <v>279</v>
      </c>
      <c r="B7" s="635">
        <f>-'FLUJO DE CAJA'!C34</f>
        <v>-17000000</v>
      </c>
      <c r="C7" s="635">
        <f>+C5-C6</f>
        <v>10576488.644640416</v>
      </c>
      <c r="D7" s="635">
        <f t="shared" ref="D7:G7" si="0">+D5-D6</f>
        <v>1162950.3286644518</v>
      </c>
      <c r="E7" s="635">
        <f t="shared" si="0"/>
        <v>6387208.1805954576</v>
      </c>
      <c r="F7" s="635">
        <f t="shared" si="0"/>
        <v>30098605.416096926</v>
      </c>
      <c r="G7" s="635">
        <f t="shared" si="0"/>
        <v>56759063.93439129</v>
      </c>
      <c r="H7" s="485">
        <f>H5-H6</f>
        <v>104984316.50438857</v>
      </c>
      <c r="I7" s="486"/>
      <c r="J7" s="483"/>
      <c r="K7" s="419"/>
      <c r="L7" s="419"/>
    </row>
    <row r="8" spans="1:13" ht="16.5" x14ac:dyDescent="0.3">
      <c r="A8" s="636"/>
      <c r="B8" s="637"/>
      <c r="C8" s="637"/>
      <c r="D8" s="637"/>
      <c r="E8" s="637"/>
      <c r="F8" s="637"/>
      <c r="G8" s="637"/>
      <c r="H8" s="486"/>
      <c r="I8" s="486"/>
      <c r="J8" s="483"/>
      <c r="K8" s="419"/>
      <c r="L8" s="419"/>
    </row>
    <row r="9" spans="1:13" ht="16.5" x14ac:dyDescent="0.3">
      <c r="A9" s="634" t="s">
        <v>280</v>
      </c>
      <c r="B9" s="638">
        <f>NPV(C9,C7:G7)+B7</f>
        <v>59613097.989528388</v>
      </c>
      <c r="C9" s="639">
        <v>0.08</v>
      </c>
      <c r="D9" s="637"/>
      <c r="E9" s="637"/>
      <c r="F9" s="637"/>
      <c r="G9" s="637"/>
      <c r="H9" s="420"/>
      <c r="I9" s="419"/>
      <c r="J9" s="419"/>
      <c r="K9" s="419"/>
      <c r="L9" s="419"/>
    </row>
    <row r="10" spans="1:13" ht="16.5" x14ac:dyDescent="0.3">
      <c r="A10" s="634" t="s">
        <v>281</v>
      </c>
      <c r="B10" s="640">
        <f>IRR(B7:G7,C9)</f>
        <v>0.64873545479076622</v>
      </c>
      <c r="C10" s="637" t="s">
        <v>282</v>
      </c>
      <c r="D10" s="641"/>
      <c r="E10" s="637"/>
      <c r="F10" s="637"/>
      <c r="G10" s="637"/>
      <c r="H10" s="419"/>
      <c r="I10" s="419"/>
      <c r="J10" s="419"/>
      <c r="K10" s="419"/>
      <c r="L10" s="419"/>
    </row>
    <row r="11" spans="1:13" ht="16.5" x14ac:dyDescent="0.3">
      <c r="A11" s="636"/>
      <c r="B11" s="642" t="s">
        <v>283</v>
      </c>
      <c r="C11" s="642"/>
      <c r="D11" s="642"/>
      <c r="E11" s="642"/>
      <c r="F11" s="637"/>
      <c r="G11" s="637"/>
      <c r="H11" s="419"/>
      <c r="I11" s="419"/>
      <c r="J11" s="419"/>
      <c r="K11" s="419"/>
      <c r="L11" s="419"/>
    </row>
    <row r="12" spans="1:13" x14ac:dyDescent="0.15">
      <c r="C12" s="643"/>
    </row>
    <row r="13" spans="1:13" x14ac:dyDescent="0.15">
      <c r="B13" s="644"/>
    </row>
    <row r="14" spans="1:13" x14ac:dyDescent="0.15">
      <c r="M14" s="484"/>
    </row>
  </sheetData>
  <mergeCells count="1">
    <mergeCell ref="A3:G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T40"/>
  <sheetViews>
    <sheetView topLeftCell="A22" zoomScale="120" zoomScaleNormal="120" workbookViewId="0">
      <selection activeCell="L36" sqref="L36"/>
    </sheetView>
  </sheetViews>
  <sheetFormatPr baseColWidth="10" defaultColWidth="11" defaultRowHeight="10.5" x14ac:dyDescent="0.15"/>
  <cols>
    <col min="2" max="2" width="33.5" bestFit="1" customWidth="1"/>
    <col min="3" max="3" width="17.33203125" hidden="1" customWidth="1"/>
    <col min="4" max="4" width="15.6640625" hidden="1" customWidth="1"/>
    <col min="5" max="7" width="14.33203125" customWidth="1"/>
    <col min="8" max="12" width="11" customWidth="1"/>
    <col min="13" max="13" width="6" customWidth="1"/>
    <col min="14" max="14" width="11" customWidth="1"/>
  </cols>
  <sheetData>
    <row r="8" spans="1:20" ht="15" x14ac:dyDescent="0.25">
      <c r="B8" s="781" t="s">
        <v>284</v>
      </c>
      <c r="C8" s="781"/>
      <c r="D8" s="781"/>
      <c r="E8" s="781"/>
      <c r="F8" s="781"/>
      <c r="G8" s="781"/>
    </row>
    <row r="9" spans="1:20" ht="15" x14ac:dyDescent="0.25">
      <c r="B9" s="421" t="s">
        <v>285</v>
      </c>
      <c r="C9" s="422" t="s">
        <v>152</v>
      </c>
      <c r="D9" s="422" t="s">
        <v>153</v>
      </c>
      <c r="E9" s="422" t="s">
        <v>154</v>
      </c>
      <c r="F9" s="422" t="s">
        <v>155</v>
      </c>
      <c r="G9" s="422" t="s">
        <v>156</v>
      </c>
    </row>
    <row r="10" spans="1:20" ht="15" x14ac:dyDescent="0.25">
      <c r="B10" s="421"/>
      <c r="C10" s="423" t="s">
        <v>191</v>
      </c>
      <c r="D10" s="423" t="s">
        <v>192</v>
      </c>
      <c r="E10" s="423" t="s">
        <v>192</v>
      </c>
      <c r="F10" s="423" t="s">
        <v>192</v>
      </c>
      <c r="G10" s="423" t="s">
        <v>192</v>
      </c>
    </row>
    <row r="11" spans="1:20" x14ac:dyDescent="0.15">
      <c r="B11" s="478" t="s">
        <v>286</v>
      </c>
      <c r="C11" s="479">
        <f>+'ESTADO DE RESULTADOS'!C11</f>
        <v>159975000</v>
      </c>
      <c r="D11" s="479">
        <f>+'ESTADO DE RESULTADOS'!D11</f>
        <v>239962500</v>
      </c>
      <c r="E11" s="479">
        <f>+'ESTADO DE RESULTADOS'!E11</f>
        <v>251960625</v>
      </c>
      <c r="F11" s="479">
        <f>+'ESTADO DE RESULTADOS'!F11</f>
        <v>264558656.25</v>
      </c>
      <c r="G11" s="479">
        <f>+'ESTADO DE RESULTADOS'!G11</f>
        <v>277786589.0625</v>
      </c>
    </row>
    <row r="12" spans="1:20" x14ac:dyDescent="0.15">
      <c r="A12" s="25"/>
      <c r="B12" s="480" t="s">
        <v>287</v>
      </c>
      <c r="C12" s="481">
        <f>+'ESTADO DE RESULTADOS'!C32</f>
        <v>2943832.8502248246</v>
      </c>
      <c r="D12" s="481">
        <f>+'ESTADO DE RESULTADOS'!D32</f>
        <v>30666648.052912097</v>
      </c>
      <c r="E12" s="481">
        <f>+'ESTADO DE RESULTADOS'!E32</f>
        <v>31658015.042848602</v>
      </c>
      <c r="F12" s="481">
        <f>+'ESTADO DE RESULTADOS'!F32</f>
        <v>34676512.317003176</v>
      </c>
      <c r="G12" s="481">
        <f>+'ESTADO DE RESULTADOS'!G32</f>
        <v>38003502.501399077</v>
      </c>
      <c r="H12" s="25"/>
      <c r="I12" s="25"/>
      <c r="J12" s="25"/>
      <c r="K12" s="25"/>
      <c r="L12" s="25"/>
      <c r="M12" s="25"/>
      <c r="N12" s="25"/>
      <c r="O12" s="25"/>
      <c r="P12" s="25"/>
      <c r="Q12" s="25"/>
      <c r="R12" s="25"/>
      <c r="S12" s="25"/>
      <c r="T12" s="25"/>
    </row>
    <row r="13" spans="1:20" x14ac:dyDescent="0.15">
      <c r="A13" s="25"/>
      <c r="B13" s="480" t="s">
        <v>288</v>
      </c>
      <c r="C13" s="482">
        <f>+ESF!C25</f>
        <v>40804988.644640416</v>
      </c>
      <c r="D13" s="482">
        <f>+ESF!D25</f>
        <v>82970925.328664452</v>
      </c>
      <c r="E13" s="482">
        <f>+ESF!E25</f>
        <v>113042871.93059546</v>
      </c>
      <c r="F13" s="482">
        <f>+ESF!F25</f>
        <v>146702516.85359693</v>
      </c>
      <c r="G13" s="482">
        <f>+ESF!G25</f>
        <v>183479344.16876629</v>
      </c>
      <c r="H13" s="25"/>
      <c r="I13" s="25"/>
      <c r="J13" s="25"/>
      <c r="K13" s="25"/>
      <c r="L13" s="25"/>
      <c r="M13" s="25"/>
      <c r="N13" s="25"/>
      <c r="O13" s="25"/>
      <c r="P13" s="25"/>
      <c r="Q13" s="25"/>
      <c r="R13" s="25"/>
      <c r="S13" s="25"/>
      <c r="T13" s="25"/>
    </row>
    <row r="14" spans="1:20" x14ac:dyDescent="0.15">
      <c r="A14" s="25"/>
      <c r="B14" s="480" t="s">
        <v>289</v>
      </c>
      <c r="C14" s="482">
        <f>+ESF!C42</f>
        <v>15465155.794415588</v>
      </c>
      <c r="D14" s="482">
        <f>+ESF!D42</f>
        <v>26964444.425527532</v>
      </c>
      <c r="E14" s="482">
        <f>+ESF!E42</f>
        <v>25378375.984609928</v>
      </c>
      <c r="F14" s="482">
        <f>+ESF!F42</f>
        <v>24361508.590608191</v>
      </c>
      <c r="G14" s="482">
        <f>+ESF!G42</f>
        <v>23134833.404378451</v>
      </c>
      <c r="H14" s="25"/>
      <c r="I14" s="25"/>
      <c r="J14" s="25"/>
      <c r="K14" s="25"/>
      <c r="L14" s="25"/>
      <c r="M14" s="25"/>
      <c r="N14" s="25"/>
      <c r="O14" s="25"/>
      <c r="P14" s="25"/>
      <c r="Q14" s="25"/>
      <c r="R14" s="25"/>
      <c r="S14" s="25"/>
      <c r="T14" s="25"/>
    </row>
    <row r="15" spans="1:20" x14ac:dyDescent="0.15">
      <c r="A15" s="25"/>
      <c r="B15" s="480" t="s">
        <v>290</v>
      </c>
      <c r="C15" s="482">
        <f>+ESF!C52</f>
        <v>25339832.850224823</v>
      </c>
      <c r="D15" s="482">
        <f>+ESF!D52</f>
        <v>56006480.903136924</v>
      </c>
      <c r="E15" s="482">
        <f>+ESF!E52</f>
        <v>87664495.945985511</v>
      </c>
      <c r="F15" s="482">
        <f>+ESF!F52</f>
        <v>122341008.26298869</v>
      </c>
      <c r="G15" s="482">
        <f>+ESF!G52</f>
        <v>160344510.76438779</v>
      </c>
      <c r="H15" s="25"/>
      <c r="I15" s="25"/>
      <c r="J15" s="25"/>
      <c r="K15" s="25"/>
      <c r="L15" s="25"/>
      <c r="M15" s="25"/>
      <c r="N15" s="25"/>
      <c r="O15" s="25"/>
      <c r="P15" s="25"/>
      <c r="Q15" s="25"/>
      <c r="R15" s="25"/>
      <c r="S15" s="25"/>
      <c r="T15" s="25"/>
    </row>
    <row r="17" spans="1:14" ht="15" x14ac:dyDescent="0.25">
      <c r="A17" s="782" t="s">
        <v>291</v>
      </c>
      <c r="B17" s="782"/>
      <c r="C17" s="782"/>
      <c r="D17" s="782"/>
      <c r="E17" s="782"/>
      <c r="F17" s="782"/>
      <c r="G17" s="782"/>
      <c r="H17" s="783" t="s">
        <v>292</v>
      </c>
      <c r="I17" s="784"/>
      <c r="J17" s="784"/>
      <c r="K17" s="784"/>
      <c r="L17" s="784"/>
      <c r="M17" s="784"/>
    </row>
    <row r="18" spans="1:14" ht="15.75" thickBot="1" x14ac:dyDescent="0.3">
      <c r="A18" s="424" t="s">
        <v>293</v>
      </c>
      <c r="B18" s="424" t="s">
        <v>285</v>
      </c>
      <c r="C18" s="424" t="s">
        <v>152</v>
      </c>
      <c r="D18" s="424" t="s">
        <v>153</v>
      </c>
      <c r="E18" s="424" t="s">
        <v>154</v>
      </c>
      <c r="F18" s="424" t="s">
        <v>155</v>
      </c>
      <c r="G18" s="424" t="s">
        <v>156</v>
      </c>
    </row>
    <row r="19" spans="1:14" s="50" customFormat="1" ht="57" customHeight="1" thickBot="1" x14ac:dyDescent="0.2">
      <c r="A19" s="778" t="s">
        <v>294</v>
      </c>
      <c r="B19" s="487" t="s">
        <v>295</v>
      </c>
      <c r="C19" s="463">
        <f>ESF!C16/ESF!C35</f>
        <v>4.5456852061224238</v>
      </c>
      <c r="D19" s="463">
        <f>ESF!D16/ESF!D35</f>
        <v>3.2514475437903996</v>
      </c>
      <c r="E19" s="463">
        <f>ESF!E16/ESF!E35</f>
        <v>3.9688629051408819</v>
      </c>
      <c r="F19" s="463">
        <f>ESF!F16/ESF!F35</f>
        <v>5.2373975134745718</v>
      </c>
      <c r="G19" s="463">
        <f>ESF!G16/ESF!G35</f>
        <v>7.014502388335921</v>
      </c>
      <c r="H19" s="785" t="s">
        <v>296</v>
      </c>
      <c r="I19" s="786"/>
      <c r="J19" s="786"/>
      <c r="K19" s="786"/>
      <c r="L19" s="786"/>
      <c r="M19" s="786"/>
      <c r="N19" s="787"/>
    </row>
    <row r="20" spans="1:14" s="50" customFormat="1" ht="50.25" customHeight="1" thickBot="1" x14ac:dyDescent="0.2">
      <c r="A20" s="780"/>
      <c r="B20" s="488" t="s">
        <v>297</v>
      </c>
      <c r="C20" s="464">
        <f>(ESF!C16-ESF!C14)/ESF!C35</f>
        <v>4.0018894315885616</v>
      </c>
      <c r="D20" s="464">
        <f>(ESF!D16-ESF!D14)/ESF!D35</f>
        <v>2.9976612162601763</v>
      </c>
      <c r="E20" s="464">
        <f>(ESF!E16-ESF!E14)/ESF!E35</f>
        <v>3.7114422501400579</v>
      </c>
      <c r="F20" s="464">
        <f>(ESF!F16-ESF!F14)/ESF!F35</f>
        <v>4.9891285578727613</v>
      </c>
      <c r="G20" s="464">
        <f>(ESF!G16-ESF!G14)/ESF!G35</f>
        <v>6.7519704365129822</v>
      </c>
      <c r="H20" s="788"/>
      <c r="I20" s="789"/>
      <c r="J20" s="789"/>
      <c r="K20" s="789"/>
      <c r="L20" s="789"/>
      <c r="M20" s="789"/>
      <c r="N20" s="790"/>
    </row>
    <row r="21" spans="1:14" s="50" customFormat="1" ht="11.25" thickBot="1" x14ac:dyDescent="0.2">
      <c r="A21" s="778" t="s">
        <v>298</v>
      </c>
      <c r="B21" s="425" t="s">
        <v>299</v>
      </c>
      <c r="C21" s="463">
        <f>ESF!C42/ESF!C25</f>
        <v>0.37900159534652583</v>
      </c>
      <c r="D21" s="463">
        <f>ESF!D42/ESF!D25</f>
        <v>0.32498666633782819</v>
      </c>
      <c r="E21" s="463">
        <f>ESF!E42/ESF!E25</f>
        <v>0.22450222248592022</v>
      </c>
      <c r="F21" s="463">
        <f>ESF!F42/ESF!F25</f>
        <v>0.1660606042288966</v>
      </c>
      <c r="G21" s="463">
        <f>ESF!G42/ESF!G25</f>
        <v>0.12608957977906646</v>
      </c>
      <c r="H21" s="791" t="s">
        <v>300</v>
      </c>
      <c r="I21" s="792"/>
      <c r="J21" s="792"/>
      <c r="K21" s="792"/>
      <c r="L21" s="792"/>
      <c r="M21" s="792"/>
      <c r="N21" s="427"/>
    </row>
    <row r="22" spans="1:14" s="50" customFormat="1" ht="11.25" thickBot="1" x14ac:dyDescent="0.2">
      <c r="A22" s="779"/>
      <c r="B22" s="428" t="s">
        <v>301</v>
      </c>
      <c r="C22" s="460">
        <f>ESF!C42/ESF!C52</f>
        <v>0.61031009501226352</v>
      </c>
      <c r="D22" s="460">
        <f>ESF!D42/ESF!D52</f>
        <v>0.48145221750608602</v>
      </c>
      <c r="E22" s="460">
        <f>ESF!E42/ESF!E52</f>
        <v>0.28949434672215324</v>
      </c>
      <c r="F22" s="460">
        <f>ESF!F42/ESF!F52</f>
        <v>0.19912790434291505</v>
      </c>
      <c r="G22" s="460">
        <f>ESF!G42/ESF!G52</f>
        <v>0.14428204179919238</v>
      </c>
      <c r="H22" s="793"/>
      <c r="I22" s="794"/>
      <c r="J22" s="794"/>
      <c r="K22" s="794"/>
      <c r="L22" s="794"/>
      <c r="M22" s="794"/>
      <c r="N22" s="429"/>
    </row>
    <row r="23" spans="1:14" s="50" customFormat="1" ht="11.25" thickBot="1" x14ac:dyDescent="0.2">
      <c r="A23" s="779"/>
      <c r="B23" s="428" t="s">
        <v>302</v>
      </c>
      <c r="C23" s="460">
        <f>ESF!C52/ESF!C23</f>
        <v>2.3860482909816216</v>
      </c>
      <c r="D23" s="460">
        <f>ESF!D52/ESF!D23</f>
        <v>3.365774092736594</v>
      </c>
      <c r="E23" s="460">
        <f>ESF!E52/ESF!E23</f>
        <v>3.1130857935364173</v>
      </c>
      <c r="F23" s="460">
        <f>ESF!F52/ESF!F23</f>
        <v>4.9570910965554571</v>
      </c>
      <c r="G23" s="460">
        <f>ESF!G52/ESF!G23</f>
        <v>7.5634203190748952</v>
      </c>
      <c r="H23" s="793"/>
      <c r="I23" s="794"/>
      <c r="J23" s="794"/>
      <c r="K23" s="794"/>
      <c r="L23" s="794"/>
      <c r="M23" s="794"/>
      <c r="N23" s="429"/>
    </row>
    <row r="24" spans="1:14" s="50" customFormat="1" ht="17.25" customHeight="1" thickBot="1" x14ac:dyDescent="0.2">
      <c r="A24" s="780"/>
      <c r="B24" s="426" t="s">
        <v>303</v>
      </c>
      <c r="C24" s="465">
        <f>ESF!C25/ESF!C52</f>
        <v>1.6103100950122637</v>
      </c>
      <c r="D24" s="465">
        <f>ESF!D25/ESF!D52</f>
        <v>1.481452217506086</v>
      </c>
      <c r="E24" s="465">
        <f>ESF!E25/ESF!E52</f>
        <v>1.2894943467221536</v>
      </c>
      <c r="F24" s="465">
        <f>ESF!F25/ESF!F52</f>
        <v>1.1991279043429155</v>
      </c>
      <c r="G24" s="465">
        <f>ESF!G25/ESF!G52</f>
        <v>1.1442820417991928</v>
      </c>
      <c r="H24" s="795"/>
      <c r="I24" s="796"/>
      <c r="J24" s="796"/>
      <c r="K24" s="796"/>
      <c r="L24" s="796"/>
      <c r="M24" s="796"/>
      <c r="N24" s="430"/>
    </row>
    <row r="25" spans="1:14" s="493" customFormat="1" ht="10.5" customHeight="1" thickBot="1" x14ac:dyDescent="0.2">
      <c r="A25" s="778" t="s">
        <v>304</v>
      </c>
      <c r="B25" s="490" t="s">
        <v>305</v>
      </c>
      <c r="C25" s="491">
        <f>'ESTADO DE RESULTADOS'!C11/ESF!C13</f>
        <v>10</v>
      </c>
      <c r="D25" s="491">
        <f>'ESTADO DE RESULTADOS'!D11/ESF!D13</f>
        <v>4</v>
      </c>
      <c r="E25" s="491">
        <f>'ESTADO DE RESULTADOS'!E11/ESF!E13</f>
        <v>4</v>
      </c>
      <c r="F25" s="491">
        <f>'ESTADO DE RESULTADOS'!F11/ESF!F13</f>
        <v>4</v>
      </c>
      <c r="G25" s="491">
        <f>'ESTADO DE RESULTADOS'!G11/ESF!G13</f>
        <v>4</v>
      </c>
      <c r="H25" s="797" t="s">
        <v>306</v>
      </c>
      <c r="I25" s="798"/>
      <c r="J25" s="798"/>
      <c r="K25" s="798"/>
      <c r="L25" s="798"/>
      <c r="M25" s="798"/>
      <c r="N25" s="492"/>
    </row>
    <row r="26" spans="1:14" s="493" customFormat="1" ht="11.25" thickBot="1" x14ac:dyDescent="0.2">
      <c r="A26" s="779"/>
      <c r="B26" s="494" t="s">
        <v>307</v>
      </c>
      <c r="C26" s="495">
        <f>'ESTADO DE RESULTADOS'!C11/ESF!C23</f>
        <v>15.063559322033898</v>
      </c>
      <c r="D26" s="495">
        <f>'ESTADO DE RESULTADOS'!D11/ESF!D23</f>
        <v>14.420823317307692</v>
      </c>
      <c r="E26" s="495">
        <f>'ESTADO DE RESULTADOS'!E11/ESF!E23</f>
        <v>8.947465376420455</v>
      </c>
      <c r="F26" s="495">
        <f>'ESTADO DE RESULTADOS'!F11/ESF!F23</f>
        <v>10.719556574149109</v>
      </c>
      <c r="G26" s="495">
        <f>'ESTADO DE RESULTADOS'!G11/ESF!G23</f>
        <v>13.103140993514151</v>
      </c>
      <c r="H26" s="799"/>
      <c r="I26" s="800"/>
      <c r="J26" s="800"/>
      <c r="K26" s="800"/>
      <c r="L26" s="800"/>
      <c r="M26" s="800"/>
      <c r="N26" s="496"/>
    </row>
    <row r="27" spans="1:14" s="493" customFormat="1" ht="11.25" thickBot="1" x14ac:dyDescent="0.2">
      <c r="A27" s="779"/>
      <c r="B27" s="494" t="s">
        <v>308</v>
      </c>
      <c r="C27" s="497">
        <f>'ESTADO DE RESULTADOS'!C11/ESF!C25</f>
        <v>3.9204765229364211</v>
      </c>
      <c r="D27" s="497">
        <f>'ESTADO DE RESULTADOS'!D11/ESF!D25</f>
        <v>2.8921275621485538</v>
      </c>
      <c r="E27" s="497">
        <f>'ESTADO DE RESULTADOS'!E11/ESF!E25</f>
        <v>2.2288944070236947</v>
      </c>
      <c r="F27" s="497">
        <f>'ESTADO DE RESULTADOS'!F11/ESF!F25</f>
        <v>1.8033682170157903</v>
      </c>
      <c r="G27" s="497">
        <f>'ESTADO DE RESULTADOS'!G11/ESF!G25</f>
        <v>1.5139937976178337</v>
      </c>
      <c r="H27" s="799"/>
      <c r="I27" s="800"/>
      <c r="J27" s="800"/>
      <c r="K27" s="800"/>
      <c r="L27" s="800"/>
      <c r="M27" s="800"/>
      <c r="N27" s="496"/>
    </row>
    <row r="28" spans="1:14" s="50" customFormat="1" ht="11.25" thickBot="1" x14ac:dyDescent="0.2">
      <c r="A28" s="779"/>
      <c r="B28" s="428" t="s">
        <v>309</v>
      </c>
      <c r="C28" s="461">
        <f>ESF!C13*365/'ESTADO DE RESULTADOS'!C11</f>
        <v>36.5</v>
      </c>
      <c r="D28" s="461">
        <f>ESF!D13*365/'ESTADO DE RESULTADOS'!D11</f>
        <v>91.25</v>
      </c>
      <c r="E28" s="461">
        <f>ESF!E13*365/'ESTADO DE RESULTADOS'!E11</f>
        <v>91.25</v>
      </c>
      <c r="F28" s="461">
        <f>ESF!F13*365/'ESTADO DE RESULTADOS'!F11</f>
        <v>91.25</v>
      </c>
      <c r="G28" s="461">
        <f>ESF!G13*365/'ESTADO DE RESULTADOS'!G11</f>
        <v>91.25</v>
      </c>
      <c r="H28" s="799"/>
      <c r="I28" s="800"/>
      <c r="J28" s="800"/>
      <c r="K28" s="800"/>
      <c r="L28" s="800"/>
      <c r="M28" s="800"/>
      <c r="N28" s="429"/>
    </row>
    <row r="29" spans="1:14" s="50" customFormat="1" ht="80.25" customHeight="1" thickBot="1" x14ac:dyDescent="0.2">
      <c r="A29" s="780"/>
      <c r="B29" s="488" t="s">
        <v>310</v>
      </c>
      <c r="C29" s="462">
        <f>(ESF!C31*365)/ESF!C14</f>
        <v>200.80245690149428</v>
      </c>
      <c r="D29" s="462">
        <f>(ESF!D31*365)/ESF!D14</f>
        <v>159.38360414732179</v>
      </c>
      <c r="E29" s="462">
        <f>(ESF!E31*365)/ESF!E14</f>
        <v>170.57228516493169</v>
      </c>
      <c r="F29" s="462">
        <f>(ESF!F31*365)/ESF!F14</f>
        <v>184.76241322161414</v>
      </c>
      <c r="G29" s="462">
        <f>(ESF!G31*365)/ESF!G14</f>
        <v>63.893730493563709</v>
      </c>
      <c r="H29" s="801"/>
      <c r="I29" s="802"/>
      <c r="J29" s="802"/>
      <c r="K29" s="802"/>
      <c r="L29" s="802"/>
      <c r="M29" s="802"/>
      <c r="N29" s="430"/>
    </row>
    <row r="30" spans="1:14" s="50" customFormat="1" ht="21" customHeight="1" thickBot="1" x14ac:dyDescent="0.2">
      <c r="A30" s="778" t="s">
        <v>311</v>
      </c>
      <c r="B30" s="487" t="s">
        <v>312</v>
      </c>
      <c r="C30" s="431">
        <f>(C37-C38)/C37</f>
        <v>0.57112673855289886</v>
      </c>
      <c r="D30" s="431">
        <f>(D37-D38)/D37</f>
        <v>0.59006240558420586</v>
      </c>
      <c r="E30" s="431">
        <f t="shared" ref="E30:F30" si="0">(E37-E38)/E37</f>
        <v>0.58483734313645241</v>
      </c>
      <c r="F30" s="431">
        <f t="shared" si="0"/>
        <v>0.58458853063894034</v>
      </c>
      <c r="G30" s="431">
        <f>(G37-G38)/G37</f>
        <v>0.58457668242477301</v>
      </c>
      <c r="H30" s="803" t="s">
        <v>313</v>
      </c>
      <c r="I30" s="804"/>
      <c r="J30" s="804"/>
      <c r="K30" s="804"/>
      <c r="L30" s="804"/>
      <c r="M30" s="804"/>
      <c r="N30" s="427"/>
    </row>
    <row r="31" spans="1:14" s="50" customFormat="1" ht="19.5" customHeight="1" thickBot="1" x14ac:dyDescent="0.2">
      <c r="A31" s="779"/>
      <c r="B31" s="600" t="s">
        <v>314</v>
      </c>
      <c r="C31" s="432">
        <f>'ESTADO DE RESULTADOS'!C22/'ESTADO DE RESULTADOS'!C11</f>
        <v>3.8979815576720853E-2</v>
      </c>
      <c r="D31" s="432">
        <f>'ESTADO DE RESULTADOS'!D22/'ESTADO DE RESULTADOS'!D11</f>
        <v>0.19426787055803788</v>
      </c>
      <c r="E31" s="432">
        <f>'ESTADO DE RESULTADOS'!E22/'ESTADO DE RESULTADOS'!E11</f>
        <v>0.18970444977199516</v>
      </c>
      <c r="F31" s="432">
        <f>'ESTADO DE RESULTADOS'!F22/'ESTADO DE RESULTADOS'!F11</f>
        <v>0.19623199400045752</v>
      </c>
      <c r="G31" s="432">
        <f>'ESTADO DE RESULTADOS'!G22/'ESTADO DE RESULTADOS'!G11</f>
        <v>0.20286364551037203</v>
      </c>
      <c r="H31" s="805"/>
      <c r="I31" s="806"/>
      <c r="J31" s="806"/>
      <c r="K31" s="806"/>
      <c r="L31" s="806"/>
      <c r="M31" s="806"/>
      <c r="N31" s="429"/>
    </row>
    <row r="32" spans="1:14" s="50" customFormat="1" ht="18" customHeight="1" thickBot="1" x14ac:dyDescent="0.2">
      <c r="A32" s="779"/>
      <c r="B32" s="600" t="s">
        <v>315</v>
      </c>
      <c r="C32" s="432">
        <f>'ESTADO DE RESULTADOS'!C32/'ESTADO DE RESULTADOS'!C11</f>
        <v>1.8401830599936393E-2</v>
      </c>
      <c r="D32" s="432">
        <f>'ESTADO DE RESULTADOS'!D32/'ESTADO DE RESULTADOS'!D11</f>
        <v>0.1277976686061868</v>
      </c>
      <c r="E32" s="432">
        <f>'ESTADO DE RESULTADOS'!E32/'ESTADO DE RESULTADOS'!E11</f>
        <v>0.1256466761139706</v>
      </c>
      <c r="F32" s="432">
        <f>'ESTADO DE RESULTADOS'!F32/'ESTADO DE RESULTADOS'!F11</f>
        <v>0.13107305883892498</v>
      </c>
      <c r="G32" s="432">
        <f>'ESTADO DE RESULTADOS'!G32/'ESTADO DE RESULTADOS'!G11</f>
        <v>0.13680826936122736</v>
      </c>
      <c r="H32" s="805"/>
      <c r="I32" s="806"/>
      <c r="J32" s="806"/>
      <c r="K32" s="806"/>
      <c r="L32" s="806"/>
      <c r="M32" s="806"/>
      <c r="N32" s="429"/>
    </row>
    <row r="33" spans="1:20" s="50" customFormat="1" ht="32.25" customHeight="1" thickBot="1" x14ac:dyDescent="0.2">
      <c r="A33" s="780"/>
      <c r="B33" s="488" t="s">
        <v>316</v>
      </c>
      <c r="C33" s="433">
        <f>'ESTADO DE RESULTADOS'!C22/ESF!C52</f>
        <v>0.24608670600724156</v>
      </c>
      <c r="D33" s="433">
        <f>'ESTADO DE RESULTADOS'!D22/ESF!D52</f>
        <v>0.83235016978494258</v>
      </c>
      <c r="E33" s="433">
        <f>'ESTADO DE RESULTADOS'!E22/ESF!E52</f>
        <v>0.54523842536303158</v>
      </c>
      <c r="F33" s="433">
        <f>'ESTADO DE RESULTADOS'!F22/ESF!F52</f>
        <v>0.42434563343160453</v>
      </c>
      <c r="G33" s="433">
        <f>'ESTADO DE RESULTADOS'!G22/ESF!G52</f>
        <v>0.35144826512905009</v>
      </c>
      <c r="H33" s="807"/>
      <c r="I33" s="808"/>
      <c r="J33" s="808"/>
      <c r="K33" s="808"/>
      <c r="L33" s="808"/>
      <c r="M33" s="808"/>
      <c r="N33" s="430"/>
    </row>
    <row r="34" spans="1:20" x14ac:dyDescent="0.15">
      <c r="A34" s="50"/>
      <c r="B34" s="50"/>
      <c r="C34" s="50"/>
      <c r="D34" s="50"/>
      <c r="E34" s="50"/>
      <c r="F34" s="50"/>
      <c r="G34" s="50"/>
      <c r="H34" s="50"/>
      <c r="I34" s="50"/>
      <c r="J34" s="50"/>
      <c r="K34" s="50"/>
      <c r="L34" s="50"/>
      <c r="M34" s="50"/>
      <c r="N34" s="50"/>
      <c r="O34" s="50"/>
      <c r="P34" s="50"/>
      <c r="Q34" s="50"/>
      <c r="R34" s="50"/>
      <c r="S34" s="50"/>
      <c r="T34" s="50"/>
    </row>
    <row r="36" spans="1:20" x14ac:dyDescent="0.15">
      <c r="D36" s="489"/>
    </row>
    <row r="37" spans="1:20" s="484" customFormat="1" x14ac:dyDescent="0.15">
      <c r="B37" s="484" t="s">
        <v>112</v>
      </c>
      <c r="C37" s="498">
        <f>'ESTADO DE RESULTADOS'!C11</f>
        <v>159975000</v>
      </c>
      <c r="D37" s="498">
        <f>'ESTADO DE RESULTADOS'!D11</f>
        <v>239962500</v>
      </c>
      <c r="E37" s="498">
        <f>'ESTADO DE RESULTADOS'!E11</f>
        <v>251960625</v>
      </c>
      <c r="F37" s="498">
        <f>'ESTADO DE RESULTADOS'!F11</f>
        <v>264558656.25</v>
      </c>
      <c r="G37" s="498">
        <f>'ESTADO DE RESULTADOS'!G11</f>
        <v>277786589.0625</v>
      </c>
    </row>
    <row r="38" spans="1:20" s="484" customFormat="1" x14ac:dyDescent="0.15">
      <c r="B38" s="484" t="s">
        <v>317</v>
      </c>
      <c r="C38" s="498">
        <f>-'ESTADO DE RESULTADOS'!C13</f>
        <v>68609000</v>
      </c>
      <c r="D38" s="498">
        <f>-'ESTADO DE RESULTADOS'!D13</f>
        <v>98369650</v>
      </c>
      <c r="E38" s="498">
        <f>-'ESTADO DE RESULTADOS'!E13</f>
        <v>104604642.5</v>
      </c>
      <c r="F38" s="498">
        <f>-'ESTADO DE RESULTADOS'!F13</f>
        <v>109900700.125</v>
      </c>
      <c r="G38" s="498">
        <f>-'ESTADO DE RESULTADOS'!G13</f>
        <v>115399026.40625</v>
      </c>
    </row>
    <row r="39" spans="1:20" s="484" customFormat="1" x14ac:dyDescent="0.15"/>
    <row r="40" spans="1:20" x14ac:dyDescent="0.15">
      <c r="C40" s="434"/>
      <c r="D40" s="434"/>
      <c r="E40" s="434"/>
      <c r="F40" s="434"/>
      <c r="G40" s="434"/>
    </row>
  </sheetData>
  <mergeCells count="11">
    <mergeCell ref="A25:A29"/>
    <mergeCell ref="A30:A33"/>
    <mergeCell ref="B8:G8"/>
    <mergeCell ref="A17:G17"/>
    <mergeCell ref="H17:M17"/>
    <mergeCell ref="A19:A20"/>
    <mergeCell ref="H19:N20"/>
    <mergeCell ref="A21:A24"/>
    <mergeCell ref="H21:M24"/>
    <mergeCell ref="H25:M29"/>
    <mergeCell ref="H30:M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46"/>
  <sheetViews>
    <sheetView topLeftCell="A6" workbookViewId="0">
      <selection activeCell="J32" sqref="I32:J32"/>
    </sheetView>
  </sheetViews>
  <sheetFormatPr baseColWidth="10" defaultColWidth="11" defaultRowHeight="10.5" x14ac:dyDescent="0.15"/>
  <cols>
    <col min="1" max="1" width="6.5" customWidth="1"/>
    <col min="2" max="2" width="62.33203125" style="365" bestFit="1" customWidth="1"/>
    <col min="3" max="3" width="16.6640625" style="365" bestFit="1" customWidth="1"/>
    <col min="4" max="7" width="17.33203125" style="365" bestFit="1" customWidth="1"/>
    <col min="8" max="8" width="13.33203125" style="365" bestFit="1" customWidth="1"/>
    <col min="9" max="9" width="14.33203125" style="365" bestFit="1" customWidth="1"/>
    <col min="10" max="10" width="13.33203125" bestFit="1" customWidth="1"/>
    <col min="11" max="11" width="15" bestFit="1" customWidth="1"/>
  </cols>
  <sheetData>
    <row r="4" spans="2:7" ht="15" x14ac:dyDescent="0.25">
      <c r="B4" s="810" t="s">
        <v>57</v>
      </c>
      <c r="C4" s="810"/>
      <c r="D4" s="810"/>
      <c r="E4" s="810"/>
      <c r="F4" s="810"/>
      <c r="G4" s="810"/>
    </row>
    <row r="5" spans="2:7" ht="15" x14ac:dyDescent="0.25">
      <c r="B5" s="810" t="s">
        <v>318</v>
      </c>
      <c r="C5" s="810"/>
      <c r="D5" s="810"/>
      <c r="E5" s="810"/>
      <c r="F5" s="810"/>
      <c r="G5" s="810"/>
    </row>
    <row r="6" spans="2:7" ht="15" x14ac:dyDescent="0.25">
      <c r="B6" s="810" t="s">
        <v>60</v>
      </c>
      <c r="C6" s="810"/>
      <c r="D6" s="810"/>
      <c r="E6" s="810"/>
      <c r="F6" s="810"/>
      <c r="G6" s="810"/>
    </row>
    <row r="7" spans="2:7" ht="15" x14ac:dyDescent="0.25">
      <c r="B7" s="810"/>
      <c r="C7" s="810"/>
      <c r="D7" s="810"/>
      <c r="E7" s="810"/>
      <c r="F7" s="810"/>
      <c r="G7" s="810"/>
    </row>
    <row r="8" spans="2:7" ht="15" x14ac:dyDescent="0.25">
      <c r="B8" s="168"/>
      <c r="C8" s="169" t="s">
        <v>253</v>
      </c>
      <c r="D8" s="169" t="s">
        <v>254</v>
      </c>
      <c r="E8" s="169" t="s">
        <v>255</v>
      </c>
      <c r="F8" s="169" t="s">
        <v>256</v>
      </c>
      <c r="G8" s="169" t="s">
        <v>257</v>
      </c>
    </row>
    <row r="9" spans="2:7" ht="15" x14ac:dyDescent="0.25">
      <c r="B9" s="168"/>
      <c r="C9" s="169" t="s">
        <v>191</v>
      </c>
      <c r="D9" s="169" t="s">
        <v>192</v>
      </c>
      <c r="E9" s="169" t="s">
        <v>319</v>
      </c>
      <c r="F9" s="169" t="s">
        <v>320</v>
      </c>
      <c r="G9" s="169" t="s">
        <v>321</v>
      </c>
    </row>
    <row r="10" spans="2:7" ht="15" x14ac:dyDescent="0.25">
      <c r="B10" s="170"/>
      <c r="C10" s="171"/>
      <c r="D10" s="171"/>
      <c r="E10" s="171"/>
      <c r="F10" s="171"/>
      <c r="G10" s="171"/>
    </row>
    <row r="11" spans="2:7" ht="15" x14ac:dyDescent="0.25">
      <c r="B11" s="168" t="s">
        <v>322</v>
      </c>
      <c r="C11" s="466">
        <f>+PRESUPUESTO!F9</f>
        <v>159975000</v>
      </c>
      <c r="D11" s="466">
        <f>+PRESUPUESTO!G9</f>
        <v>239962500</v>
      </c>
      <c r="E11" s="466">
        <f>+PRESUPUESTO!H9</f>
        <v>251960625</v>
      </c>
      <c r="F11" s="466">
        <f>+PRESUPUESTO!I9</f>
        <v>264558656.25</v>
      </c>
      <c r="G11" s="466">
        <f>PRESUPUESTO!J13</f>
        <v>277786589.0625</v>
      </c>
    </row>
    <row r="12" spans="2:7" ht="15" x14ac:dyDescent="0.25">
      <c r="B12" s="168"/>
      <c r="C12" s="172"/>
      <c r="D12" s="172">
        <v>0</v>
      </c>
      <c r="E12" s="172">
        <v>0</v>
      </c>
      <c r="F12" s="172">
        <v>0</v>
      </c>
      <c r="G12" s="172">
        <v>0</v>
      </c>
    </row>
    <row r="13" spans="2:7" ht="15" x14ac:dyDescent="0.25">
      <c r="B13" s="168" t="s">
        <v>317</v>
      </c>
      <c r="C13" s="466">
        <f>-PRESUPUESTO!F38</f>
        <v>-68609000</v>
      </c>
      <c r="D13" s="466">
        <f>-PRESUPUESTO!G38</f>
        <v>-98369650</v>
      </c>
      <c r="E13" s="466">
        <f>-PRESUPUESTO!H38</f>
        <v>-104604642.5</v>
      </c>
      <c r="F13" s="466">
        <f>-PRESUPUESTO!I38</f>
        <v>-109900700.125</v>
      </c>
      <c r="G13" s="466">
        <f>-PRESUPUESTO!J38</f>
        <v>-115399026.40625</v>
      </c>
    </row>
    <row r="14" spans="2:7" ht="15.75" thickBot="1" x14ac:dyDescent="0.3">
      <c r="B14" s="173" t="s">
        <v>323</v>
      </c>
      <c r="C14" s="467">
        <f>SUM(C11:C13)</f>
        <v>91366000</v>
      </c>
      <c r="D14" s="467">
        <f t="shared" ref="D14:G14" si="0">SUM(D11:D13)</f>
        <v>141592850</v>
      </c>
      <c r="E14" s="467">
        <f t="shared" si="0"/>
        <v>147355982.5</v>
      </c>
      <c r="F14" s="467">
        <f t="shared" si="0"/>
        <v>154657956.125</v>
      </c>
      <c r="G14" s="467">
        <f t="shared" si="0"/>
        <v>162387562.65625</v>
      </c>
    </row>
    <row r="15" spans="2:7" ht="15.75" thickTop="1" x14ac:dyDescent="0.25">
      <c r="B15" s="174"/>
      <c r="C15" s="468"/>
      <c r="D15" s="172"/>
      <c r="E15" s="172"/>
      <c r="F15" s="172"/>
      <c r="G15" s="172"/>
    </row>
    <row r="16" spans="2:7" ht="15" x14ac:dyDescent="0.25">
      <c r="B16" s="168" t="s">
        <v>324</v>
      </c>
      <c r="C16" s="469">
        <f>+'FLUJO DE CAJA'!D13+'FLUJO DE CAJA'!D14+'FLUJO DE CAJA'!D15</f>
        <v>58711996.003114082</v>
      </c>
      <c r="D16" s="469">
        <f>+'FLUJO DE CAJA'!E13+'FLUJO DE CAJA'!E14+'FLUJO DE CAJA'!E15</f>
        <v>60649491.871216834</v>
      </c>
      <c r="E16" s="469">
        <f>+'FLUJO DE CAJA'!F13+'FLUJO DE CAJA'!F14+'FLUJO DE CAJA'!F15</f>
        <v>62650925.102966987</v>
      </c>
      <c r="F16" s="469">
        <f>+'FLUJO DE CAJA'!G13+'FLUJO DE CAJA'!G14+'FLUJO DE CAJA'!G15</f>
        <v>64718405.631364897</v>
      </c>
      <c r="G16" s="469">
        <f>+'FLUJO DE CAJA'!H13+'FLUJO DE CAJA'!H14+'FLUJO DE CAJA'!H15</f>
        <v>66854113.017199934</v>
      </c>
    </row>
    <row r="17" spans="2:11" ht="15" x14ac:dyDescent="0.25">
      <c r="B17" s="168" t="s">
        <v>325</v>
      </c>
      <c r="C17" s="469">
        <f>+'FLUJO DE CAJA'!D18+'FLUJO DE CAJA'!D22+'FLUJO DE CAJA'!D24</f>
        <v>14020000</v>
      </c>
      <c r="D17" s="469">
        <f>+'FLUJO DE CAJA'!E18+'FLUJO DE CAJA'!E22+'FLUJO DE CAJA'!E24</f>
        <v>20760000</v>
      </c>
      <c r="E17" s="469">
        <f>+'FLUJO DE CAJA'!F18+'FLUJO DE CAJA'!F22+'FLUJO DE CAJA'!F24</f>
        <v>21460260</v>
      </c>
      <c r="F17" s="469">
        <f>+'FLUJO DE CAJA'!G18+'FLUJO DE CAJA'!G22+'FLUJO DE CAJA'!G24</f>
        <v>22184882.579999998</v>
      </c>
      <c r="G17" s="469">
        <f>+'FLUJO DE CAJA'!H18+'FLUJO DE CAJA'!H22+'FLUJO DE CAJA'!H24</f>
        <v>22934719.357139997</v>
      </c>
      <c r="I17" s="470"/>
      <c r="K17" s="64"/>
    </row>
    <row r="18" spans="2:11" ht="15" x14ac:dyDescent="0.25">
      <c r="B18" s="168" t="s">
        <v>326</v>
      </c>
      <c r="C18" s="471">
        <f>+'FLUJO DE CAJA'!D27</f>
        <v>3950000</v>
      </c>
      <c r="D18" s="471">
        <f>+'FLUJO DE CAJA'!E27</f>
        <v>4100100</v>
      </c>
      <c r="E18" s="471">
        <f>+'FLUJO DE CAJA'!F27</f>
        <v>4255903.8</v>
      </c>
      <c r="F18" s="471">
        <f>+'FLUJO DE CAJA'!G27</f>
        <v>4417628.1443999996</v>
      </c>
      <c r="G18" s="471">
        <f>+'FLUJO DE CAJA'!H27</f>
        <v>4585498.0138871996</v>
      </c>
      <c r="H18" s="470"/>
      <c r="I18" s="470"/>
    </row>
    <row r="19" spans="2:11" ht="15" x14ac:dyDescent="0.25">
      <c r="B19" s="168" t="s">
        <v>327</v>
      </c>
      <c r="C19" s="471">
        <v>0</v>
      </c>
      <c r="D19" s="172">
        <v>0</v>
      </c>
      <c r="E19" s="172">
        <v>0</v>
      </c>
      <c r="F19" s="172">
        <v>0</v>
      </c>
      <c r="G19" s="172">
        <v>0</v>
      </c>
      <c r="I19" s="470"/>
    </row>
    <row r="20" spans="2:11" ht="15" x14ac:dyDescent="0.25">
      <c r="B20" s="168" t="s">
        <v>328</v>
      </c>
      <c r="C20" s="466">
        <f>+'FLUJO DE CAJA'!D21</f>
        <v>7268208</v>
      </c>
      <c r="D20" s="466">
        <f>+'FLUJO DE CAJA'!E21</f>
        <v>7486254.2400000002</v>
      </c>
      <c r="E20" s="466">
        <f>+'FLUJO DE CAJA'!F21</f>
        <v>7710841.8672000002</v>
      </c>
      <c r="F20" s="466">
        <f>+'FLUJO DE CAJA'!G21</f>
        <v>7942167.1232160004</v>
      </c>
      <c r="G20" s="466">
        <f>+'FLUJO DE CAJA'!H21</f>
        <v>8180432.1369124809</v>
      </c>
      <c r="I20" s="470"/>
    </row>
    <row r="21" spans="2:11" s="50" customFormat="1" ht="15" x14ac:dyDescent="0.25">
      <c r="B21" s="171" t="s">
        <v>329</v>
      </c>
      <c r="C21" s="172">
        <f>+DEPRECIACION!C8</f>
        <v>1180000</v>
      </c>
      <c r="D21" s="172">
        <f>+DEPRECIACION!D8</f>
        <v>1980000</v>
      </c>
      <c r="E21" s="172">
        <f>+DEPRECIACION!E8</f>
        <v>3480000</v>
      </c>
      <c r="F21" s="172">
        <f>+DEPRECIACION!F8</f>
        <v>3480000</v>
      </c>
      <c r="G21" s="172">
        <f>+DEPRECIACION!G8</f>
        <v>3480000</v>
      </c>
      <c r="H21" s="472"/>
      <c r="I21" s="472"/>
    </row>
    <row r="22" spans="2:11" ht="15.75" thickBot="1" x14ac:dyDescent="0.3">
      <c r="B22" s="175" t="s">
        <v>330</v>
      </c>
      <c r="C22" s="473">
        <f>+C14-C16-C17-C18-C20-C21</f>
        <v>6235795.9968859181</v>
      </c>
      <c r="D22" s="473">
        <f t="shared" ref="D22:G22" si="1">+D14-D16-D17-D18-D20-D21</f>
        <v>46617003.888783164</v>
      </c>
      <c r="E22" s="473">
        <f t="shared" si="1"/>
        <v>47798051.729833007</v>
      </c>
      <c r="F22" s="473">
        <f t="shared" si="1"/>
        <v>51914872.646019101</v>
      </c>
      <c r="G22" s="473">
        <f t="shared" si="1"/>
        <v>56352800.131110385</v>
      </c>
      <c r="I22" s="470"/>
      <c r="J22" s="345"/>
    </row>
    <row r="23" spans="2:11" ht="15.75" thickTop="1" x14ac:dyDescent="0.25">
      <c r="B23" s="176" t="s">
        <v>331</v>
      </c>
      <c r="C23" s="172"/>
      <c r="D23" s="172"/>
      <c r="E23" s="172"/>
      <c r="F23" s="172"/>
      <c r="G23" s="172"/>
      <c r="I23" s="470"/>
    </row>
    <row r="24" spans="2:11" ht="15" x14ac:dyDescent="0.25">
      <c r="B24" s="176" t="s">
        <v>332</v>
      </c>
      <c r="C24" s="172">
        <f>+'FLUJO DE CAJA'!D28+'FLUJO DE CAJA'!D29</f>
        <v>973712.34</v>
      </c>
      <c r="D24" s="172">
        <f>+'FLUJO DE CAJA'!E28+'FLUJO DE CAJA'!E29</f>
        <v>1517633.1159999999</v>
      </c>
      <c r="E24" s="172">
        <f>+'FLUJO DE CAJA'!F28+'FLUJO DE CAJA'!F29</f>
        <v>1556653.4440000001</v>
      </c>
      <c r="F24" s="172">
        <f>+'FLUJO DE CAJA'!G28+'FLUJO DE CAJA'!G29</f>
        <v>1673396.4720000001</v>
      </c>
      <c r="G24" s="172">
        <f>+'FLUJO DE CAJA'!H28+'FLUJO DE CAJA'!H29</f>
        <v>1713616.476</v>
      </c>
      <c r="I24" s="470"/>
    </row>
    <row r="25" spans="2:11" ht="15" x14ac:dyDescent="0.25">
      <c r="B25" s="177" t="s">
        <v>333</v>
      </c>
      <c r="C25" s="469">
        <f>+'AMORTIZACION '!M7</f>
        <v>995659.23627023015</v>
      </c>
      <c r="D25" s="469">
        <f>+'AMORTIZACION '!M8</f>
        <v>1289873.5543373118</v>
      </c>
      <c r="E25" s="469">
        <f>+'AMORTIZACION '!M9</f>
        <v>1015662.5103350087</v>
      </c>
      <c r="F25" s="469">
        <f>+'AMORTIZACION '!M10</f>
        <v>703601.43544313579</v>
      </c>
      <c r="G25" s="469">
        <f>+'AMORTIZACION '!M11</f>
        <v>348465.79596884327</v>
      </c>
      <c r="I25" s="470"/>
    </row>
    <row r="26" spans="2:11" ht="15.75" thickBot="1" x14ac:dyDescent="0.3">
      <c r="B26" s="175" t="s">
        <v>334</v>
      </c>
      <c r="C26" s="473">
        <f>+C22-C24-C25</f>
        <v>4266424.420615688</v>
      </c>
      <c r="D26" s="473">
        <f t="shared" ref="D26:G26" si="2">+D22-D24-D25</f>
        <v>43809497.218445852</v>
      </c>
      <c r="E26" s="473">
        <f t="shared" si="2"/>
        <v>45225735.775498003</v>
      </c>
      <c r="F26" s="473">
        <f t="shared" si="2"/>
        <v>49537874.738575965</v>
      </c>
      <c r="G26" s="473">
        <f t="shared" si="2"/>
        <v>54290717.859141536</v>
      </c>
    </row>
    <row r="27" spans="2:11" ht="15.75" thickTop="1" x14ac:dyDescent="0.25">
      <c r="B27" s="178"/>
      <c r="C27" s="172"/>
      <c r="D27" s="172"/>
      <c r="E27" s="172"/>
      <c r="F27" s="172"/>
      <c r="G27" s="172"/>
      <c r="I27" s="470"/>
    </row>
    <row r="28" spans="2:11" ht="15" x14ac:dyDescent="0.25">
      <c r="B28" s="178" t="s">
        <v>335</v>
      </c>
      <c r="C28" s="172"/>
      <c r="D28" s="172"/>
      <c r="E28" s="172"/>
      <c r="F28" s="172"/>
      <c r="G28" s="172"/>
    </row>
    <row r="29" spans="2:11" ht="15" x14ac:dyDescent="0.25">
      <c r="B29" s="179" t="s">
        <v>336</v>
      </c>
      <c r="C29" s="474">
        <f>+C26*0.31</f>
        <v>1322591.5703908633</v>
      </c>
      <c r="D29" s="474">
        <f>D26*0.3</f>
        <v>13142849.165533755</v>
      </c>
      <c r="E29" s="474">
        <f>+E26*0.3</f>
        <v>13567720.732649401</v>
      </c>
      <c r="F29" s="474">
        <f>+F26*0.3</f>
        <v>14861362.42157279</v>
      </c>
      <c r="G29" s="474">
        <f>+G26*0.3</f>
        <v>16287215.35774246</v>
      </c>
      <c r="I29" s="470"/>
      <c r="J29" s="345"/>
    </row>
    <row r="30" spans="2:11" ht="15" x14ac:dyDescent="0.25">
      <c r="B30" s="178"/>
      <c r="C30" s="172"/>
      <c r="D30" s="172"/>
      <c r="E30" s="172"/>
      <c r="F30" s="172"/>
      <c r="G30" s="172"/>
      <c r="I30" s="470"/>
    </row>
    <row r="31" spans="2:11" ht="15" x14ac:dyDescent="0.25">
      <c r="B31" s="178"/>
      <c r="C31" s="172"/>
      <c r="D31" s="172"/>
      <c r="E31" s="172"/>
      <c r="F31" s="172"/>
      <c r="G31" s="172"/>
      <c r="I31" s="470"/>
    </row>
    <row r="32" spans="2:11" ht="15.75" thickBot="1" x14ac:dyDescent="0.3">
      <c r="B32" s="175" t="s">
        <v>337</v>
      </c>
      <c r="C32" s="473">
        <f>+C26-C29</f>
        <v>2943832.8502248246</v>
      </c>
      <c r="D32" s="473">
        <f>+D26-D29</f>
        <v>30666648.052912097</v>
      </c>
      <c r="E32" s="473">
        <f>+E26-E29</f>
        <v>31658015.042848602</v>
      </c>
      <c r="F32" s="473">
        <f>+F26-F29</f>
        <v>34676512.317003176</v>
      </c>
      <c r="G32" s="473">
        <f>+G26-G29</f>
        <v>38003502.501399077</v>
      </c>
    </row>
    <row r="33" spans="2:8" s="484" customFormat="1" ht="15.75" thickTop="1" x14ac:dyDescent="0.25">
      <c r="B33" s="601"/>
      <c r="C33" s="602">
        <f>C32/C11*100</f>
        <v>1.8401830599936393</v>
      </c>
      <c r="D33" s="602">
        <f t="shared" ref="D33:G33" si="3">D32/D11*100</f>
        <v>12.779766860618679</v>
      </c>
      <c r="E33" s="602">
        <f t="shared" si="3"/>
        <v>12.564667611397059</v>
      </c>
      <c r="F33" s="602">
        <f t="shared" si="3"/>
        <v>13.107305883892497</v>
      </c>
      <c r="G33" s="602">
        <f t="shared" si="3"/>
        <v>13.680826936122736</v>
      </c>
      <c r="H33" s="484" t="s">
        <v>311</v>
      </c>
    </row>
    <row r="34" spans="2:8" ht="15" x14ac:dyDescent="0.25">
      <c r="B34" s="171" t="s">
        <v>338</v>
      </c>
      <c r="C34" s="172">
        <f>C32*10%</f>
        <v>294383.28502248245</v>
      </c>
      <c r="D34" s="475">
        <f>D32*10%</f>
        <v>3066664.8052912098</v>
      </c>
      <c r="E34" s="475">
        <f>E32*10%</f>
        <v>3165801.5042848606</v>
      </c>
      <c r="F34" s="475">
        <f>F32*10%</f>
        <v>3467651.2317003179</v>
      </c>
      <c r="G34" s="475">
        <f>G32*10%</f>
        <v>3800350.2501399079</v>
      </c>
    </row>
    <row r="35" spans="2:8" ht="15" x14ac:dyDescent="0.25">
      <c r="B35" s="171" t="s">
        <v>339</v>
      </c>
      <c r="C35" s="172">
        <f>C32-C34</f>
        <v>2649449.5652023423</v>
      </c>
      <c r="D35" s="172">
        <f>D32-D34</f>
        <v>27599983.247620888</v>
      </c>
      <c r="E35" s="172">
        <f>E32-E34</f>
        <v>28492213.538563743</v>
      </c>
      <c r="F35" s="172">
        <f>F32-F34</f>
        <v>31208861.08530286</v>
      </c>
      <c r="G35" s="172">
        <f>G32-G34</f>
        <v>34203152.25125917</v>
      </c>
    </row>
    <row r="36" spans="2:8" ht="15" x14ac:dyDescent="0.25">
      <c r="B36" s="168"/>
      <c r="C36" s="171"/>
      <c r="D36" s="171"/>
      <c r="E36" s="171"/>
      <c r="F36" s="171"/>
      <c r="G36" s="171"/>
    </row>
    <row r="37" spans="2:8" ht="15" x14ac:dyDescent="0.25">
      <c r="B37" s="168"/>
      <c r="C37" s="171"/>
      <c r="D37" s="171"/>
      <c r="E37" s="171"/>
      <c r="F37" s="171"/>
      <c r="G37" s="171"/>
    </row>
    <row r="38" spans="2:8" ht="15" x14ac:dyDescent="0.25">
      <c r="B38" s="168"/>
      <c r="C38" s="171"/>
      <c r="D38" s="171"/>
      <c r="E38" s="171"/>
      <c r="F38" s="171"/>
      <c r="G38" s="171"/>
    </row>
    <row r="39" spans="2:8" ht="15" x14ac:dyDescent="0.25">
      <c r="B39" s="168"/>
      <c r="C39" s="171"/>
      <c r="D39" s="171"/>
      <c r="E39" s="171"/>
      <c r="F39" s="171"/>
      <c r="G39" s="171"/>
    </row>
    <row r="40" spans="2:8" ht="15" x14ac:dyDescent="0.25">
      <c r="B40" s="168"/>
      <c r="C40" s="171"/>
      <c r="D40" s="171"/>
      <c r="E40" s="171"/>
      <c r="F40" s="171"/>
      <c r="G40" s="171"/>
    </row>
    <row r="41" spans="2:8" ht="15" x14ac:dyDescent="0.25">
      <c r="B41" s="168"/>
      <c r="C41" s="171"/>
      <c r="D41" s="171"/>
      <c r="E41" s="171"/>
      <c r="F41" s="171"/>
      <c r="G41" s="171"/>
    </row>
    <row r="42" spans="2:8" ht="15" x14ac:dyDescent="0.25">
      <c r="B42" s="180" t="s">
        <v>81</v>
      </c>
      <c r="C42" s="181"/>
      <c r="D42" s="811" t="s">
        <v>82</v>
      </c>
      <c r="E42" s="811"/>
      <c r="F42" s="811"/>
      <c r="G42" s="811"/>
    </row>
    <row r="43" spans="2:8" ht="15" x14ac:dyDescent="0.25">
      <c r="B43" s="182" t="s">
        <v>83</v>
      </c>
      <c r="C43" s="181"/>
      <c r="D43" s="809" t="s">
        <v>84</v>
      </c>
      <c r="E43" s="809"/>
      <c r="F43" s="809"/>
      <c r="G43" s="809"/>
    </row>
    <row r="44" spans="2:8" ht="15" x14ac:dyDescent="0.25">
      <c r="B44" s="174"/>
      <c r="C44" s="181"/>
      <c r="D44" s="809" t="s">
        <v>85</v>
      </c>
      <c r="E44" s="809"/>
      <c r="F44" s="809"/>
      <c r="G44" s="809"/>
    </row>
    <row r="45" spans="2:8" ht="15" x14ac:dyDescent="0.25">
      <c r="B45" s="168"/>
      <c r="C45" s="171"/>
      <c r="D45" s="171"/>
      <c r="E45" s="171"/>
      <c r="F45" s="171"/>
      <c r="G45" s="171"/>
    </row>
    <row r="46" spans="2:8" ht="15" x14ac:dyDescent="0.25">
      <c r="B46" s="168"/>
      <c r="C46" s="171"/>
      <c r="D46" s="171"/>
      <c r="E46" s="171"/>
      <c r="F46" s="171"/>
      <c r="G46" s="171"/>
    </row>
  </sheetData>
  <mergeCells count="7">
    <mergeCell ref="D44:G44"/>
    <mergeCell ref="B4:G4"/>
    <mergeCell ref="B5:G5"/>
    <mergeCell ref="B6:G6"/>
    <mergeCell ref="B7:G7"/>
    <mergeCell ref="D42:G42"/>
    <mergeCell ref="D43:G4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topLeftCell="E22" workbookViewId="0">
      <selection activeCell="M46" sqref="M46"/>
    </sheetView>
  </sheetViews>
  <sheetFormatPr baseColWidth="10" defaultColWidth="11" defaultRowHeight="10.5" x14ac:dyDescent="0.15"/>
  <cols>
    <col min="1" max="1" width="46.1640625" customWidth="1"/>
    <col min="2" max="2" width="16" bestFit="1" customWidth="1"/>
    <col min="4" max="4" width="13.6640625" bestFit="1" customWidth="1"/>
    <col min="5" max="5" width="23.83203125" bestFit="1" customWidth="1"/>
    <col min="6" max="6" width="10.33203125" style="415" customWidth="1"/>
    <col min="7" max="7" width="34.33203125" customWidth="1"/>
    <col min="8" max="8" width="33.6640625" customWidth="1"/>
    <col min="9" max="9" width="12.1640625" bestFit="1" customWidth="1"/>
    <col min="11" max="11" width="18.5" bestFit="1" customWidth="1"/>
    <col min="13" max="14" width="13.33203125" style="484" bestFit="1" customWidth="1"/>
    <col min="15" max="15" width="11" style="484"/>
    <col min="16" max="16" width="13.33203125" style="484" bestFit="1" customWidth="1"/>
    <col min="17" max="17" width="11" style="484"/>
  </cols>
  <sheetData>
    <row r="1" spans="1:18" ht="12.75" x14ac:dyDescent="0.2">
      <c r="A1" s="822" t="s">
        <v>340</v>
      </c>
      <c r="B1" s="822"/>
      <c r="C1" s="822"/>
      <c r="D1" s="822"/>
      <c r="E1" s="822"/>
      <c r="G1" s="822" t="s">
        <v>340</v>
      </c>
      <c r="H1" s="822"/>
      <c r="I1" s="822"/>
      <c r="J1" s="822"/>
      <c r="K1" s="822"/>
    </row>
    <row r="2" spans="1:18" ht="12.75" x14ac:dyDescent="0.2">
      <c r="A2" s="822" t="s">
        <v>341</v>
      </c>
      <c r="B2" s="822"/>
      <c r="C2" s="822"/>
      <c r="D2" s="822"/>
      <c r="E2" s="822"/>
      <c r="G2" s="822" t="s">
        <v>342</v>
      </c>
      <c r="H2" s="822"/>
      <c r="I2" s="822"/>
      <c r="J2" s="822"/>
      <c r="K2" s="822"/>
    </row>
    <row r="3" spans="1:18" ht="11.25" thickBot="1" x14ac:dyDescent="0.2"/>
    <row r="4" spans="1:18" ht="18" thickBot="1" x14ac:dyDescent="0.35">
      <c r="A4" s="435"/>
      <c r="B4" s="436"/>
      <c r="C4" s="437"/>
      <c r="D4" s="438"/>
      <c r="E4" s="439"/>
      <c r="F4" s="506"/>
      <c r="G4" s="435"/>
      <c r="H4" s="436"/>
      <c r="I4" s="437"/>
      <c r="J4" s="438"/>
      <c r="K4" s="439"/>
      <c r="M4" s="603"/>
      <c r="N4" s="603"/>
      <c r="O4" s="603"/>
    </row>
    <row r="5" spans="1:18" ht="17.25" x14ac:dyDescent="0.3">
      <c r="A5" s="814" t="s">
        <v>343</v>
      </c>
      <c r="B5" s="440"/>
      <c r="C5" s="441"/>
      <c r="D5" s="442"/>
      <c r="E5" s="443"/>
      <c r="F5" s="506"/>
      <c r="G5" s="814" t="s">
        <v>343</v>
      </c>
      <c r="H5" s="440"/>
      <c r="I5" s="441"/>
      <c r="J5" s="442"/>
      <c r="K5" s="443"/>
      <c r="M5" s="603"/>
      <c r="N5" s="603"/>
      <c r="O5" s="603"/>
    </row>
    <row r="6" spans="1:18" ht="18" thickBot="1" x14ac:dyDescent="0.35">
      <c r="A6" s="815"/>
      <c r="B6" s="440" t="s">
        <v>344</v>
      </c>
      <c r="C6" s="817" t="s">
        <v>345</v>
      </c>
      <c r="D6" s="817"/>
      <c r="E6" s="818"/>
      <c r="F6" s="506"/>
      <c r="G6" s="815"/>
      <c r="H6" s="440" t="s">
        <v>344</v>
      </c>
      <c r="I6" s="817" t="s">
        <v>345</v>
      </c>
      <c r="J6" s="817"/>
      <c r="K6" s="818"/>
      <c r="M6" s="812"/>
      <c r="N6" s="812"/>
      <c r="O6" s="812"/>
      <c r="P6" s="606"/>
    </row>
    <row r="7" spans="1:18" ht="18" thickBot="1" x14ac:dyDescent="0.35">
      <c r="A7" s="816"/>
      <c r="B7" s="440"/>
      <c r="C7" s="819" t="s">
        <v>346</v>
      </c>
      <c r="D7" s="819"/>
      <c r="E7" s="820"/>
      <c r="F7" s="506"/>
      <c r="G7" s="816"/>
      <c r="H7" s="440"/>
      <c r="I7" s="819" t="s">
        <v>346</v>
      </c>
      <c r="J7" s="819"/>
      <c r="K7" s="820"/>
      <c r="M7" s="812"/>
      <c r="N7" s="812"/>
      <c r="O7" s="812"/>
      <c r="P7" s="603"/>
      <c r="Q7" s="607"/>
      <c r="R7" s="345"/>
    </row>
    <row r="8" spans="1:18" ht="18" thickBot="1" x14ac:dyDescent="0.35">
      <c r="A8" s="444"/>
      <c r="B8" s="445"/>
      <c r="C8" s="446"/>
      <c r="D8" s="447"/>
      <c r="E8" s="448"/>
      <c r="F8" s="506"/>
      <c r="G8" s="444"/>
      <c r="H8" s="445"/>
      <c r="I8" s="446"/>
      <c r="J8" s="447"/>
      <c r="K8" s="448"/>
      <c r="M8" s="813"/>
      <c r="N8" s="813"/>
      <c r="O8" s="813"/>
    </row>
    <row r="9" spans="1:18" ht="17.25" x14ac:dyDescent="0.3">
      <c r="A9" s="821" t="s">
        <v>347</v>
      </c>
      <c r="B9" s="821"/>
      <c r="C9" s="821"/>
      <c r="D9" s="821"/>
      <c r="E9" s="821"/>
      <c r="F9" s="506"/>
      <c r="G9" s="821" t="s">
        <v>347</v>
      </c>
      <c r="H9" s="821"/>
      <c r="I9" s="821"/>
      <c r="J9" s="821"/>
      <c r="K9" s="821"/>
      <c r="M9" s="603"/>
      <c r="N9" s="603"/>
      <c r="O9" s="603"/>
    </row>
    <row r="10" spans="1:18" ht="17.25" x14ac:dyDescent="0.3">
      <c r="A10" s="449" t="s">
        <v>348</v>
      </c>
      <c r="B10" s="450"/>
      <c r="C10" s="449"/>
      <c r="D10" s="451"/>
      <c r="E10" s="392">
        <f>B43*E22</f>
        <v>46568841.733765677</v>
      </c>
      <c r="F10" s="508"/>
      <c r="G10" s="449" t="s">
        <v>348</v>
      </c>
      <c r="H10" s="450"/>
      <c r="I10" s="449"/>
      <c r="J10" s="451"/>
      <c r="K10" s="392">
        <f>E24*B43</f>
        <v>35563154.26934839</v>
      </c>
      <c r="M10" s="606"/>
      <c r="N10" s="606"/>
      <c r="O10" s="603"/>
    </row>
    <row r="11" spans="1:18" ht="17.25" x14ac:dyDescent="0.3">
      <c r="A11" s="449" t="s">
        <v>349</v>
      </c>
      <c r="B11" s="450"/>
      <c r="C11" s="449"/>
      <c r="D11" s="451"/>
      <c r="E11" s="392">
        <f>B23</f>
        <v>1200</v>
      </c>
      <c r="F11" s="506"/>
      <c r="G11" s="449" t="s">
        <v>349</v>
      </c>
      <c r="H11" s="450"/>
      <c r="I11" s="449"/>
      <c r="J11" s="451"/>
      <c r="K11" s="392">
        <f>PRESUPUESTO!C7</f>
        <v>2850</v>
      </c>
    </row>
    <row r="12" spans="1:18" ht="17.25" x14ac:dyDescent="0.3">
      <c r="A12" s="449" t="s">
        <v>350</v>
      </c>
      <c r="B12" s="450"/>
      <c r="C12" s="449"/>
      <c r="D12" s="451"/>
      <c r="E12" s="392">
        <f>I26</f>
        <v>578.88843750000001</v>
      </c>
      <c r="F12" s="507"/>
      <c r="G12" s="449" t="s">
        <v>350</v>
      </c>
      <c r="H12" s="450"/>
      <c r="I12" s="449"/>
      <c r="J12" s="451"/>
      <c r="K12" s="392">
        <f>I28</f>
        <v>1375.3563425925927</v>
      </c>
    </row>
    <row r="13" spans="1:18" ht="52.5" customHeight="1" x14ac:dyDescent="0.3">
      <c r="A13" s="451" t="s">
        <v>351</v>
      </c>
      <c r="B13" s="450"/>
      <c r="C13" s="452"/>
      <c r="D13" s="453"/>
      <c r="E13" s="456">
        <f>E10/(E11-E12)</f>
        <v>74976.613776636426</v>
      </c>
      <c r="F13" s="506"/>
      <c r="G13" s="451" t="s">
        <v>351</v>
      </c>
      <c r="H13" s="450"/>
      <c r="I13" s="452"/>
      <c r="J13" s="453"/>
      <c r="K13" s="456">
        <f>K10/(K11-K12)</f>
        <v>24116.439311089227</v>
      </c>
    </row>
    <row r="14" spans="1:18" ht="17.25" x14ac:dyDescent="0.3">
      <c r="A14" s="449" t="s">
        <v>352</v>
      </c>
      <c r="B14" s="450"/>
      <c r="C14" s="449"/>
      <c r="D14" s="451"/>
      <c r="E14" s="459">
        <f>E13*E11</f>
        <v>89971936.531963706</v>
      </c>
      <c r="F14" s="508"/>
      <c r="G14" s="449" t="s">
        <v>352</v>
      </c>
      <c r="H14" s="450"/>
      <c r="I14" s="449"/>
      <c r="J14" s="451"/>
      <c r="K14" s="459">
        <f>K13*K11</f>
        <v>68731852.0366043</v>
      </c>
      <c r="M14" s="366"/>
    </row>
    <row r="15" spans="1:18" x14ac:dyDescent="0.15">
      <c r="H15" s="396"/>
      <c r="M15" s="366"/>
    </row>
    <row r="16" spans="1:18" ht="17.25" x14ac:dyDescent="0.3">
      <c r="A16" s="608" t="s">
        <v>353</v>
      </c>
      <c r="E16" s="645">
        <f>8*E14/PRESUPUESTO!F6</f>
        <v>7.9340332038768704</v>
      </c>
      <c r="F16" s="509"/>
      <c r="G16" s="608" t="s">
        <v>353</v>
      </c>
      <c r="H16" s="396" t="s">
        <v>354</v>
      </c>
      <c r="K16" s="645">
        <f>8*K14/PRESUPUESTO!F7</f>
        <v>7.9395684974779348</v>
      </c>
      <c r="M16" s="607">
        <f>E10+K10</f>
        <v>82131996.003114074</v>
      </c>
    </row>
    <row r="17" spans="1:13" x14ac:dyDescent="0.15">
      <c r="E17" s="454"/>
      <c r="F17" s="510"/>
      <c r="H17" s="396"/>
      <c r="M17" s="366"/>
    </row>
    <row r="18" spans="1:13" x14ac:dyDescent="0.15">
      <c r="F18" s="509"/>
      <c r="H18" s="396"/>
      <c r="M18" s="366"/>
    </row>
    <row r="19" spans="1:13" x14ac:dyDescent="0.15">
      <c r="M19" s="366"/>
    </row>
    <row r="20" spans="1:13" x14ac:dyDescent="0.15">
      <c r="D20" s="784" t="s">
        <v>355</v>
      </c>
      <c r="E20" s="784"/>
    </row>
    <row r="21" spans="1:13" ht="11.25" thickBot="1" x14ac:dyDescent="0.2"/>
    <row r="22" spans="1:13" ht="11.25" x14ac:dyDescent="0.15">
      <c r="A22" s="65"/>
      <c r="B22" s="67"/>
      <c r="D22" t="s">
        <v>341</v>
      </c>
      <c r="E22" s="511">
        <v>0.56699999999999995</v>
      </c>
    </row>
    <row r="23" spans="1:13" ht="12" thickBot="1" x14ac:dyDescent="0.2">
      <c r="A23" s="68" t="s">
        <v>356</v>
      </c>
      <c r="B23" s="499">
        <f>PRESUPUESTO!C6</f>
        <v>1200</v>
      </c>
    </row>
    <row r="24" spans="1:13" ht="11.25" x14ac:dyDescent="0.15">
      <c r="A24" s="68" t="s">
        <v>357</v>
      </c>
      <c r="B24" s="499">
        <f>PRESUPUESTO!C7</f>
        <v>2850</v>
      </c>
      <c r="D24" t="s">
        <v>358</v>
      </c>
      <c r="E24" s="512">
        <v>0.433</v>
      </c>
      <c r="G24" s="609" t="s">
        <v>359</v>
      </c>
      <c r="H24" s="610" t="s">
        <v>360</v>
      </c>
      <c r="I24" s="610" t="s">
        <v>361</v>
      </c>
      <c r="J24" s="611"/>
    </row>
    <row r="25" spans="1:13" ht="12" thickBot="1" x14ac:dyDescent="0.2">
      <c r="A25" s="500"/>
      <c r="B25" s="501"/>
      <c r="G25" s="612"/>
      <c r="H25" s="51"/>
      <c r="I25" s="51"/>
      <c r="J25" s="613"/>
    </row>
    <row r="26" spans="1:13" x14ac:dyDescent="0.15">
      <c r="E26" s="511">
        <f>SUM(E22:E25)</f>
        <v>1</v>
      </c>
      <c r="G26" s="614">
        <f>PRESUPUESTO!F38*'PUNTO DE EQUILIBRIO'!E22</f>
        <v>38901303</v>
      </c>
      <c r="H26" s="615">
        <f>PRESUPUESTO!D11</f>
        <v>67200</v>
      </c>
      <c r="I26" s="616">
        <f>G26/H26</f>
        <v>578.88843750000001</v>
      </c>
      <c r="J26" s="617" t="s">
        <v>341</v>
      </c>
      <c r="K26" s="629"/>
    </row>
    <row r="27" spans="1:13" ht="11.25" thickBot="1" x14ac:dyDescent="0.2">
      <c r="G27" s="612"/>
      <c r="H27" s="51"/>
      <c r="I27" s="51"/>
      <c r="J27" s="617"/>
      <c r="K27" s="629"/>
    </row>
    <row r="28" spans="1:13" ht="11.25" x14ac:dyDescent="0.15">
      <c r="A28" s="65"/>
      <c r="B28" s="67"/>
      <c r="G28" s="614">
        <f>PRESUPUESTO!F38*'PUNTO DE EQUILIBRIO'!E24</f>
        <v>29707697</v>
      </c>
      <c r="H28" s="616">
        <f>PRESUPUESTO!D13</f>
        <v>21600</v>
      </c>
      <c r="I28" s="618">
        <f>G28/H28</f>
        <v>1375.3563425925927</v>
      </c>
      <c r="J28" s="617" t="s">
        <v>342</v>
      </c>
      <c r="K28" s="629"/>
    </row>
    <row r="29" spans="1:13" ht="11.25" x14ac:dyDescent="0.15">
      <c r="A29" s="68" t="s">
        <v>362</v>
      </c>
      <c r="B29" s="499">
        <f>+PRESUPUESTO!C19+(PRESUPUESTO!C21*56.7%)</f>
        <v>2540.1999999999998</v>
      </c>
      <c r="G29" s="612"/>
      <c r="H29" s="616"/>
      <c r="I29" s="616"/>
      <c r="J29" s="613"/>
    </row>
    <row r="30" spans="1:13" ht="11.25" x14ac:dyDescent="0.15">
      <c r="A30" s="68" t="s">
        <v>363</v>
      </c>
      <c r="B30" s="499">
        <f>+PRESUPUESTO!C20+(PRESUPUESTO!C21*43.3%)</f>
        <v>2409.8000000000002</v>
      </c>
      <c r="G30" s="619">
        <f>SUM(G26:G29)</f>
        <v>68609000</v>
      </c>
      <c r="H30" s="51"/>
      <c r="I30" s="51"/>
      <c r="J30" s="613"/>
    </row>
    <row r="31" spans="1:13" ht="12" thickBot="1" x14ac:dyDescent="0.2">
      <c r="A31" s="500"/>
      <c r="B31" s="501"/>
      <c r="G31" s="620"/>
      <c r="H31" s="621"/>
      <c r="I31" s="621"/>
      <c r="J31" s="622"/>
    </row>
    <row r="32" spans="1:13" x14ac:dyDescent="0.15">
      <c r="E32" s="345"/>
    </row>
    <row r="33" spans="1:2" ht="11.25" thickBot="1" x14ac:dyDescent="0.2"/>
    <row r="34" spans="1:2" ht="11.25" x14ac:dyDescent="0.15">
      <c r="A34" s="502" t="s">
        <v>364</v>
      </c>
      <c r="B34" s="503"/>
    </row>
    <row r="35" spans="1:2" ht="11.25" x14ac:dyDescent="0.15">
      <c r="A35" s="68"/>
      <c r="B35" s="499"/>
    </row>
    <row r="36" spans="1:2" ht="11.25" x14ac:dyDescent="0.15">
      <c r="A36" s="68" t="s">
        <v>110</v>
      </c>
      <c r="B36" s="499">
        <f>+'FLUJO DE CAJA'!D22</f>
        <v>4400000</v>
      </c>
    </row>
    <row r="37" spans="1:2" ht="11.25" x14ac:dyDescent="0.15">
      <c r="A37" s="68" t="s">
        <v>365</v>
      </c>
      <c r="B37" s="499">
        <f>'FLUJO DE CAJA'!D18</f>
        <v>9080000</v>
      </c>
    </row>
    <row r="38" spans="1:2" ht="11.25" x14ac:dyDescent="0.15">
      <c r="A38" s="68" t="s">
        <v>212</v>
      </c>
      <c r="B38" s="499">
        <f>+'FLUJO DE CAJA'!D24</f>
        <v>540000</v>
      </c>
    </row>
    <row r="39" spans="1:2" ht="11.25" x14ac:dyDescent="0.15">
      <c r="A39" s="68" t="s">
        <v>366</v>
      </c>
      <c r="B39" s="499">
        <f>+'FLUJO DE CAJA'!D18</f>
        <v>9080000</v>
      </c>
    </row>
    <row r="40" spans="1:2" ht="11.25" x14ac:dyDescent="0.15">
      <c r="A40" s="68" t="s">
        <v>367</v>
      </c>
      <c r="B40" s="499">
        <f>+NOMINA!G29</f>
        <v>59031996.003114074</v>
      </c>
    </row>
    <row r="41" spans="1:2" ht="11.25" x14ac:dyDescent="0.15">
      <c r="A41" s="68"/>
      <c r="B41" s="499"/>
    </row>
    <row r="42" spans="1:2" ht="12" thickBot="1" x14ac:dyDescent="0.2">
      <c r="A42" s="68"/>
      <c r="B42" s="499"/>
    </row>
    <row r="43" spans="1:2" ht="12" thickBot="1" x14ac:dyDescent="0.2">
      <c r="A43" s="504"/>
      <c r="B43" s="505">
        <f>SUM(B36:B42)</f>
        <v>82131996.003114074</v>
      </c>
    </row>
    <row r="47" spans="1:2" x14ac:dyDescent="0.15">
      <c r="B47" s="64"/>
    </row>
  </sheetData>
  <mergeCells count="16">
    <mergeCell ref="A1:E1"/>
    <mergeCell ref="A2:E2"/>
    <mergeCell ref="G9:K9"/>
    <mergeCell ref="G1:K1"/>
    <mergeCell ref="G2:K2"/>
    <mergeCell ref="G5:G7"/>
    <mergeCell ref="I6:K6"/>
    <mergeCell ref="I7:K7"/>
    <mergeCell ref="D20:E20"/>
    <mergeCell ref="M6:O6"/>
    <mergeCell ref="M7:O7"/>
    <mergeCell ref="M8:O8"/>
    <mergeCell ref="A5:A7"/>
    <mergeCell ref="C6:E6"/>
    <mergeCell ref="C7:E7"/>
    <mergeCell ref="A9:E9"/>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J25"/>
  <sheetViews>
    <sheetView topLeftCell="B1" zoomScale="130" zoomScaleNormal="130" workbookViewId="0">
      <selection activeCell="D5" sqref="D5:J25"/>
    </sheetView>
  </sheetViews>
  <sheetFormatPr baseColWidth="10" defaultColWidth="11" defaultRowHeight="10.5" x14ac:dyDescent="0.15"/>
  <cols>
    <col min="4" max="4" width="51.83203125" bestFit="1" customWidth="1"/>
    <col min="5" max="8" width="16" bestFit="1" customWidth="1"/>
    <col min="9" max="9" width="17.1640625" bestFit="1" customWidth="1"/>
  </cols>
  <sheetData>
    <row r="5" spans="4:10" x14ac:dyDescent="0.15">
      <c r="D5" s="603"/>
      <c r="E5" s="603"/>
      <c r="F5" s="603"/>
      <c r="G5" s="603"/>
      <c r="H5" s="603"/>
      <c r="I5" s="603"/>
      <c r="J5" s="603"/>
    </row>
    <row r="6" spans="4:10" x14ac:dyDescent="0.15">
      <c r="D6" s="603"/>
      <c r="E6" s="603"/>
      <c r="F6" s="603"/>
      <c r="G6" s="603"/>
      <c r="H6" s="603"/>
      <c r="I6" s="603"/>
      <c r="J6" s="603"/>
    </row>
    <row r="7" spans="4:10" x14ac:dyDescent="0.15">
      <c r="D7" s="603"/>
      <c r="E7" s="603"/>
      <c r="F7" s="603"/>
      <c r="G7" s="603"/>
      <c r="H7" s="603"/>
      <c r="I7" s="603"/>
      <c r="J7" s="603"/>
    </row>
    <row r="8" spans="4:10" x14ac:dyDescent="0.15">
      <c r="D8" s="604" t="s">
        <v>334</v>
      </c>
      <c r="E8" s="604">
        <v>22525624.420615695</v>
      </c>
      <c r="F8" s="604">
        <v>78567127.218445852</v>
      </c>
      <c r="G8" s="604">
        <v>84549539.995497987</v>
      </c>
      <c r="H8" s="604">
        <v>97906683.389735952</v>
      </c>
      <c r="I8" s="604">
        <v>110459017.83061689</v>
      </c>
      <c r="J8" s="603"/>
    </row>
    <row r="9" spans="4:10" x14ac:dyDescent="0.15">
      <c r="D9" s="604"/>
      <c r="E9" s="604"/>
      <c r="F9" s="604"/>
      <c r="G9" s="604"/>
      <c r="H9" s="604"/>
      <c r="I9" s="604"/>
      <c r="J9" s="603"/>
    </row>
    <row r="10" spans="4:10" x14ac:dyDescent="0.15">
      <c r="D10" s="604" t="s">
        <v>335</v>
      </c>
      <c r="E10" s="604"/>
      <c r="F10" s="604"/>
      <c r="G10" s="604"/>
      <c r="H10" s="604"/>
      <c r="I10" s="604"/>
      <c r="J10" s="603"/>
    </row>
    <row r="11" spans="4:10" x14ac:dyDescent="0.15">
      <c r="D11" s="604" t="s">
        <v>336</v>
      </c>
      <c r="E11" s="604">
        <v>6982943.5703908652</v>
      </c>
      <c r="F11" s="604">
        <v>23570138.165533755</v>
      </c>
      <c r="G11" s="604">
        <v>25364861.998649396</v>
      </c>
      <c r="H11" s="604">
        <v>29372005.016920786</v>
      </c>
      <c r="I11" s="604">
        <v>33137705.349185064</v>
      </c>
      <c r="J11" s="603"/>
    </row>
    <row r="12" spans="4:10" x14ac:dyDescent="0.15">
      <c r="D12" s="604"/>
      <c r="E12" s="604"/>
      <c r="F12" s="604"/>
      <c r="G12" s="604"/>
      <c r="H12" s="604"/>
      <c r="I12" s="604"/>
      <c r="J12" s="603"/>
    </row>
    <row r="13" spans="4:10" x14ac:dyDescent="0.15">
      <c r="D13" s="604"/>
      <c r="E13" s="604"/>
      <c r="F13" s="604">
        <v>68985402</v>
      </c>
      <c r="G13" s="604"/>
      <c r="H13" s="604"/>
      <c r="I13" s="604"/>
      <c r="J13" s="603"/>
    </row>
    <row r="14" spans="4:10" x14ac:dyDescent="0.15">
      <c r="D14" s="604" t="s">
        <v>337</v>
      </c>
      <c r="E14" s="604">
        <v>15542680.85022483</v>
      </c>
      <c r="F14" s="604">
        <v>0</v>
      </c>
      <c r="G14" s="604">
        <v>59184677.996848591</v>
      </c>
      <c r="H14" s="604">
        <v>68534678.372815162</v>
      </c>
      <c r="I14" s="604">
        <v>77321312.481431827</v>
      </c>
      <c r="J14" s="603"/>
    </row>
    <row r="15" spans="4:10" x14ac:dyDescent="0.15">
      <c r="D15" s="604"/>
      <c r="E15" s="604"/>
      <c r="F15" s="604"/>
      <c r="G15" s="604"/>
      <c r="H15" s="604"/>
      <c r="I15" s="604"/>
      <c r="J15" s="603"/>
    </row>
    <row r="16" spans="4:10" x14ac:dyDescent="0.15">
      <c r="D16" s="604" t="s">
        <v>338</v>
      </c>
      <c r="E16" s="604">
        <v>1554268.085022483</v>
      </c>
      <c r="F16" s="604">
        <v>5499698.9052912109</v>
      </c>
      <c r="G16" s="604">
        <v>5918467.7996848598</v>
      </c>
      <c r="H16" s="604">
        <v>6853467.8372815168</v>
      </c>
      <c r="I16" s="604">
        <v>7732131.2481431831</v>
      </c>
      <c r="J16" s="603"/>
    </row>
    <row r="17" spans="4:10" x14ac:dyDescent="0.15">
      <c r="D17" s="604" t="s">
        <v>368</v>
      </c>
      <c r="E17" s="604">
        <v>13988412.765202347</v>
      </c>
      <c r="F17" s="604">
        <v>49497290.147620887</v>
      </c>
      <c r="G17" s="604">
        <v>53266210.197163731</v>
      </c>
      <c r="H17" s="604">
        <v>61681210.535533644</v>
      </c>
      <c r="I17" s="604">
        <v>69589181.233288646</v>
      </c>
      <c r="J17" s="603"/>
    </row>
    <row r="18" spans="4:10" x14ac:dyDescent="0.15">
      <c r="D18" s="604"/>
      <c r="E18" s="604"/>
      <c r="F18" s="604"/>
      <c r="G18" s="604"/>
      <c r="H18" s="604"/>
      <c r="I18" s="604"/>
      <c r="J18" s="603"/>
    </row>
    <row r="19" spans="4:10" x14ac:dyDescent="0.15">
      <c r="D19" s="603"/>
      <c r="E19" s="603"/>
      <c r="F19" s="603"/>
      <c r="G19" s="603"/>
      <c r="H19" s="603"/>
      <c r="I19" s="603"/>
      <c r="J19" s="603"/>
    </row>
    <row r="20" spans="4:10" x14ac:dyDescent="0.15">
      <c r="D20" s="603"/>
      <c r="E20" s="603"/>
      <c r="F20" s="603"/>
      <c r="G20" s="603"/>
      <c r="H20" s="603"/>
      <c r="I20" s="603"/>
      <c r="J20" s="603"/>
    </row>
    <row r="21" spans="4:10" x14ac:dyDescent="0.15">
      <c r="D21" s="603" t="s">
        <v>369</v>
      </c>
      <c r="E21" s="605">
        <f>+E17+F14</f>
        <v>13988412.765202347</v>
      </c>
      <c r="F21" s="603"/>
      <c r="G21" s="603"/>
      <c r="H21" s="603"/>
      <c r="I21" s="603"/>
      <c r="J21" s="603"/>
    </row>
    <row r="22" spans="4:10" x14ac:dyDescent="0.15">
      <c r="D22" s="603"/>
      <c r="E22" s="603"/>
      <c r="F22" s="603"/>
      <c r="G22" s="603"/>
      <c r="H22" s="603"/>
      <c r="I22" s="603"/>
      <c r="J22" s="603"/>
    </row>
    <row r="23" spans="4:10" x14ac:dyDescent="0.15">
      <c r="D23" s="603"/>
      <c r="E23" s="603"/>
      <c r="F23" s="603"/>
      <c r="G23" s="603"/>
      <c r="H23" s="603"/>
      <c r="I23" s="603"/>
      <c r="J23" s="603"/>
    </row>
    <row r="24" spans="4:10" x14ac:dyDescent="0.15">
      <c r="D24" s="603"/>
      <c r="E24" s="603"/>
      <c r="F24" s="603"/>
      <c r="G24" s="603"/>
      <c r="H24" s="603"/>
      <c r="I24" s="603"/>
      <c r="J24" s="603"/>
    </row>
    <row r="25" spans="4:10" x14ac:dyDescent="0.15">
      <c r="D25" s="603"/>
      <c r="E25" s="603"/>
      <c r="F25" s="603"/>
      <c r="G25" s="603"/>
      <c r="H25" s="603"/>
      <c r="I25" s="603"/>
      <c r="J25" s="60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50"/>
  <sheetViews>
    <sheetView topLeftCell="A34" workbookViewId="0">
      <selection activeCell="H54" sqref="H54"/>
    </sheetView>
  </sheetViews>
  <sheetFormatPr baseColWidth="10" defaultColWidth="11" defaultRowHeight="10.5" x14ac:dyDescent="0.15"/>
  <cols>
    <col min="1" max="1" width="35.5" bestFit="1" customWidth="1"/>
    <col min="2" max="2" width="15.33203125" customWidth="1"/>
    <col min="3" max="3" width="27.5" customWidth="1"/>
  </cols>
  <sheetData>
    <row r="3" spans="1:4" ht="15.75" x14ac:dyDescent="0.25">
      <c r="A3" s="690" t="s">
        <v>57</v>
      </c>
      <c r="B3" s="690"/>
      <c r="C3" s="690"/>
      <c r="D3" s="690"/>
    </row>
    <row r="4" spans="1:4" ht="15.75" x14ac:dyDescent="0.25">
      <c r="A4" s="690" t="s">
        <v>58</v>
      </c>
      <c r="B4" s="690"/>
      <c r="C4" s="690"/>
      <c r="D4" s="690"/>
    </row>
    <row r="5" spans="1:4" ht="15" x14ac:dyDescent="0.25">
      <c r="A5" s="691" t="s">
        <v>59</v>
      </c>
      <c r="B5" s="691"/>
      <c r="C5" s="691"/>
      <c r="D5" s="691"/>
    </row>
    <row r="6" spans="1:4" ht="15" x14ac:dyDescent="0.25">
      <c r="A6" s="692" t="s">
        <v>60</v>
      </c>
      <c r="B6" s="692"/>
      <c r="C6" s="692"/>
      <c r="D6" s="692"/>
    </row>
    <row r="7" spans="1:4" x14ac:dyDescent="0.15">
      <c r="C7" s="72"/>
    </row>
    <row r="8" spans="1:4" ht="15" x14ac:dyDescent="0.25">
      <c r="B8" s="624"/>
      <c r="C8" s="73"/>
      <c r="D8" s="624"/>
    </row>
    <row r="9" spans="1:4" ht="15.75" x14ac:dyDescent="0.25">
      <c r="A9" s="74" t="s">
        <v>61</v>
      </c>
      <c r="C9" s="72"/>
    </row>
    <row r="10" spans="1:4" x14ac:dyDescent="0.15">
      <c r="C10" s="75"/>
      <c r="D10" s="76"/>
    </row>
    <row r="11" spans="1:4" ht="15" x14ac:dyDescent="0.25">
      <c r="A11" s="77" t="s">
        <v>62</v>
      </c>
      <c r="C11" s="72"/>
    </row>
    <row r="12" spans="1:4" x14ac:dyDescent="0.15">
      <c r="A12" t="s">
        <v>63</v>
      </c>
      <c r="C12" s="78">
        <f>+'INVERSION INICIAL '!D8+'AMORTIZACION '!C2</f>
        <v>17000000</v>
      </c>
      <c r="D12" s="76"/>
    </row>
    <row r="13" spans="1:4" x14ac:dyDescent="0.15">
      <c r="A13" t="s">
        <v>64</v>
      </c>
      <c r="C13" s="78">
        <f>+'INVERSION INICIAL '!D12</f>
        <v>5596000</v>
      </c>
      <c r="D13" s="75"/>
    </row>
    <row r="14" spans="1:4" x14ac:dyDescent="0.15">
      <c r="C14" s="78"/>
      <c r="D14" s="75"/>
    </row>
    <row r="15" spans="1:4" ht="15.75" thickBot="1" x14ac:dyDescent="0.3">
      <c r="A15" s="77" t="s">
        <v>65</v>
      </c>
      <c r="C15" s="79">
        <f>SUM(C12:C14)</f>
        <v>22596000</v>
      </c>
      <c r="D15" s="75"/>
    </row>
    <row r="16" spans="1:4" x14ac:dyDescent="0.15">
      <c r="C16" s="78"/>
      <c r="D16" s="75"/>
    </row>
    <row r="17" spans="1:4" x14ac:dyDescent="0.15">
      <c r="C17" s="80"/>
    </row>
    <row r="18" spans="1:4" ht="15" x14ac:dyDescent="0.25">
      <c r="A18" s="77" t="s">
        <v>66</v>
      </c>
      <c r="C18" s="80"/>
    </row>
    <row r="19" spans="1:4" x14ac:dyDescent="0.15">
      <c r="C19" s="72"/>
      <c r="D19" s="76"/>
    </row>
    <row r="20" spans="1:4" x14ac:dyDescent="0.15">
      <c r="A20" t="s">
        <v>67</v>
      </c>
      <c r="C20" s="78">
        <f>+'INVERSION INICIAL '!D23</f>
        <v>11800000</v>
      </c>
      <c r="D20" s="76"/>
    </row>
    <row r="21" spans="1:4" x14ac:dyDescent="0.15">
      <c r="C21" s="80"/>
    </row>
    <row r="22" spans="1:4" ht="15.75" thickBot="1" x14ac:dyDescent="0.3">
      <c r="A22" s="77" t="s">
        <v>68</v>
      </c>
      <c r="C22" s="81">
        <f>C20</f>
        <v>11800000</v>
      </c>
    </row>
    <row r="23" spans="1:4" x14ac:dyDescent="0.15">
      <c r="C23" s="80"/>
    </row>
    <row r="24" spans="1:4" ht="15.75" thickBot="1" x14ac:dyDescent="0.3">
      <c r="A24" s="82" t="s">
        <v>69</v>
      </c>
      <c r="B24" s="83"/>
      <c r="C24" s="95">
        <f>C15+C22</f>
        <v>34396000</v>
      </c>
    </row>
    <row r="25" spans="1:4" ht="11.25" thickTop="1" x14ac:dyDescent="0.15">
      <c r="C25" s="80"/>
    </row>
    <row r="26" spans="1:4" x14ac:dyDescent="0.15">
      <c r="C26" s="80"/>
    </row>
    <row r="27" spans="1:4" ht="15.75" x14ac:dyDescent="0.25">
      <c r="A27" s="74" t="s">
        <v>70</v>
      </c>
      <c r="C27" s="80"/>
    </row>
    <row r="28" spans="1:4" ht="15" x14ac:dyDescent="0.25">
      <c r="A28" s="85" t="s">
        <v>71</v>
      </c>
      <c r="C28" s="80"/>
    </row>
    <row r="29" spans="1:4" ht="15" x14ac:dyDescent="0.25">
      <c r="A29" s="86" t="s">
        <v>72</v>
      </c>
      <c r="C29" s="80">
        <f>+'AMORTIZACION '!L17</f>
        <v>1188635.775975276</v>
      </c>
    </row>
    <row r="30" spans="1:4" ht="15" x14ac:dyDescent="0.25">
      <c r="A30" s="86"/>
      <c r="C30" s="80"/>
    </row>
    <row r="31" spans="1:4" ht="15" x14ac:dyDescent="0.25">
      <c r="A31" s="77" t="s">
        <v>73</v>
      </c>
      <c r="C31" s="80"/>
    </row>
    <row r="32" spans="1:4" x14ac:dyDescent="0.15">
      <c r="A32" t="s">
        <v>74</v>
      </c>
      <c r="C32" s="80">
        <f>+'AMORTIZACION '!L18</f>
        <v>10811364.224024724</v>
      </c>
    </row>
    <row r="33" spans="1:4" ht="15" x14ac:dyDescent="0.25">
      <c r="A33" s="77" t="s">
        <v>75</v>
      </c>
      <c r="C33" s="87">
        <f>C32</f>
        <v>10811364.224024724</v>
      </c>
    </row>
    <row r="34" spans="1:4" ht="15.75" thickBot="1" x14ac:dyDescent="0.3">
      <c r="A34" s="82" t="s">
        <v>76</v>
      </c>
      <c r="B34" s="83"/>
      <c r="C34" s="88">
        <f>+C33+C29</f>
        <v>12000000</v>
      </c>
    </row>
    <row r="35" spans="1:4" ht="11.25" thickTop="1" x14ac:dyDescent="0.15">
      <c r="C35" s="80"/>
    </row>
    <row r="36" spans="1:4" x14ac:dyDescent="0.15">
      <c r="C36" s="80"/>
    </row>
    <row r="37" spans="1:4" ht="15" x14ac:dyDescent="0.25">
      <c r="A37" s="85" t="s">
        <v>77</v>
      </c>
      <c r="C37" s="80"/>
    </row>
    <row r="38" spans="1:4" x14ac:dyDescent="0.15">
      <c r="C38" s="80"/>
    </row>
    <row r="39" spans="1:4" x14ac:dyDescent="0.15">
      <c r="A39" t="s">
        <v>78</v>
      </c>
      <c r="C39" s="80">
        <f>C24-C34</f>
        <v>22396000</v>
      </c>
    </row>
    <row r="40" spans="1:4" x14ac:dyDescent="0.15">
      <c r="C40" s="80"/>
    </row>
    <row r="41" spans="1:4" ht="15.75" thickBot="1" x14ac:dyDescent="0.3">
      <c r="A41" s="82" t="s">
        <v>79</v>
      </c>
      <c r="B41" s="83"/>
      <c r="C41" s="84">
        <f>C39</f>
        <v>22396000</v>
      </c>
    </row>
    <row r="42" spans="1:4" ht="11.25" thickTop="1" x14ac:dyDescent="0.15">
      <c r="C42" s="80"/>
    </row>
    <row r="43" spans="1:4" ht="15.75" thickBot="1" x14ac:dyDescent="0.3">
      <c r="A43" s="89" t="s">
        <v>80</v>
      </c>
      <c r="B43" s="90"/>
      <c r="C43" s="394">
        <f>C41+C34</f>
        <v>34396000</v>
      </c>
    </row>
    <row r="44" spans="1:4" ht="11.25" thickTop="1" x14ac:dyDescent="0.15">
      <c r="C44" s="72"/>
    </row>
    <row r="45" spans="1:4" x14ac:dyDescent="0.15">
      <c r="C45" s="91"/>
      <c r="D45" s="51"/>
    </row>
    <row r="46" spans="1:4" x14ac:dyDescent="0.15">
      <c r="C46" s="91"/>
      <c r="D46" s="51"/>
    </row>
    <row r="47" spans="1:4" ht="15" x14ac:dyDescent="0.25">
      <c r="A47" s="628" t="s">
        <v>81</v>
      </c>
      <c r="B47" s="77"/>
      <c r="C47" s="628" t="s">
        <v>82</v>
      </c>
      <c r="D47" s="92"/>
    </row>
    <row r="48" spans="1:4" ht="15" x14ac:dyDescent="0.25">
      <c r="A48" s="93" t="s">
        <v>83</v>
      </c>
      <c r="B48" s="77"/>
      <c r="C48" s="624" t="s">
        <v>84</v>
      </c>
      <c r="D48" s="94"/>
    </row>
    <row r="49" spans="1:4" ht="15" x14ac:dyDescent="0.25">
      <c r="A49" s="77"/>
      <c r="B49" s="77"/>
      <c r="C49" s="624" t="s">
        <v>85</v>
      </c>
      <c r="D49" s="94"/>
    </row>
    <row r="50" spans="1:4" x14ac:dyDescent="0.15">
      <c r="C50" s="72"/>
    </row>
  </sheetData>
  <mergeCells count="4">
    <mergeCell ref="A3:D3"/>
    <mergeCell ref="A4:D4"/>
    <mergeCell ref="A5:D5"/>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90" zoomScaleNormal="90" workbookViewId="0">
      <selection activeCell="K13" sqref="K13"/>
    </sheetView>
  </sheetViews>
  <sheetFormatPr baseColWidth="10" defaultColWidth="11" defaultRowHeight="11.25" x14ac:dyDescent="0.15"/>
  <cols>
    <col min="1" max="1" width="49.83203125" style="534" customWidth="1"/>
    <col min="2" max="7" width="15" style="535" bestFit="1" customWidth="1"/>
    <col min="8" max="8" width="16.33203125" style="534" customWidth="1"/>
    <col min="9" max="10" width="13.83203125" style="365" bestFit="1" customWidth="1"/>
    <col min="11" max="11" width="16.33203125" customWidth="1"/>
    <col min="12" max="12" width="19.33203125" customWidth="1"/>
    <col min="13" max="13" width="17" bestFit="1" customWidth="1"/>
  </cols>
  <sheetData>
    <row r="1" spans="1:10" x14ac:dyDescent="0.15">
      <c r="A1" s="513"/>
      <c r="B1" s="514"/>
      <c r="C1" s="514"/>
      <c r="D1" s="514"/>
      <c r="E1" s="514"/>
      <c r="F1" s="514"/>
      <c r="G1" s="514"/>
      <c r="H1" s="514"/>
      <c r="I1" s="515"/>
    </row>
    <row r="2" spans="1:10" x14ac:dyDescent="0.15">
      <c r="A2" s="516"/>
      <c r="B2" s="517"/>
      <c r="C2" s="517"/>
      <c r="D2" s="517"/>
      <c r="E2" s="517"/>
      <c r="F2" s="517"/>
      <c r="G2" s="517"/>
      <c r="H2" s="517"/>
      <c r="I2" s="518"/>
    </row>
    <row r="3" spans="1:10" x14ac:dyDescent="0.15">
      <c r="A3" s="732" t="s">
        <v>86</v>
      </c>
      <c r="B3" s="733"/>
      <c r="C3" s="733"/>
      <c r="D3" s="733"/>
      <c r="E3" s="519">
        <v>1.038</v>
      </c>
      <c r="F3" s="517"/>
      <c r="G3" s="517"/>
      <c r="H3" s="517"/>
      <c r="I3" s="518"/>
    </row>
    <row r="4" spans="1:10" x14ac:dyDescent="0.15">
      <c r="A4" s="516"/>
      <c r="B4" s="517"/>
      <c r="C4" s="517"/>
      <c r="D4" s="517"/>
      <c r="E4" s="517"/>
      <c r="F4" s="517"/>
      <c r="G4" s="517"/>
      <c r="H4" s="517"/>
      <c r="I4" s="518"/>
    </row>
    <row r="5" spans="1:10" x14ac:dyDescent="0.15">
      <c r="A5" s="516"/>
      <c r="B5" s="517"/>
      <c r="C5" s="517"/>
      <c r="D5" s="517"/>
      <c r="E5" s="517"/>
      <c r="F5" s="517"/>
      <c r="G5" s="517"/>
      <c r="H5" s="517"/>
      <c r="I5" s="518"/>
    </row>
    <row r="6" spans="1:10" x14ac:dyDescent="0.15">
      <c r="A6" s="516"/>
      <c r="B6" s="517"/>
      <c r="C6" s="517"/>
      <c r="D6" s="517"/>
      <c r="E6" s="517"/>
      <c r="F6" s="517"/>
      <c r="G6" s="517"/>
      <c r="H6" s="517"/>
      <c r="I6" s="518"/>
    </row>
    <row r="7" spans="1:10" ht="19.5" customHeight="1" x14ac:dyDescent="0.15">
      <c r="A7" s="520"/>
      <c r="B7" s="521" t="s">
        <v>87</v>
      </c>
      <c r="C7" s="522" t="s">
        <v>88</v>
      </c>
      <c r="D7" s="523" t="s">
        <v>89</v>
      </c>
      <c r="E7" s="524" t="s">
        <v>90</v>
      </c>
      <c r="F7" s="525" t="s">
        <v>91</v>
      </c>
      <c r="G7" s="521" t="s">
        <v>92</v>
      </c>
      <c r="H7" s="729" t="s">
        <v>93</v>
      </c>
      <c r="I7" s="729"/>
    </row>
    <row r="8" spans="1:10" x14ac:dyDescent="0.15">
      <c r="A8" s="526"/>
      <c r="B8" s="527"/>
      <c r="C8" s="528"/>
      <c r="D8" s="529"/>
      <c r="E8" s="530"/>
      <c r="F8" s="531"/>
      <c r="G8" s="527"/>
      <c r="H8" s="730"/>
      <c r="I8" s="731"/>
    </row>
    <row r="9" spans="1:10" x14ac:dyDescent="0.15">
      <c r="A9" s="526" t="s">
        <v>94</v>
      </c>
      <c r="B9" s="527">
        <f>+'INVERSION INICIAL '!D63</f>
        <v>550000</v>
      </c>
      <c r="C9" s="528">
        <f>+B9*8</f>
        <v>4400000</v>
      </c>
      <c r="D9" s="529">
        <f>+B9*12</f>
        <v>6600000</v>
      </c>
      <c r="E9" s="530">
        <f>+D9*E3</f>
        <v>6850800</v>
      </c>
      <c r="F9" s="531">
        <f>+E9*E3</f>
        <v>7111130.4000000004</v>
      </c>
      <c r="G9" s="527">
        <f>+F9*E3</f>
        <v>7381353.355200001</v>
      </c>
      <c r="H9" s="730"/>
      <c r="I9" s="731"/>
    </row>
    <row r="10" spans="1:10" x14ac:dyDescent="0.15">
      <c r="A10" s="526" t="s">
        <v>95</v>
      </c>
      <c r="B10" s="527">
        <f>+'INVERSION INICIAL '!D71</f>
        <v>1135000</v>
      </c>
      <c r="C10" s="528">
        <f>+B10*8</f>
        <v>9080000</v>
      </c>
      <c r="D10" s="529">
        <f>+B10*12</f>
        <v>13620000</v>
      </c>
      <c r="E10" s="530">
        <f>+D10*E3</f>
        <v>14137560</v>
      </c>
      <c r="F10" s="531">
        <f>+E10*E3</f>
        <v>14674787.280000001</v>
      </c>
      <c r="G10" s="527">
        <f>F10*E3</f>
        <v>15232429.196640002</v>
      </c>
      <c r="H10" s="730"/>
      <c r="I10" s="731"/>
    </row>
    <row r="11" spans="1:10" x14ac:dyDescent="0.15">
      <c r="A11" s="526" t="s">
        <v>96</v>
      </c>
      <c r="B11" s="527">
        <f>+'INVERSION INICIAL '!D78</f>
        <v>3950000</v>
      </c>
      <c r="C11" s="528">
        <f>+B11</f>
        <v>3950000</v>
      </c>
      <c r="D11" s="529">
        <f>+C11*E3</f>
        <v>4100100</v>
      </c>
      <c r="E11" s="530">
        <f>+D11*E3</f>
        <v>4255903.8</v>
      </c>
      <c r="F11" s="531">
        <f>+E11*E3</f>
        <v>4417628.1443999996</v>
      </c>
      <c r="G11" s="527">
        <f>+F11*E3</f>
        <v>4585498.0138871996</v>
      </c>
      <c r="H11" s="730"/>
      <c r="I11" s="731"/>
    </row>
    <row r="12" spans="1:10" ht="56.25" customHeight="1" x14ac:dyDescent="0.15">
      <c r="A12" s="526" t="s">
        <v>97</v>
      </c>
      <c r="B12" s="527">
        <f>+'INVERSION INICIAL '!D58</f>
        <v>940000</v>
      </c>
      <c r="C12" s="528">
        <f>+'FLUJO DE CAJA'!D24</f>
        <v>540000</v>
      </c>
      <c r="D12" s="528">
        <f>+'FLUJO DE CAJA'!E24</f>
        <v>540000</v>
      </c>
      <c r="E12" s="528">
        <f>+'FLUJO DE CAJA'!F24</f>
        <v>540000</v>
      </c>
      <c r="F12" s="528">
        <f>+'FLUJO DE CAJA'!G24</f>
        <v>540000</v>
      </c>
      <c r="G12" s="528">
        <f>+'FLUJO DE CAJA'!H24</f>
        <v>540000</v>
      </c>
      <c r="H12" s="713" t="s">
        <v>98</v>
      </c>
      <c r="I12" s="713"/>
    </row>
    <row r="13" spans="1:10" ht="163.5" customHeight="1" x14ac:dyDescent="0.15">
      <c r="A13" s="532" t="s">
        <v>99</v>
      </c>
      <c r="B13" s="521">
        <f>+'INVERSION INICIAL '!D23</f>
        <v>11800000</v>
      </c>
      <c r="C13" s="522">
        <v>0</v>
      </c>
      <c r="D13" s="523">
        <v>2000000</v>
      </c>
      <c r="E13" s="524"/>
      <c r="F13" s="525">
        <v>10000000</v>
      </c>
      <c r="G13" s="521"/>
      <c r="H13" s="713" t="s">
        <v>100</v>
      </c>
      <c r="I13" s="713"/>
      <c r="J13" s="533"/>
    </row>
    <row r="14" spans="1:10" x14ac:dyDescent="0.15">
      <c r="A14" s="526" t="s">
        <v>101</v>
      </c>
      <c r="B14" s="527">
        <v>2410000</v>
      </c>
      <c r="C14" s="528">
        <v>0</v>
      </c>
      <c r="D14" s="529"/>
      <c r="E14" s="530">
        <v>0</v>
      </c>
      <c r="F14" s="531">
        <v>0</v>
      </c>
      <c r="G14" s="527">
        <v>0</v>
      </c>
      <c r="H14" s="694"/>
      <c r="I14" s="695"/>
    </row>
    <row r="15" spans="1:10" x14ac:dyDescent="0.15">
      <c r="A15" s="526" t="s">
        <v>102</v>
      </c>
      <c r="B15" s="527">
        <v>3950000</v>
      </c>
      <c r="C15" s="528"/>
      <c r="D15" s="529"/>
      <c r="E15" s="530"/>
      <c r="F15" s="531"/>
      <c r="G15" s="527"/>
      <c r="H15" s="694"/>
      <c r="I15" s="695"/>
    </row>
    <row r="16" spans="1:10" x14ac:dyDescent="0.15">
      <c r="A16" s="526" t="s">
        <v>103</v>
      </c>
      <c r="B16" s="527"/>
      <c r="C16" s="528">
        <v>7268208</v>
      </c>
      <c r="D16" s="529">
        <v>7486254.2400000002</v>
      </c>
      <c r="E16" s="530">
        <v>7710841.8672000002</v>
      </c>
      <c r="F16" s="531">
        <v>7942167.1232160004</v>
      </c>
      <c r="G16" s="527">
        <v>8180432.1369124809</v>
      </c>
      <c r="H16" s="694"/>
      <c r="I16" s="695"/>
    </row>
    <row r="17" spans="1:9" x14ac:dyDescent="0.15">
      <c r="A17" s="526" t="s">
        <v>104</v>
      </c>
      <c r="B17" s="527"/>
      <c r="C17" s="528">
        <f>+'FLUJO DE CAJA'!D29</f>
        <v>573712.34</v>
      </c>
      <c r="D17" s="529">
        <f>+'FLUJO DE CAJA'!E29</f>
        <v>917633.11600000004</v>
      </c>
      <c r="E17" s="530">
        <f>+'FLUJO DE CAJA'!F29</f>
        <v>956653.44400000002</v>
      </c>
      <c r="F17" s="531">
        <f>+'FLUJO DE CAJA'!G29</f>
        <v>1073396.4720000001</v>
      </c>
      <c r="G17" s="527">
        <f>+'FLUJO DE CAJA'!H29</f>
        <v>1113616.476</v>
      </c>
      <c r="H17" s="694"/>
      <c r="I17" s="695"/>
    </row>
    <row r="18" spans="1:9" x14ac:dyDescent="0.15">
      <c r="A18" s="526" t="s">
        <v>105</v>
      </c>
      <c r="B18" s="527"/>
      <c r="C18" s="528">
        <f>+'FLUJO DE CAJA'!D28</f>
        <v>400000</v>
      </c>
      <c r="D18" s="529">
        <f>+'FLUJO DE CAJA'!E28</f>
        <v>600000</v>
      </c>
      <c r="E18" s="530">
        <f>+'FLUJO DE CAJA'!F28</f>
        <v>600000</v>
      </c>
      <c r="F18" s="531">
        <f>+'FLUJO DE CAJA'!G28</f>
        <v>600000</v>
      </c>
      <c r="G18" s="527">
        <f>+'FLUJO DE CAJA'!H28</f>
        <v>600000</v>
      </c>
      <c r="H18" s="694"/>
      <c r="I18" s="695"/>
    </row>
    <row r="19" spans="1:9" x14ac:dyDescent="0.15">
      <c r="A19" s="526"/>
      <c r="B19" s="527"/>
      <c r="C19" s="528"/>
      <c r="D19" s="529"/>
      <c r="E19" s="530"/>
      <c r="F19" s="531"/>
      <c r="G19" s="527"/>
      <c r="H19" s="694"/>
      <c r="I19" s="695"/>
    </row>
    <row r="21" spans="1:9" hidden="1" x14ac:dyDescent="0.15"/>
    <row r="22" spans="1:9" hidden="1" x14ac:dyDescent="0.15"/>
    <row r="23" spans="1:9" hidden="1" x14ac:dyDescent="0.15"/>
    <row r="24" spans="1:9" hidden="1" x14ac:dyDescent="0.15"/>
    <row r="25" spans="1:9" hidden="1" x14ac:dyDescent="0.15"/>
    <row r="26" spans="1:9" hidden="1" x14ac:dyDescent="0.15"/>
    <row r="27" spans="1:9" hidden="1" x14ac:dyDescent="0.15"/>
    <row r="28" spans="1:9" hidden="1" x14ac:dyDescent="0.15"/>
    <row r="29" spans="1:9" hidden="1" x14ac:dyDescent="0.15"/>
    <row r="30" spans="1:9" hidden="1" x14ac:dyDescent="0.15"/>
    <row r="31" spans="1:9" hidden="1" x14ac:dyDescent="0.15"/>
    <row r="34" spans="1:13" ht="12" thickBot="1" x14ac:dyDescent="0.2"/>
    <row r="35" spans="1:13" x14ac:dyDescent="0.15">
      <c r="A35" s="513"/>
      <c r="B35" s="514"/>
      <c r="C35" s="514"/>
      <c r="D35" s="514"/>
      <c r="E35" s="514"/>
      <c r="F35" s="514"/>
      <c r="G35" s="514"/>
      <c r="H35" s="514"/>
      <c r="I35" s="514"/>
      <c r="J35" s="514"/>
      <c r="K35" s="66"/>
      <c r="L35" s="66"/>
      <c r="M35" s="67"/>
    </row>
    <row r="36" spans="1:13" x14ac:dyDescent="0.15">
      <c r="A36" s="516"/>
      <c r="B36" s="517"/>
      <c r="C36" s="517"/>
      <c r="D36" s="517"/>
      <c r="E36" s="517" t="s">
        <v>106</v>
      </c>
      <c r="F36" s="517"/>
      <c r="G36" s="517" t="s">
        <v>107</v>
      </c>
      <c r="H36" s="536">
        <v>0.3</v>
      </c>
      <c r="I36" s="517"/>
      <c r="J36" s="517"/>
      <c r="K36" s="69"/>
      <c r="L36" s="69"/>
      <c r="M36" s="70"/>
    </row>
    <row r="37" spans="1:13" x14ac:dyDescent="0.15">
      <c r="A37" s="537" t="s">
        <v>108</v>
      </c>
      <c r="B37" s="538"/>
      <c r="C37" s="538"/>
      <c r="D37" s="538"/>
      <c r="E37" s="538"/>
      <c r="F37" s="519"/>
      <c r="G37" s="517" t="s">
        <v>109</v>
      </c>
      <c r="H37" s="536">
        <v>0.7</v>
      </c>
      <c r="I37" s="517"/>
      <c r="J37" s="517"/>
      <c r="K37" s="69"/>
      <c r="L37" s="69"/>
      <c r="M37" s="70"/>
    </row>
    <row r="38" spans="1:13" x14ac:dyDescent="0.15">
      <c r="A38" s="516"/>
      <c r="B38" s="517"/>
      <c r="C38" s="517"/>
      <c r="D38" s="517"/>
      <c r="E38" s="517"/>
      <c r="F38" s="517"/>
      <c r="G38" s="517"/>
      <c r="H38" s="517"/>
      <c r="I38" s="517"/>
      <c r="J38" s="517"/>
      <c r="K38" s="69"/>
      <c r="L38" s="69"/>
      <c r="M38" s="70"/>
    </row>
    <row r="39" spans="1:13" hidden="1" x14ac:dyDescent="0.15">
      <c r="A39" s="516"/>
      <c r="B39" s="517"/>
      <c r="C39" s="517"/>
      <c r="D39" s="517"/>
      <c r="E39" s="517"/>
      <c r="F39" s="517"/>
      <c r="G39" s="517"/>
      <c r="H39" s="517"/>
      <c r="I39" s="517"/>
      <c r="J39" s="517"/>
      <c r="K39" s="69"/>
      <c r="L39" s="69"/>
      <c r="M39" s="70"/>
    </row>
    <row r="40" spans="1:13" hidden="1" x14ac:dyDescent="0.15">
      <c r="A40" s="516"/>
      <c r="B40" s="517"/>
      <c r="C40" s="517"/>
      <c r="D40" s="517"/>
      <c r="E40" s="517"/>
      <c r="F40" s="517"/>
      <c r="G40" s="517"/>
      <c r="H40" s="517"/>
      <c r="I40" s="517"/>
      <c r="J40" s="517"/>
      <c r="K40" s="69"/>
      <c r="L40" s="69"/>
      <c r="M40" s="70"/>
    </row>
    <row r="41" spans="1:13" hidden="1" x14ac:dyDescent="0.15">
      <c r="A41" s="516"/>
      <c r="B41" s="517"/>
      <c r="C41" s="517"/>
      <c r="D41" s="517"/>
      <c r="E41" s="517"/>
      <c r="F41" s="517"/>
      <c r="G41" s="517"/>
      <c r="H41" s="517"/>
      <c r="I41" s="517"/>
      <c r="J41" s="517"/>
      <c r="K41" s="69"/>
      <c r="L41" s="69"/>
      <c r="M41" s="70"/>
    </row>
    <row r="42" spans="1:13" hidden="1" x14ac:dyDescent="0.15">
      <c r="A42" s="516"/>
      <c r="B42" s="517"/>
      <c r="C42" s="517"/>
      <c r="D42" s="517"/>
      <c r="E42" s="517"/>
      <c r="F42" s="517"/>
      <c r="G42" s="517"/>
      <c r="H42" s="517"/>
      <c r="I42" s="517"/>
      <c r="J42" s="517"/>
      <c r="K42" s="69"/>
      <c r="L42" s="69"/>
      <c r="M42" s="70"/>
    </row>
    <row r="43" spans="1:13" ht="12" thickBot="1" x14ac:dyDescent="0.2">
      <c r="A43" s="516"/>
      <c r="B43" s="517"/>
      <c r="C43" s="517"/>
      <c r="D43" s="517"/>
      <c r="E43" s="517"/>
      <c r="F43" s="517"/>
      <c r="G43" s="517"/>
      <c r="H43" s="517"/>
      <c r="I43" s="517"/>
      <c r="J43" s="517"/>
      <c r="K43" s="69"/>
      <c r="L43" s="69"/>
      <c r="M43" s="70"/>
    </row>
    <row r="44" spans="1:13" x14ac:dyDescent="0.15">
      <c r="A44" s="539"/>
      <c r="B44" s="705" t="s">
        <v>87</v>
      </c>
      <c r="C44" s="706"/>
      <c r="D44" s="734" t="s">
        <v>88</v>
      </c>
      <c r="E44" s="734"/>
      <c r="F44" s="735" t="s">
        <v>89</v>
      </c>
      <c r="G44" s="735"/>
      <c r="H44" s="736" t="s">
        <v>90</v>
      </c>
      <c r="I44" s="736"/>
      <c r="J44" s="720" t="s">
        <v>91</v>
      </c>
      <c r="K44" s="720"/>
      <c r="L44" s="721" t="s">
        <v>92</v>
      </c>
      <c r="M44" s="722"/>
    </row>
    <row r="45" spans="1:13" x14ac:dyDescent="0.15">
      <c r="A45" s="697" t="s">
        <v>110</v>
      </c>
      <c r="B45" s="540" t="s">
        <v>111</v>
      </c>
      <c r="C45" s="541" t="s">
        <v>112</v>
      </c>
      <c r="D45" s="542" t="s">
        <v>111</v>
      </c>
      <c r="E45" s="542" t="s">
        <v>112</v>
      </c>
      <c r="F45" s="543" t="s">
        <v>111</v>
      </c>
      <c r="G45" s="543" t="s">
        <v>112</v>
      </c>
      <c r="H45" s="544" t="s">
        <v>111</v>
      </c>
      <c r="I45" s="544" t="s">
        <v>112</v>
      </c>
      <c r="J45" s="545" t="s">
        <v>111</v>
      </c>
      <c r="K45" s="331" t="s">
        <v>112</v>
      </c>
      <c r="L45" s="334" t="s">
        <v>111</v>
      </c>
      <c r="M45" s="335" t="s">
        <v>112</v>
      </c>
    </row>
    <row r="46" spans="1:13" x14ac:dyDescent="0.15">
      <c r="A46" s="697"/>
      <c r="B46" s="546">
        <f>+B9*30%</f>
        <v>165000</v>
      </c>
      <c r="C46" s="527">
        <f>+B9*70%</f>
        <v>385000</v>
      </c>
      <c r="D46" s="528">
        <f>+C9*H36</f>
        <v>1320000</v>
      </c>
      <c r="E46" s="528">
        <f>+C9*H37</f>
        <v>3080000</v>
      </c>
      <c r="F46" s="529">
        <f>+D9*H36</f>
        <v>1980000</v>
      </c>
      <c r="G46" s="529">
        <f>+D9*H37</f>
        <v>4620000</v>
      </c>
      <c r="H46" s="547">
        <f>+E9*H36</f>
        <v>2055240</v>
      </c>
      <c r="I46" s="547">
        <f>+E9*H37</f>
        <v>4795560</v>
      </c>
      <c r="J46" s="531">
        <f>+F9*H36</f>
        <v>2133339.12</v>
      </c>
      <c r="K46" s="344">
        <f>+F9*H37</f>
        <v>4977791.28</v>
      </c>
      <c r="L46" s="336">
        <f>G9*H36</f>
        <v>2214406.0065600001</v>
      </c>
      <c r="M46" s="337">
        <f>+G9*H37</f>
        <v>5166947.3486400004</v>
      </c>
    </row>
    <row r="47" spans="1:13" x14ac:dyDescent="0.15">
      <c r="A47" s="697"/>
      <c r="B47" s="546"/>
      <c r="C47" s="527"/>
      <c r="D47" s="528"/>
      <c r="E47" s="528"/>
      <c r="F47" s="529"/>
      <c r="G47" s="529"/>
      <c r="H47" s="547"/>
      <c r="I47" s="547"/>
      <c r="J47" s="531"/>
      <c r="K47" s="332"/>
      <c r="L47" s="336"/>
      <c r="M47" s="338"/>
    </row>
    <row r="48" spans="1:13" ht="12" thickBot="1" x14ac:dyDescent="0.2">
      <c r="A48" s="698"/>
      <c r="B48" s="707">
        <f>+B46+C46</f>
        <v>550000</v>
      </c>
      <c r="C48" s="708"/>
      <c r="D48" s="709">
        <f>+D46+E46</f>
        <v>4400000</v>
      </c>
      <c r="E48" s="710"/>
      <c r="F48" s="711">
        <f t="shared" ref="F48" si="0">+F46+G46</f>
        <v>6600000</v>
      </c>
      <c r="G48" s="712"/>
      <c r="H48" s="723">
        <f t="shared" ref="H48" si="1">+H46+I46</f>
        <v>6850800</v>
      </c>
      <c r="I48" s="724"/>
      <c r="J48" s="725">
        <f t="shared" ref="J48" si="2">+J46+K46</f>
        <v>7111130.4000000004</v>
      </c>
      <c r="K48" s="726"/>
      <c r="L48" s="727">
        <f t="shared" ref="L48" si="3">+L46+M46</f>
        <v>7381353.3552000001</v>
      </c>
      <c r="M48" s="728"/>
    </row>
    <row r="49" spans="1:13" x14ac:dyDescent="0.15">
      <c r="A49" s="696" t="s">
        <v>113</v>
      </c>
      <c r="B49" s="548"/>
      <c r="C49" s="549"/>
      <c r="D49" s="550"/>
      <c r="E49" s="550"/>
      <c r="F49" s="551"/>
      <c r="G49" s="551"/>
      <c r="H49" s="552"/>
      <c r="I49" s="552"/>
      <c r="J49" s="553"/>
      <c r="K49" s="333"/>
      <c r="L49" s="339"/>
      <c r="M49" s="340"/>
    </row>
    <row r="50" spans="1:13" x14ac:dyDescent="0.15">
      <c r="A50" s="697"/>
      <c r="B50" s="540" t="s">
        <v>111</v>
      </c>
      <c r="C50" s="541" t="s">
        <v>112</v>
      </c>
      <c r="D50" s="542" t="s">
        <v>111</v>
      </c>
      <c r="E50" s="542" t="s">
        <v>112</v>
      </c>
      <c r="F50" s="543" t="s">
        <v>111</v>
      </c>
      <c r="G50" s="543" t="s">
        <v>112</v>
      </c>
      <c r="H50" s="544" t="s">
        <v>111</v>
      </c>
      <c r="I50" s="544" t="s">
        <v>112</v>
      </c>
      <c r="J50" s="545" t="s">
        <v>111</v>
      </c>
      <c r="K50" s="331" t="s">
        <v>112</v>
      </c>
      <c r="L50" s="334" t="s">
        <v>111</v>
      </c>
      <c r="M50" s="335" t="s">
        <v>112</v>
      </c>
    </row>
    <row r="51" spans="1:13" x14ac:dyDescent="0.15">
      <c r="A51" s="697"/>
      <c r="B51" s="554">
        <f>+B10*H36</f>
        <v>340500</v>
      </c>
      <c r="C51" s="527">
        <f>+B10*H37</f>
        <v>794500</v>
      </c>
      <c r="D51" s="528">
        <f>+C10*H36</f>
        <v>2724000</v>
      </c>
      <c r="E51" s="528">
        <f>+C10*H37</f>
        <v>6356000</v>
      </c>
      <c r="F51" s="529">
        <f>+D10*H36</f>
        <v>4086000</v>
      </c>
      <c r="G51" s="529">
        <f>+H37*D10</f>
        <v>9534000</v>
      </c>
      <c r="H51" s="547">
        <f>+H36*E10</f>
        <v>4241268</v>
      </c>
      <c r="I51" s="547">
        <f>+E10*H37</f>
        <v>9896292</v>
      </c>
      <c r="J51" s="531">
        <f>+F10*H36</f>
        <v>4402436.1840000004</v>
      </c>
      <c r="K51" s="344">
        <f>+F10*H37</f>
        <v>10272351.096000001</v>
      </c>
      <c r="L51" s="336">
        <f>+G10*H36</f>
        <v>4569728.7589920005</v>
      </c>
      <c r="M51" s="341">
        <f>+H37*G10</f>
        <v>10662700.437648</v>
      </c>
    </row>
    <row r="52" spans="1:13" x14ac:dyDescent="0.15">
      <c r="A52" s="697"/>
      <c r="B52" s="555"/>
      <c r="C52" s="556"/>
      <c r="D52" s="557"/>
      <c r="E52" s="557"/>
      <c r="F52" s="558"/>
      <c r="G52" s="558"/>
      <c r="H52" s="559"/>
      <c r="I52" s="559"/>
      <c r="J52" s="560"/>
      <c r="K52" s="71"/>
      <c r="L52" s="342"/>
      <c r="M52" s="343"/>
    </row>
    <row r="53" spans="1:13" ht="12" thickBot="1" x14ac:dyDescent="0.2">
      <c r="A53" s="698"/>
      <c r="B53" s="699">
        <f>+B51+C51</f>
        <v>1135000</v>
      </c>
      <c r="C53" s="700"/>
      <c r="D53" s="701">
        <f t="shared" ref="D53" si="4">+D51+E51</f>
        <v>9080000</v>
      </c>
      <c r="E53" s="702"/>
      <c r="F53" s="703">
        <f t="shared" ref="F53" si="5">+F51+G51</f>
        <v>13620000</v>
      </c>
      <c r="G53" s="704"/>
      <c r="H53" s="718">
        <f t="shared" ref="H53" si="6">+H51+I51</f>
        <v>14137560</v>
      </c>
      <c r="I53" s="719"/>
      <c r="J53" s="714">
        <f t="shared" ref="J53" si="7">+J51+K51</f>
        <v>14674787.280000001</v>
      </c>
      <c r="K53" s="715"/>
      <c r="L53" s="716">
        <f t="shared" ref="L53" si="8">+L51+M51</f>
        <v>15232429.19664</v>
      </c>
      <c r="M53" s="717"/>
    </row>
    <row r="58" spans="1:13" ht="11.25" customHeight="1" x14ac:dyDescent="0.15">
      <c r="A58" s="693" t="s">
        <v>114</v>
      </c>
      <c r="B58" s="693"/>
      <c r="C58" s="693"/>
      <c r="D58" s="693"/>
      <c r="E58" s="693"/>
      <c r="F58" s="693"/>
      <c r="G58" s="693"/>
      <c r="H58" s="693"/>
      <c r="I58" s="693"/>
    </row>
    <row r="59" spans="1:13" ht="11.25" customHeight="1" x14ac:dyDescent="0.15">
      <c r="A59" s="693"/>
      <c r="B59" s="693"/>
      <c r="C59" s="693"/>
      <c r="D59" s="693"/>
      <c r="E59" s="693"/>
      <c r="F59" s="693"/>
      <c r="G59" s="693"/>
      <c r="H59" s="693"/>
      <c r="I59" s="693"/>
    </row>
    <row r="62" spans="1:13" x14ac:dyDescent="0.15">
      <c r="A62" s="520"/>
      <c r="B62" s="521" t="s">
        <v>87</v>
      </c>
      <c r="C62" s="522" t="s">
        <v>88</v>
      </c>
      <c r="D62" s="523" t="s">
        <v>89</v>
      </c>
      <c r="E62" s="561" t="s">
        <v>90</v>
      </c>
      <c r="F62" s="525" t="s">
        <v>91</v>
      </c>
      <c r="G62" s="562" t="s">
        <v>92</v>
      </c>
      <c r="H62" s="729" t="s">
        <v>93</v>
      </c>
      <c r="I62" s="729"/>
    </row>
    <row r="63" spans="1:13" x14ac:dyDescent="0.15">
      <c r="A63" s="526"/>
      <c r="B63" s="527"/>
      <c r="C63" s="528"/>
      <c r="D63" s="529"/>
      <c r="E63" s="547"/>
      <c r="F63" s="531"/>
      <c r="G63" s="563"/>
      <c r="H63" s="730"/>
      <c r="I63" s="731"/>
    </row>
    <row r="64" spans="1:13" x14ac:dyDescent="0.15">
      <c r="A64" s="526" t="s">
        <v>33</v>
      </c>
      <c r="B64" s="527">
        <f>+B51+B46+B15+B14+B12</f>
        <v>7805500</v>
      </c>
      <c r="C64" s="528">
        <f>+D46+D51+'DATOS INFORMATIVOS'!C12</f>
        <v>4584000</v>
      </c>
      <c r="D64" s="529">
        <f>+F51+F46+D12</f>
        <v>6606000</v>
      </c>
      <c r="E64" s="547">
        <f>+H51+H46+E12</f>
        <v>6836508</v>
      </c>
      <c r="F64" s="531">
        <f>+J46+J51+F12</f>
        <v>7075775.3040000005</v>
      </c>
      <c r="G64" s="563">
        <f>+L46+L51+G12</f>
        <v>7324134.7655520011</v>
      </c>
      <c r="H64" s="730"/>
      <c r="I64" s="731"/>
    </row>
    <row r="65" spans="1:9" x14ac:dyDescent="0.15">
      <c r="A65" s="526" t="s">
        <v>115</v>
      </c>
      <c r="B65" s="527">
        <f>+C46+C51+B11</f>
        <v>5129500</v>
      </c>
      <c r="C65" s="528">
        <f>+E46+E51+C11</f>
        <v>13386000</v>
      </c>
      <c r="D65" s="529">
        <f>+G51+G46+D11</f>
        <v>18254100</v>
      </c>
      <c r="E65" s="547">
        <f>+I51+I46+E11</f>
        <v>18947755.800000001</v>
      </c>
      <c r="F65" s="531">
        <f>+K51+K46+F11</f>
        <v>19667770.520400003</v>
      </c>
      <c r="G65" s="563">
        <f>+M51+M46+G11</f>
        <v>20415145.800175201</v>
      </c>
      <c r="H65" s="730"/>
      <c r="I65" s="731"/>
    </row>
    <row r="66" spans="1:9" x14ac:dyDescent="0.15">
      <c r="A66" s="526" t="s">
        <v>116</v>
      </c>
      <c r="B66" s="527">
        <f>+'INVERSION INICIAL '!D116</f>
        <v>0</v>
      </c>
      <c r="C66" s="528">
        <f>+B66</f>
        <v>0</v>
      </c>
      <c r="D66" s="529">
        <f>+C66*E58</f>
        <v>0</v>
      </c>
      <c r="E66" s="547">
        <f>+D66*E58</f>
        <v>0</v>
      </c>
      <c r="F66" s="531">
        <f>+E66*E58</f>
        <v>0</v>
      </c>
      <c r="G66" s="563">
        <f>+F66*E58</f>
        <v>0</v>
      </c>
      <c r="H66" s="730"/>
      <c r="I66" s="731"/>
    </row>
    <row r="67" spans="1:9" x14ac:dyDescent="0.15">
      <c r="A67" s="526" t="s">
        <v>117</v>
      </c>
      <c r="B67" s="527">
        <f>+B16+B17+B18</f>
        <v>0</v>
      </c>
      <c r="C67" s="528">
        <f>+C18+C17+C16</f>
        <v>8241920.3399999999</v>
      </c>
      <c r="D67" s="529">
        <f>+D18+D17+D16</f>
        <v>9003887.3560000006</v>
      </c>
      <c r="E67" s="547">
        <f>+E18+E17+E16</f>
        <v>9267495.3112000003</v>
      </c>
      <c r="F67" s="531">
        <f>+F18+F17+F16</f>
        <v>9615563.5952160005</v>
      </c>
      <c r="G67" s="563">
        <f>+G18+G17+G16</f>
        <v>9894048.6129124817</v>
      </c>
      <c r="H67" s="713"/>
      <c r="I67" s="713"/>
    </row>
    <row r="70" spans="1:9" x14ac:dyDescent="0.15">
      <c r="B70" s="564" t="s">
        <v>118</v>
      </c>
    </row>
    <row r="71" spans="1:9" x14ac:dyDescent="0.15">
      <c r="A71" s="534" t="s">
        <v>119</v>
      </c>
    </row>
  </sheetData>
  <mergeCells count="41">
    <mergeCell ref="A3:D3"/>
    <mergeCell ref="D44:E44"/>
    <mergeCell ref="F44:G44"/>
    <mergeCell ref="H44:I44"/>
    <mergeCell ref="H7:I7"/>
    <mergeCell ref="H8:I8"/>
    <mergeCell ref="H9:I9"/>
    <mergeCell ref="H10:I10"/>
    <mergeCell ref="H11:I11"/>
    <mergeCell ref="H67:I67"/>
    <mergeCell ref="J53:K53"/>
    <mergeCell ref="L53:M53"/>
    <mergeCell ref="H12:I12"/>
    <mergeCell ref="H13:I13"/>
    <mergeCell ref="H53:I53"/>
    <mergeCell ref="J44:K44"/>
    <mergeCell ref="L44:M44"/>
    <mergeCell ref="H48:I48"/>
    <mergeCell ref="J48:K48"/>
    <mergeCell ref="L48:M48"/>
    <mergeCell ref="H62:I62"/>
    <mergeCell ref="H63:I63"/>
    <mergeCell ref="H64:I64"/>
    <mergeCell ref="H65:I65"/>
    <mergeCell ref="H66:I66"/>
    <mergeCell ref="A58:I59"/>
    <mergeCell ref="H14:I14"/>
    <mergeCell ref="H15:I15"/>
    <mergeCell ref="H16:I16"/>
    <mergeCell ref="H17:I17"/>
    <mergeCell ref="H18:I18"/>
    <mergeCell ref="H19:I19"/>
    <mergeCell ref="A49:A53"/>
    <mergeCell ref="A45:A48"/>
    <mergeCell ref="B53:C53"/>
    <mergeCell ref="D53:E53"/>
    <mergeCell ref="F53:G53"/>
    <mergeCell ref="B44:C44"/>
    <mergeCell ref="B48:C48"/>
    <mergeCell ref="D48:E48"/>
    <mergeCell ref="F48:G48"/>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1"/>
  <sheetViews>
    <sheetView topLeftCell="A22" workbookViewId="0">
      <selection activeCell="J43" sqref="J43"/>
    </sheetView>
  </sheetViews>
  <sheetFormatPr baseColWidth="10" defaultColWidth="11" defaultRowHeight="10.5" x14ac:dyDescent="0.15"/>
  <cols>
    <col min="3" max="3" width="13.5" bestFit="1" customWidth="1"/>
    <col min="4" max="4" width="15.83203125" bestFit="1" customWidth="1"/>
    <col min="5" max="5" width="28" customWidth="1"/>
    <col min="6" max="6" width="25.1640625" bestFit="1" customWidth="1"/>
    <col min="7" max="7" width="18.1640625" bestFit="1" customWidth="1"/>
    <col min="8" max="11" width="13.33203125" bestFit="1" customWidth="1"/>
  </cols>
  <sheetData>
    <row r="3" spans="1:8" x14ac:dyDescent="0.15">
      <c r="G3" s="252"/>
      <c r="H3" s="50"/>
    </row>
    <row r="4" spans="1:8" x14ac:dyDescent="0.15">
      <c r="G4" s="252"/>
      <c r="H4" s="50"/>
    </row>
    <row r="5" spans="1:8" x14ac:dyDescent="0.15">
      <c r="G5" s="253"/>
      <c r="H5" s="50"/>
    </row>
    <row r="6" spans="1:8" x14ac:dyDescent="0.15">
      <c r="G6" s="252"/>
      <c r="H6" s="50"/>
    </row>
    <row r="7" spans="1:8" ht="18.75" x14ac:dyDescent="0.3">
      <c r="A7" s="737" t="s">
        <v>120</v>
      </c>
      <c r="B7" s="737"/>
      <c r="C7" s="737"/>
      <c r="D7" s="737"/>
      <c r="E7" s="737"/>
      <c r="G7" s="252"/>
      <c r="H7" s="50"/>
    </row>
    <row r="8" spans="1:8" ht="18.75" x14ac:dyDescent="0.3">
      <c r="A8" s="737" t="s">
        <v>121</v>
      </c>
      <c r="B8" s="737"/>
      <c r="C8" s="737"/>
      <c r="D8" s="737"/>
      <c r="E8" s="737"/>
      <c r="G8" s="50"/>
      <c r="H8" s="50"/>
    </row>
    <row r="9" spans="1:8" ht="54" x14ac:dyDescent="0.15">
      <c r="A9" s="254" t="s">
        <v>122</v>
      </c>
      <c r="B9" s="255" t="s">
        <v>123</v>
      </c>
      <c r="C9" s="255" t="s">
        <v>124</v>
      </c>
      <c r="D9" s="255" t="s">
        <v>125</v>
      </c>
      <c r="E9" s="255" t="s">
        <v>126</v>
      </c>
      <c r="F9" s="574"/>
      <c r="G9" s="575"/>
      <c r="H9" s="50"/>
    </row>
    <row r="10" spans="1:8" ht="15" x14ac:dyDescent="0.3">
      <c r="A10" s="256" t="s">
        <v>127</v>
      </c>
      <c r="B10" s="257">
        <v>1</v>
      </c>
      <c r="C10" s="258">
        <v>1500000</v>
      </c>
      <c r="D10" s="258">
        <f>C10*B10</f>
        <v>1500000</v>
      </c>
      <c r="E10" s="258">
        <f>D10*12</f>
        <v>18000000</v>
      </c>
      <c r="G10" t="s">
        <v>128</v>
      </c>
    </row>
    <row r="11" spans="1:8" ht="15" x14ac:dyDescent="0.3">
      <c r="A11" s="259" t="s">
        <v>129</v>
      </c>
      <c r="B11" s="257">
        <v>1</v>
      </c>
      <c r="C11" s="258">
        <v>908526</v>
      </c>
      <c r="D11" s="258">
        <f>C11*B11</f>
        <v>908526</v>
      </c>
      <c r="E11" s="258">
        <f>D11*12</f>
        <v>10902312</v>
      </c>
      <c r="F11" s="566" t="s">
        <v>128</v>
      </c>
      <c r="G11" s="566" t="s">
        <v>128</v>
      </c>
      <c r="H11" s="567"/>
    </row>
    <row r="12" spans="1:8" ht="15" x14ac:dyDescent="0.3">
      <c r="A12" s="259" t="s">
        <v>130</v>
      </c>
      <c r="B12" s="257">
        <v>1</v>
      </c>
      <c r="C12" s="258">
        <v>908526</v>
      </c>
      <c r="D12" s="258">
        <f>C12*B12</f>
        <v>908526</v>
      </c>
      <c r="E12" s="258">
        <f>D12*12</f>
        <v>10902312</v>
      </c>
      <c r="F12" s="567"/>
      <c r="G12" s="567"/>
      <c r="H12" s="567"/>
    </row>
    <row r="13" spans="1:8" ht="15" x14ac:dyDescent="0.3">
      <c r="A13" s="259" t="s">
        <v>131</v>
      </c>
      <c r="B13" s="257">
        <v>2</v>
      </c>
      <c r="C13" s="258">
        <v>106454</v>
      </c>
      <c r="D13" s="258">
        <f>C13*B13</f>
        <v>212908</v>
      </c>
      <c r="E13" s="258">
        <f>D13*12</f>
        <v>2554896</v>
      </c>
      <c r="F13" s="567"/>
      <c r="G13" s="567"/>
      <c r="H13" s="567"/>
    </row>
    <row r="14" spans="1:8" ht="15" x14ac:dyDescent="0.3">
      <c r="A14" s="260" t="s">
        <v>132</v>
      </c>
      <c r="B14" s="257"/>
      <c r="C14" s="258">
        <f>SUM(C10:C13)</f>
        <v>3423506</v>
      </c>
      <c r="D14" s="261">
        <f>SUM(D10:D13)</f>
        <v>3529960</v>
      </c>
      <c r="E14" s="261">
        <f>SUM(E10:E13)</f>
        <v>42359520</v>
      </c>
      <c r="F14" s="566">
        <f>E14*1.033</f>
        <v>43757384.159999996</v>
      </c>
      <c r="G14" s="567" t="s">
        <v>133</v>
      </c>
      <c r="H14" s="567"/>
    </row>
    <row r="15" spans="1:8" ht="15.75" thickBot="1" x14ac:dyDescent="0.35">
      <c r="A15" s="256"/>
      <c r="B15" s="262" t="s">
        <v>134</v>
      </c>
      <c r="C15" s="263" t="s">
        <v>135</v>
      </c>
      <c r="D15" s="258"/>
      <c r="E15" s="258"/>
      <c r="F15" s="567"/>
      <c r="G15" s="567"/>
      <c r="H15" s="567"/>
    </row>
    <row r="16" spans="1:8" ht="15" x14ac:dyDescent="0.3">
      <c r="A16" s="738" t="s">
        <v>136</v>
      </c>
      <c r="B16" s="264" t="s">
        <v>137</v>
      </c>
      <c r="C16" s="265">
        <v>8.3333299999999999E-2</v>
      </c>
      <c r="D16" s="266">
        <f>+$D$14*C16</f>
        <v>294163.21566799999</v>
      </c>
      <c r="E16" s="267">
        <f t="shared" ref="E16:E22" si="0">+D16*12</f>
        <v>3529958.5880159996</v>
      </c>
      <c r="F16" s="567"/>
      <c r="G16" s="567"/>
      <c r="H16" s="567"/>
    </row>
    <row r="17" spans="1:11" ht="15" x14ac:dyDescent="0.3">
      <c r="A17" s="739"/>
      <c r="B17" s="268" t="s">
        <v>138</v>
      </c>
      <c r="C17" s="269">
        <v>8.3333299999999999E-2</v>
      </c>
      <c r="D17" s="270">
        <f>+$D$14*C17</f>
        <v>294163.21566799999</v>
      </c>
      <c r="E17" s="271">
        <f t="shared" si="0"/>
        <v>3529958.5880159996</v>
      </c>
      <c r="F17" s="567"/>
      <c r="G17" s="568"/>
      <c r="H17" s="568"/>
      <c r="I17" s="272"/>
      <c r="J17" s="273"/>
    </row>
    <row r="18" spans="1:11" ht="15" x14ac:dyDescent="0.3">
      <c r="A18" s="739"/>
      <c r="B18" s="268" t="s">
        <v>139</v>
      </c>
      <c r="C18" s="274">
        <v>0.01</v>
      </c>
      <c r="D18" s="270">
        <f>+$D$14*C18</f>
        <v>35299.599999999999</v>
      </c>
      <c r="E18" s="271">
        <f t="shared" si="0"/>
        <v>423595.19999999995</v>
      </c>
      <c r="F18" s="567"/>
      <c r="G18" s="569"/>
      <c r="H18" s="570"/>
      <c r="J18" s="51"/>
    </row>
    <row r="19" spans="1:11" ht="15.75" thickBot="1" x14ac:dyDescent="0.35">
      <c r="A19" s="740"/>
      <c r="B19" s="276" t="s">
        <v>140</v>
      </c>
      <c r="C19" s="277">
        <v>4.1666670000000003E-2</v>
      </c>
      <c r="D19" s="278">
        <f>+($D$14-D13)*C19</f>
        <v>138210.51105684001</v>
      </c>
      <c r="E19" s="279">
        <f t="shared" si="0"/>
        <v>1658526.1326820801</v>
      </c>
      <c r="F19" s="566">
        <f>+E16+E17+E18+E19</f>
        <v>9142038.5087140799</v>
      </c>
      <c r="G19" s="569" t="s">
        <v>141</v>
      </c>
      <c r="H19" s="569"/>
      <c r="I19" s="275"/>
      <c r="J19" s="51"/>
    </row>
    <row r="20" spans="1:11" ht="15" x14ac:dyDescent="0.3">
      <c r="A20" s="280" t="s">
        <v>142</v>
      </c>
      <c r="B20" s="268" t="s">
        <v>143</v>
      </c>
      <c r="C20" s="281">
        <v>0.125</v>
      </c>
      <c r="D20" s="282">
        <f>+$D$14*C20</f>
        <v>441245</v>
      </c>
      <c r="E20" s="282">
        <f t="shared" si="0"/>
        <v>5294940</v>
      </c>
      <c r="F20" s="567"/>
      <c r="G20" s="571"/>
      <c r="H20" s="572"/>
      <c r="I20" s="283"/>
      <c r="J20" s="51"/>
    </row>
    <row r="21" spans="1:11" ht="15" x14ac:dyDescent="0.3">
      <c r="A21" s="280"/>
      <c r="B21" s="268" t="s">
        <v>144</v>
      </c>
      <c r="C21" s="284">
        <v>5.2199999999999998E-3</v>
      </c>
      <c r="D21" s="282">
        <f>+D14*C21</f>
        <v>18426.391199999998</v>
      </c>
      <c r="E21" s="282">
        <f t="shared" si="0"/>
        <v>221116.69439999998</v>
      </c>
      <c r="F21" s="567"/>
      <c r="G21" s="571"/>
      <c r="H21" s="572"/>
      <c r="I21" s="283"/>
      <c r="J21" s="51"/>
    </row>
    <row r="22" spans="1:11" ht="15" x14ac:dyDescent="0.3">
      <c r="A22" s="259"/>
      <c r="B22" s="268" t="s">
        <v>145</v>
      </c>
      <c r="C22" s="285">
        <v>0.04</v>
      </c>
      <c r="D22" s="270">
        <f>+D14*C22</f>
        <v>141198.39999999999</v>
      </c>
      <c r="E22" s="270">
        <f t="shared" si="0"/>
        <v>1694380.7999999998</v>
      </c>
      <c r="F22" s="566">
        <f>E20+E21+E22</f>
        <v>7210437.4944000002</v>
      </c>
      <c r="G22" s="571" t="s">
        <v>146</v>
      </c>
      <c r="H22" s="573"/>
      <c r="I22" s="286"/>
      <c r="J22" s="51"/>
    </row>
    <row r="23" spans="1:11" ht="15" x14ac:dyDescent="0.3">
      <c r="A23" s="287" t="s">
        <v>147</v>
      </c>
      <c r="B23" s="288"/>
      <c r="C23" s="289">
        <f>SUM(C16:C22)</f>
        <v>0.38855327000000001</v>
      </c>
      <c r="D23" s="290">
        <f>SUM(D16:D22)</f>
        <v>1362706.3335928398</v>
      </c>
      <c r="E23" s="290">
        <f>SUM(E16:E22)</f>
        <v>16352476.003114078</v>
      </c>
    </row>
    <row r="24" spans="1:11" ht="15" x14ac:dyDescent="0.3">
      <c r="A24" s="287" t="s">
        <v>148</v>
      </c>
      <c r="B24" s="288"/>
      <c r="C24" s="289"/>
      <c r="D24" s="290">
        <f>+E24/12</f>
        <v>26666.666666666668</v>
      </c>
      <c r="E24" s="290">
        <v>320000</v>
      </c>
    </row>
    <row r="25" spans="1:11" ht="15.75" x14ac:dyDescent="0.3">
      <c r="A25" s="291"/>
      <c r="B25" s="292"/>
      <c r="C25" s="293"/>
      <c r="D25" s="294"/>
      <c r="E25" s="294"/>
      <c r="F25" s="295"/>
    </row>
    <row r="26" spans="1:11" ht="15.75" x14ac:dyDescent="0.25">
      <c r="A26" s="296" t="s">
        <v>149</v>
      </c>
      <c r="B26" s="297"/>
      <c r="C26" s="298"/>
      <c r="D26" s="299">
        <f>+D14+D23+D24</f>
        <v>4919333.0002595065</v>
      </c>
      <c r="E26" s="299">
        <f>+E14+E23+E24</f>
        <v>59031996.003114074</v>
      </c>
    </row>
    <row r="27" spans="1:11" ht="18.75" x14ac:dyDescent="0.3">
      <c r="A27" s="300"/>
      <c r="B27" s="301"/>
      <c r="C27" s="301"/>
      <c r="D27" s="301"/>
      <c r="E27" s="301"/>
      <c r="G27" s="741" t="s">
        <v>150</v>
      </c>
      <c r="H27" s="741"/>
      <c r="I27" s="741"/>
      <c r="J27" s="741"/>
      <c r="K27" s="741"/>
    </row>
    <row r="28" spans="1:11" ht="15" x14ac:dyDescent="0.3">
      <c r="A28" s="291" t="s">
        <v>151</v>
      </c>
      <c r="B28" s="292"/>
      <c r="C28" s="293"/>
      <c r="D28" s="294"/>
      <c r="E28" s="294">
        <v>908526</v>
      </c>
      <c r="G28" s="302" t="s">
        <v>152</v>
      </c>
      <c r="H28" s="303" t="s">
        <v>153</v>
      </c>
      <c r="I28" s="302" t="s">
        <v>154</v>
      </c>
      <c r="J28" s="303" t="s">
        <v>155</v>
      </c>
      <c r="K28" s="302" t="s">
        <v>156</v>
      </c>
    </row>
    <row r="29" spans="1:11" x14ac:dyDescent="0.15">
      <c r="F29" s="304" t="s">
        <v>157</v>
      </c>
      <c r="G29" s="305">
        <f>+E26</f>
        <v>59031996.003114074</v>
      </c>
      <c r="H29" s="306">
        <f>+G29*1.033</f>
        <v>60980051.871216834</v>
      </c>
      <c r="I29" s="306">
        <f>+H29*1.033</f>
        <v>62992393.582966983</v>
      </c>
      <c r="J29" s="306">
        <f>+I29*1.033</f>
        <v>65071142.571204886</v>
      </c>
      <c r="K29" s="306">
        <f>+J29*1.033</f>
        <v>67218490.276054636</v>
      </c>
    </row>
    <row r="30" spans="1:11" ht="15" x14ac:dyDescent="0.25">
      <c r="A30" s="307" t="s">
        <v>158</v>
      </c>
      <c r="B30" s="307"/>
      <c r="C30" s="307"/>
      <c r="D30" s="307"/>
      <c r="F30" s="308" t="s">
        <v>159</v>
      </c>
      <c r="G30" s="309">
        <f>+E28*8</f>
        <v>7268208</v>
      </c>
      <c r="H30" s="309">
        <f>+G30*1.03</f>
        <v>7486254.2400000002</v>
      </c>
      <c r="I30" s="309">
        <f>+H30*1.03</f>
        <v>7710841.8672000002</v>
      </c>
      <c r="J30" s="309">
        <f>+I30*1.03</f>
        <v>7942167.1232160004</v>
      </c>
      <c r="K30" s="309">
        <f>+J30*1.03</f>
        <v>8180432.1369124809</v>
      </c>
    </row>
    <row r="31" spans="1:11" ht="15.75" thickBot="1" x14ac:dyDescent="0.3">
      <c r="A31" s="307" t="s">
        <v>160</v>
      </c>
      <c r="B31" s="307"/>
      <c r="C31" s="307"/>
      <c r="D31" s="307"/>
      <c r="F31" s="310"/>
      <c r="G31" s="311"/>
      <c r="H31" s="311"/>
      <c r="I31" s="311"/>
      <c r="J31" s="311"/>
      <c r="K31" s="311"/>
    </row>
    <row r="32" spans="1:11" ht="15.75" thickBot="1" x14ac:dyDescent="0.3">
      <c r="A32" s="307" t="s">
        <v>161</v>
      </c>
      <c r="B32" s="307"/>
      <c r="C32" s="307"/>
      <c r="D32" s="307"/>
      <c r="F32" s="742" t="s">
        <v>162</v>
      </c>
      <c r="G32" s="743"/>
      <c r="H32" s="743"/>
      <c r="I32" s="743"/>
      <c r="J32" s="743"/>
      <c r="K32" s="744"/>
    </row>
    <row r="33" spans="1:11" ht="15" x14ac:dyDescent="0.25">
      <c r="A33" s="307" t="s">
        <v>163</v>
      </c>
      <c r="B33" s="307"/>
      <c r="C33" s="307"/>
      <c r="D33" s="307"/>
      <c r="F33" s="312" t="s">
        <v>164</v>
      </c>
      <c r="G33" s="313">
        <f>E14</f>
        <v>42359520</v>
      </c>
      <c r="H33" s="313">
        <f>+G33*1.033</f>
        <v>43757384.159999996</v>
      </c>
      <c r="I33" s="313">
        <f t="shared" ref="I33:K34" si="1">+H33*1.033</f>
        <v>45201377.83727999</v>
      </c>
      <c r="J33" s="313">
        <f t="shared" si="1"/>
        <v>46693023.30591023</v>
      </c>
      <c r="K33" s="314">
        <f>+J33*1.033</f>
        <v>48233893.075005263</v>
      </c>
    </row>
    <row r="34" spans="1:11" ht="15" x14ac:dyDescent="0.25">
      <c r="A34" s="307" t="s">
        <v>165</v>
      </c>
      <c r="B34" s="307"/>
      <c r="C34" s="307"/>
      <c r="D34" s="307"/>
      <c r="F34" s="315" t="s">
        <v>141</v>
      </c>
      <c r="G34" s="316">
        <f>F19</f>
        <v>9142038.5087140799</v>
      </c>
      <c r="H34" s="316">
        <f>+G34*1.033</f>
        <v>9443725.779501643</v>
      </c>
      <c r="I34" s="316">
        <f t="shared" si="1"/>
        <v>9755368.7302251961</v>
      </c>
      <c r="J34" s="316">
        <f t="shared" si="1"/>
        <v>10077295.898322627</v>
      </c>
      <c r="K34" s="317">
        <f t="shared" si="1"/>
        <v>10409846.662967272</v>
      </c>
    </row>
    <row r="35" spans="1:11" x14ac:dyDescent="0.15">
      <c r="F35" s="315" t="s">
        <v>166</v>
      </c>
      <c r="G35" s="316">
        <f>F22</f>
        <v>7210437.4944000002</v>
      </c>
      <c r="H35" s="316">
        <f>G35*1.033</f>
        <v>7448381.9317151997</v>
      </c>
      <c r="I35" s="316">
        <f t="shared" ref="I35:K35" si="2">H35*1.033</f>
        <v>7694178.5354618011</v>
      </c>
      <c r="J35" s="316">
        <f t="shared" si="2"/>
        <v>7948086.4271320403</v>
      </c>
      <c r="K35" s="317">
        <f t="shared" si="2"/>
        <v>8210373.2792273974</v>
      </c>
    </row>
    <row r="36" spans="1:11" x14ac:dyDescent="0.15">
      <c r="F36" s="315"/>
      <c r="G36" s="318"/>
      <c r="H36" s="318"/>
      <c r="I36" s="318"/>
      <c r="J36" s="318"/>
      <c r="K36" s="319"/>
    </row>
    <row r="37" spans="1:11" ht="15" x14ac:dyDescent="0.25">
      <c r="F37" s="320" t="s">
        <v>6</v>
      </c>
      <c r="G37" s="321">
        <f>SUM(G33:G36)</f>
        <v>58711996.003114082</v>
      </c>
      <c r="H37" s="321">
        <f>SUM(H33:H36)</f>
        <v>60649491.871216841</v>
      </c>
      <c r="I37" s="321">
        <f t="shared" ref="I37:K37" si="3">SUM(I33:I36)</f>
        <v>62650925.102966987</v>
      </c>
      <c r="J37" s="321">
        <f t="shared" si="3"/>
        <v>64718405.631364897</v>
      </c>
      <c r="K37" s="322">
        <f t="shared" si="3"/>
        <v>66854113.017199934</v>
      </c>
    </row>
    <row r="38" spans="1:11" x14ac:dyDescent="0.15">
      <c r="F38" s="315" t="s">
        <v>167</v>
      </c>
      <c r="G38" s="323">
        <f>G29-G37</f>
        <v>319999.99999999255</v>
      </c>
      <c r="H38" s="323">
        <f t="shared" ref="H38:K38" si="4">H29-H37</f>
        <v>330559.99999999255</v>
      </c>
      <c r="I38" s="323">
        <f t="shared" si="4"/>
        <v>341468.47999999672</v>
      </c>
      <c r="J38" s="323">
        <f t="shared" si="4"/>
        <v>352736.93983998895</v>
      </c>
      <c r="K38" s="324">
        <f t="shared" si="4"/>
        <v>364377.25885470212</v>
      </c>
    </row>
    <row r="39" spans="1:11" ht="15" x14ac:dyDescent="0.25">
      <c r="F39" s="325" t="s">
        <v>168</v>
      </c>
      <c r="G39" s="326">
        <f>SUM(G37:G38)</f>
        <v>59031996.003114074</v>
      </c>
      <c r="H39" s="326">
        <f t="shared" ref="H39:K39" si="5">SUM(H37:H38)</f>
        <v>60980051.871216834</v>
      </c>
      <c r="I39" s="326">
        <f t="shared" si="5"/>
        <v>62992393.582966983</v>
      </c>
      <c r="J39" s="326">
        <f t="shared" si="5"/>
        <v>65071142.571204886</v>
      </c>
      <c r="K39" s="327">
        <f t="shared" si="5"/>
        <v>67218490.276054636</v>
      </c>
    </row>
    <row r="40" spans="1:11" ht="11.25" thickBot="1" x14ac:dyDescent="0.2">
      <c r="F40" s="328"/>
      <c r="G40" s="329" t="s">
        <v>128</v>
      </c>
      <c r="H40" s="329"/>
      <c r="I40" s="329"/>
      <c r="J40" s="329"/>
      <c r="K40" s="330"/>
    </row>
    <row r="41" spans="1:11" x14ac:dyDescent="0.15">
      <c r="G41" t="s">
        <v>128</v>
      </c>
    </row>
  </sheetData>
  <mergeCells count="5">
    <mergeCell ref="A7:E7"/>
    <mergeCell ref="A8:E8"/>
    <mergeCell ref="A16:A19"/>
    <mergeCell ref="G27:K27"/>
    <mergeCell ref="F32:K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8"/>
  <sheetViews>
    <sheetView topLeftCell="D34" zoomScale="140" zoomScaleNormal="140" workbookViewId="0">
      <selection activeCell="P8" sqref="P8"/>
    </sheetView>
  </sheetViews>
  <sheetFormatPr baseColWidth="10" defaultColWidth="11" defaultRowHeight="12.75" x14ac:dyDescent="0.2"/>
  <cols>
    <col min="1" max="1" width="12.33203125" style="110" bestFit="1" customWidth="1"/>
    <col min="2" max="2" width="16" style="110" bestFit="1" customWidth="1"/>
    <col min="3" max="3" width="14.5" style="110" bestFit="1" customWidth="1"/>
    <col min="4" max="4" width="15.5" style="110" bestFit="1" customWidth="1"/>
    <col min="5" max="5" width="14.5" style="110" bestFit="1" customWidth="1"/>
    <col min="6" max="6" width="15.5" style="110" customWidth="1"/>
    <col min="7" max="7" width="12" style="25"/>
    <col min="8" max="8" width="12" style="25" hidden="1" customWidth="1"/>
    <col min="9" max="9" width="12" hidden="1" customWidth="1"/>
    <col min="10" max="10" width="12" customWidth="1"/>
    <col min="12" max="13" width="13.1640625" bestFit="1" customWidth="1"/>
    <col min="14" max="14" width="14" bestFit="1" customWidth="1"/>
    <col min="15" max="15" width="15.6640625" bestFit="1" customWidth="1"/>
    <col min="16" max="16" width="15.83203125" bestFit="1" customWidth="1"/>
    <col min="17" max="18" width="13.5" bestFit="1" customWidth="1"/>
  </cols>
  <sheetData>
    <row r="2" spans="1:17" x14ac:dyDescent="0.2">
      <c r="A2" s="107"/>
      <c r="B2" s="108" t="s">
        <v>169</v>
      </c>
      <c r="C2" s="109">
        <v>12000000</v>
      </c>
      <c r="F2" s="111"/>
      <c r="G2" s="149"/>
      <c r="H2" s="149"/>
    </row>
    <row r="3" spans="1:17" x14ac:dyDescent="0.2">
      <c r="A3" s="107"/>
      <c r="B3" s="108" t="s">
        <v>170</v>
      </c>
      <c r="C3" s="112">
        <f>+D3/12</f>
        <v>1.0833333333333334E-2</v>
      </c>
      <c r="D3" s="113">
        <v>0.13</v>
      </c>
      <c r="E3" s="113"/>
      <c r="F3" s="111"/>
      <c r="G3" s="149"/>
      <c r="H3" s="149"/>
    </row>
    <row r="4" spans="1:17" x14ac:dyDescent="0.2">
      <c r="A4" s="107"/>
      <c r="B4" s="108" t="s">
        <v>171</v>
      </c>
      <c r="C4" s="114">
        <v>60</v>
      </c>
      <c r="F4" s="111"/>
      <c r="G4" s="149"/>
      <c r="H4" s="149"/>
    </row>
    <row r="5" spans="1:17" x14ac:dyDescent="0.2">
      <c r="A5" s="105" t="s">
        <v>172</v>
      </c>
      <c r="B5" s="106" t="s">
        <v>173</v>
      </c>
      <c r="C5" s="106" t="s">
        <v>139</v>
      </c>
      <c r="D5" s="106" t="s">
        <v>174</v>
      </c>
      <c r="E5" s="106" t="s">
        <v>175</v>
      </c>
      <c r="F5" s="106" t="s">
        <v>176</v>
      </c>
      <c r="G5" s="150"/>
      <c r="H5" s="150"/>
      <c r="K5" s="98" t="s">
        <v>172</v>
      </c>
      <c r="L5" s="99" t="s">
        <v>173</v>
      </c>
      <c r="M5" s="99" t="s">
        <v>139</v>
      </c>
      <c r="N5" s="99" t="s">
        <v>174</v>
      </c>
      <c r="O5" s="99" t="s">
        <v>175</v>
      </c>
    </row>
    <row r="6" spans="1:17" x14ac:dyDescent="0.2">
      <c r="A6" s="115">
        <v>0</v>
      </c>
      <c r="B6" s="116"/>
      <c r="C6" s="116"/>
      <c r="D6" s="116"/>
      <c r="E6" s="117">
        <f>+C2</f>
        <v>12000000</v>
      </c>
      <c r="F6" s="118"/>
      <c r="G6" s="151"/>
      <c r="H6" s="151"/>
      <c r="K6" s="97">
        <v>0</v>
      </c>
      <c r="L6" s="96"/>
      <c r="M6" s="96"/>
      <c r="N6" s="96"/>
      <c r="O6" s="155">
        <f>+E6</f>
        <v>12000000</v>
      </c>
    </row>
    <row r="7" spans="1:17" x14ac:dyDescent="0.2">
      <c r="A7" s="115">
        <v>1</v>
      </c>
      <c r="B7" s="119">
        <f>PMT($C$3,$C$4,-$C$2,,0)</f>
        <v>273036.87653068826</v>
      </c>
      <c r="C7" s="119">
        <f>IPMT($C$3,A7,$C$4,-$C$2)</f>
        <v>130000</v>
      </c>
      <c r="D7" s="119">
        <f>PPMT($C$3,A7,$C$4,-$C$2,,0)</f>
        <v>143036.87653068823</v>
      </c>
      <c r="E7" s="120">
        <f>+E6-D7</f>
        <v>11856963.123469312</v>
      </c>
      <c r="F7" s="121">
        <v>44317</v>
      </c>
      <c r="G7" s="152"/>
      <c r="H7" s="152"/>
      <c r="K7" s="156">
        <v>1</v>
      </c>
      <c r="L7" s="100">
        <f>SUM(B7:B14)</f>
        <v>2184295.012245506</v>
      </c>
      <c r="M7" s="100">
        <f>SUM(C7:C14)</f>
        <v>995659.23627023015</v>
      </c>
      <c r="N7" s="100">
        <f>SUM(D7:D14)</f>
        <v>1188635.775975276</v>
      </c>
      <c r="O7" s="100">
        <f>+O6-N7</f>
        <v>10811364.224024724</v>
      </c>
    </row>
    <row r="8" spans="1:17" x14ac:dyDescent="0.2">
      <c r="A8" s="115">
        <v>2</v>
      </c>
      <c r="B8" s="119">
        <f t="shared" ref="B8:B66" si="0">PMT($C$3,$C$4,-$C$2,,0)</f>
        <v>273036.87653068826</v>
      </c>
      <c r="C8" s="119">
        <f t="shared" ref="C8:C66" si="1">IPMT($C$3,A8,$C$4,-$C$2)</f>
        <v>128450.43383758425</v>
      </c>
      <c r="D8" s="119">
        <f t="shared" ref="D8:D66" si="2">PPMT($C$3,A8,$C$4,-$C$2,,0)</f>
        <v>144586.44269310407</v>
      </c>
      <c r="E8" s="120">
        <f t="shared" ref="E8:E66" si="3">+E7-D8</f>
        <v>11712376.680776207</v>
      </c>
      <c r="F8" s="121">
        <v>44348</v>
      </c>
      <c r="G8" s="152"/>
      <c r="H8" s="152"/>
      <c r="K8" s="157">
        <v>2</v>
      </c>
      <c r="L8" s="101">
        <f>SUM(B15:B26)</f>
        <v>3276442.5183682591</v>
      </c>
      <c r="M8" s="101">
        <f>SUM(C15:C26)</f>
        <v>1289873.5543373118</v>
      </c>
      <c r="N8" s="101">
        <f>SUM(D15:D26)</f>
        <v>1986568.9640309475</v>
      </c>
      <c r="O8" s="101">
        <f>+O7-N8</f>
        <v>8824795.2599937767</v>
      </c>
    </row>
    <row r="9" spans="1:17" x14ac:dyDescent="0.2">
      <c r="A9" s="115">
        <v>3</v>
      </c>
      <c r="B9" s="119">
        <f t="shared" si="0"/>
        <v>273036.87653068826</v>
      </c>
      <c r="C9" s="119">
        <f t="shared" si="1"/>
        <v>126884.08070840898</v>
      </c>
      <c r="D9" s="119">
        <f t="shared" si="2"/>
        <v>146152.79582227932</v>
      </c>
      <c r="E9" s="120">
        <f t="shared" si="3"/>
        <v>11566223.884953927</v>
      </c>
      <c r="F9" s="121">
        <v>44378</v>
      </c>
      <c r="G9" s="152"/>
      <c r="H9" s="152"/>
      <c r="K9" s="158">
        <v>3</v>
      </c>
      <c r="L9" s="102">
        <f>SUM(B27:B38)</f>
        <v>3276442.5183682591</v>
      </c>
      <c r="M9" s="102">
        <f>SUM(C27:C38)</f>
        <v>1015662.5103350087</v>
      </c>
      <c r="N9" s="102">
        <f>SUM(D27:D38)</f>
        <v>2260780.0080332505</v>
      </c>
      <c r="O9" s="102">
        <f>+O8-N9</f>
        <v>6564015.2519605262</v>
      </c>
    </row>
    <row r="10" spans="1:17" x14ac:dyDescent="0.2">
      <c r="A10" s="115">
        <v>4</v>
      </c>
      <c r="B10" s="119">
        <f t="shared" si="0"/>
        <v>273036.87653068826</v>
      </c>
      <c r="C10" s="119">
        <f t="shared" si="1"/>
        <v>125300.75875366757</v>
      </c>
      <c r="D10" s="119">
        <f t="shared" si="2"/>
        <v>147736.11777702073</v>
      </c>
      <c r="E10" s="120">
        <f t="shared" si="3"/>
        <v>11418487.767176906</v>
      </c>
      <c r="F10" s="121">
        <v>44409</v>
      </c>
      <c r="G10" s="152"/>
      <c r="H10" s="152"/>
      <c r="K10" s="159">
        <v>4</v>
      </c>
      <c r="L10" s="103">
        <f>SUM(B39:B50)</f>
        <v>3276442.5183682591</v>
      </c>
      <c r="M10" s="103">
        <f>SUM(C39:C50)</f>
        <v>703601.43544313579</v>
      </c>
      <c r="N10" s="103">
        <f>SUM(D39:D50)</f>
        <v>2572841.0829251236</v>
      </c>
      <c r="O10" s="103">
        <f>+O9-N10</f>
        <v>3991174.1690354026</v>
      </c>
    </row>
    <row r="11" spans="1:17" x14ac:dyDescent="0.2">
      <c r="A11" s="115">
        <v>5</v>
      </c>
      <c r="B11" s="119">
        <f t="shared" si="0"/>
        <v>273036.87653068826</v>
      </c>
      <c r="C11" s="119">
        <f t="shared" si="1"/>
        <v>123700.2841444165</v>
      </c>
      <c r="D11" s="119">
        <f t="shared" si="2"/>
        <v>149336.59238627175</v>
      </c>
      <c r="E11" s="120">
        <f t="shared" si="3"/>
        <v>11269151.174790634</v>
      </c>
      <c r="F11" s="121">
        <v>44440</v>
      </c>
      <c r="G11" s="152"/>
      <c r="H11" s="152"/>
      <c r="K11" s="160">
        <v>5</v>
      </c>
      <c r="L11" s="104">
        <f>SUM(B51:B62)</f>
        <v>3276442.5183682591</v>
      </c>
      <c r="M11" s="104">
        <f>SUM(C51:C62)</f>
        <v>348465.79596884327</v>
      </c>
      <c r="N11" s="104">
        <f>SUM(D51:D62)</f>
        <v>2927976.7223994159</v>
      </c>
      <c r="O11" s="104">
        <f>+O10-N11</f>
        <v>1063197.4466359867</v>
      </c>
    </row>
    <row r="12" spans="1:17" x14ac:dyDescent="0.2">
      <c r="A12" s="115">
        <v>6</v>
      </c>
      <c r="B12" s="119">
        <f t="shared" si="0"/>
        <v>273036.87653068826</v>
      </c>
      <c r="C12" s="119">
        <f t="shared" si="1"/>
        <v>122082.47106023191</v>
      </c>
      <c r="D12" s="119">
        <f t="shared" si="2"/>
        <v>150954.40547045638</v>
      </c>
      <c r="E12" s="120">
        <f t="shared" si="3"/>
        <v>11118196.769320177</v>
      </c>
      <c r="F12" s="121">
        <v>44470</v>
      </c>
      <c r="G12" s="152"/>
      <c r="H12" s="152"/>
      <c r="K12" s="161">
        <v>6</v>
      </c>
      <c r="L12" s="104">
        <f>SUM(B63:B66)</f>
        <v>1092147.506122753</v>
      </c>
      <c r="M12" s="104">
        <f>SUM(C63:C66)</f>
        <v>28950.059486764701</v>
      </c>
      <c r="N12" s="104">
        <f>SUM(D63:D66)</f>
        <v>1063197.4466359883</v>
      </c>
      <c r="O12" s="104">
        <f>O11-N12</f>
        <v>0</v>
      </c>
    </row>
    <row r="13" spans="1:17" x14ac:dyDescent="0.2">
      <c r="A13" s="115">
        <v>7</v>
      </c>
      <c r="B13" s="119">
        <f t="shared" si="0"/>
        <v>273036.87653068826</v>
      </c>
      <c r="C13" s="119">
        <f t="shared" si="1"/>
        <v>120447.13166763533</v>
      </c>
      <c r="D13" s="119">
        <f t="shared" si="2"/>
        <v>152589.744863053</v>
      </c>
      <c r="E13" s="120">
        <f t="shared" si="3"/>
        <v>10965607.024457123</v>
      </c>
      <c r="F13" s="121">
        <v>44501</v>
      </c>
      <c r="G13" s="152"/>
      <c r="H13" s="152"/>
      <c r="K13" s="745" t="s">
        <v>177</v>
      </c>
      <c r="L13" s="746"/>
      <c r="M13" s="162">
        <f>SUM(M7:M12)</f>
        <v>4382212.5918412944</v>
      </c>
      <c r="N13" s="162">
        <f>SUM(N7:N12)</f>
        <v>12000000</v>
      </c>
      <c r="O13" s="163">
        <f>SUM(M13:N13)</f>
        <v>16382212.591841295</v>
      </c>
    </row>
    <row r="14" spans="1:17" ht="13.5" thickBot="1" x14ac:dyDescent="0.25">
      <c r="A14" s="115">
        <v>8</v>
      </c>
      <c r="B14" s="119">
        <f t="shared" si="0"/>
        <v>273036.87653068826</v>
      </c>
      <c r="C14" s="119">
        <f t="shared" si="1"/>
        <v>118794.07609828557</v>
      </c>
      <c r="D14" s="119">
        <f t="shared" si="2"/>
        <v>154242.80043240273</v>
      </c>
      <c r="E14" s="120">
        <f t="shared" si="3"/>
        <v>10811364.22402472</v>
      </c>
      <c r="F14" s="121">
        <v>44531</v>
      </c>
      <c r="G14" s="152"/>
      <c r="H14" s="152"/>
      <c r="K14" s="164"/>
      <c r="M14" s="165"/>
      <c r="N14" s="165"/>
      <c r="O14" s="50"/>
    </row>
    <row r="15" spans="1:17" ht="15.75" thickBot="1" x14ac:dyDescent="0.3">
      <c r="A15" s="122">
        <v>9</v>
      </c>
      <c r="B15" s="123">
        <f t="shared" si="0"/>
        <v>273036.87653068826</v>
      </c>
      <c r="C15" s="123">
        <f t="shared" si="1"/>
        <v>117123.11242693453</v>
      </c>
      <c r="D15" s="123">
        <f t="shared" si="2"/>
        <v>155913.76410375373</v>
      </c>
      <c r="E15" s="124">
        <f t="shared" si="3"/>
        <v>10655450.459920967</v>
      </c>
      <c r="F15" s="125">
        <v>44562</v>
      </c>
      <c r="G15" s="152"/>
      <c r="H15" s="152"/>
      <c r="J15" s="747" t="s">
        <v>178</v>
      </c>
      <c r="K15" s="748"/>
      <c r="L15" s="748"/>
      <c r="M15" s="748"/>
      <c r="N15" s="748"/>
      <c r="O15" s="748"/>
      <c r="P15" s="748"/>
      <c r="Q15" s="749"/>
    </row>
    <row r="16" spans="1:17" ht="15.75" thickBot="1" x14ac:dyDescent="0.3">
      <c r="A16" s="122">
        <v>10</v>
      </c>
      <c r="B16" s="123">
        <f t="shared" si="0"/>
        <v>273036.87653068826</v>
      </c>
      <c r="C16" s="123">
        <f t="shared" si="1"/>
        <v>115434.0466491439</v>
      </c>
      <c r="D16" s="123">
        <f t="shared" si="2"/>
        <v>157602.8298815444</v>
      </c>
      <c r="E16" s="124">
        <f t="shared" si="3"/>
        <v>10497847.630039422</v>
      </c>
      <c r="F16" s="125">
        <v>44593</v>
      </c>
      <c r="G16" s="152"/>
      <c r="H16" s="152"/>
      <c r="J16" s="576"/>
      <c r="K16" s="577"/>
      <c r="L16" s="578">
        <v>0</v>
      </c>
      <c r="M16" s="578">
        <v>1</v>
      </c>
      <c r="N16" s="578">
        <v>2</v>
      </c>
      <c r="O16" s="578">
        <v>3</v>
      </c>
      <c r="P16" s="578">
        <v>4</v>
      </c>
      <c r="Q16" s="578">
        <v>5</v>
      </c>
    </row>
    <row r="17" spans="1:17" x14ac:dyDescent="0.2">
      <c r="A17" s="122">
        <v>11</v>
      </c>
      <c r="B17" s="123">
        <f t="shared" si="0"/>
        <v>273036.87653068826</v>
      </c>
      <c r="C17" s="123">
        <f t="shared" si="1"/>
        <v>113726.68265876049</v>
      </c>
      <c r="D17" s="123">
        <f t="shared" si="2"/>
        <v>159310.1938719278</v>
      </c>
      <c r="E17" s="124">
        <f t="shared" si="3"/>
        <v>10338537.436167493</v>
      </c>
      <c r="F17" s="125">
        <v>44621</v>
      </c>
      <c r="G17" s="152"/>
      <c r="H17" s="152"/>
      <c r="J17" s="750" t="s">
        <v>179</v>
      </c>
      <c r="K17" s="751"/>
      <c r="L17" s="479">
        <f>SUM(D7:D14)</f>
        <v>1188635.775975276</v>
      </c>
      <c r="M17" s="479">
        <f>SUM(D15:D26)</f>
        <v>1986568.9640309475</v>
      </c>
      <c r="N17" s="479">
        <f>SUM(D27:D38)</f>
        <v>2260780.0080332505</v>
      </c>
      <c r="O17" s="479">
        <f>SUM(D39:D50)</f>
        <v>2572841.0829251236</v>
      </c>
      <c r="P17" s="479">
        <f>SUM(D51:D62)</f>
        <v>2927976.7223994159</v>
      </c>
      <c r="Q17" s="579">
        <f>SUM(D63:D66)</f>
        <v>1063197.4466359883</v>
      </c>
    </row>
    <row r="18" spans="1:17" x14ac:dyDescent="0.2">
      <c r="A18" s="122">
        <v>12</v>
      </c>
      <c r="B18" s="123">
        <f t="shared" si="0"/>
        <v>273036.87653068826</v>
      </c>
      <c r="C18" s="123">
        <f t="shared" si="1"/>
        <v>112000.82222514795</v>
      </c>
      <c r="D18" s="123">
        <f t="shared" si="2"/>
        <v>161036.05430554037</v>
      </c>
      <c r="E18" s="124">
        <f t="shared" si="3"/>
        <v>10177501.381861953</v>
      </c>
      <c r="F18" s="125">
        <v>44652</v>
      </c>
      <c r="G18" s="152"/>
      <c r="H18" s="152"/>
      <c r="J18" s="750" t="s">
        <v>180</v>
      </c>
      <c r="K18" s="751"/>
      <c r="L18" s="479">
        <f>+C2-L17</f>
        <v>10811364.224024724</v>
      </c>
      <c r="M18" s="479">
        <f>+O6-L17-M17</f>
        <v>8824795.2599937767</v>
      </c>
      <c r="N18" s="479">
        <f>+M18-N17</f>
        <v>6564015.2519605262</v>
      </c>
      <c r="O18" s="479">
        <f>+N18-O17</f>
        <v>3991174.1690354026</v>
      </c>
      <c r="P18" s="580">
        <f>+O18-P17</f>
        <v>1063197.4466359867</v>
      </c>
      <c r="Q18" s="479">
        <f>+P18-Q17</f>
        <v>0</v>
      </c>
    </row>
    <row r="19" spans="1:17" ht="13.5" thickBot="1" x14ac:dyDescent="0.25">
      <c r="A19" s="122">
        <v>13</v>
      </c>
      <c r="B19" s="123">
        <f t="shared" si="0"/>
        <v>273036.87653068826</v>
      </c>
      <c r="C19" s="123">
        <f t="shared" si="1"/>
        <v>110256.26497017124</v>
      </c>
      <c r="D19" s="123">
        <f t="shared" si="2"/>
        <v>162780.61156051705</v>
      </c>
      <c r="E19" s="124">
        <f t="shared" si="3"/>
        <v>10014720.770301435</v>
      </c>
      <c r="F19" s="125">
        <v>44682</v>
      </c>
      <c r="G19" s="152"/>
      <c r="H19" s="152"/>
      <c r="J19" s="581"/>
      <c r="K19" s="582"/>
      <c r="L19" s="583">
        <f>SUM(L17:L18)</f>
        <v>12000000</v>
      </c>
      <c r="M19" s="583">
        <f t="shared" ref="M19:P19" si="4">SUM(M17:M18)</f>
        <v>10811364.224024724</v>
      </c>
      <c r="N19" s="583">
        <f t="shared" si="4"/>
        <v>8824795.2599937767</v>
      </c>
      <c r="O19" s="583">
        <f t="shared" si="4"/>
        <v>6564015.2519605262</v>
      </c>
      <c r="P19" s="583">
        <f t="shared" si="4"/>
        <v>3991174.1690354026</v>
      </c>
      <c r="Q19" s="479"/>
    </row>
    <row r="20" spans="1:17" x14ac:dyDescent="0.2">
      <c r="A20" s="122">
        <v>14</v>
      </c>
      <c r="B20" s="123">
        <f t="shared" si="0"/>
        <v>273036.87653068826</v>
      </c>
      <c r="C20" s="123">
        <f t="shared" si="1"/>
        <v>108492.80834493227</v>
      </c>
      <c r="D20" s="123">
        <f t="shared" si="2"/>
        <v>164544.06818575601</v>
      </c>
      <c r="E20" s="124">
        <f t="shared" si="3"/>
        <v>9850176.7021156792</v>
      </c>
      <c r="F20" s="125">
        <v>44713</v>
      </c>
      <c r="G20" s="152"/>
      <c r="H20" s="152"/>
    </row>
    <row r="21" spans="1:17" x14ac:dyDescent="0.2">
      <c r="A21" s="122">
        <v>15</v>
      </c>
      <c r="B21" s="123">
        <f t="shared" si="0"/>
        <v>273036.87653068826</v>
      </c>
      <c r="C21" s="123">
        <f t="shared" si="1"/>
        <v>106710.24760625328</v>
      </c>
      <c r="D21" s="123">
        <f t="shared" si="2"/>
        <v>166326.628924435</v>
      </c>
      <c r="E21" s="124">
        <f t="shared" si="3"/>
        <v>9683850.0731912442</v>
      </c>
      <c r="F21" s="125">
        <v>44743</v>
      </c>
      <c r="G21" s="152"/>
      <c r="H21" s="152"/>
    </row>
    <row r="22" spans="1:17" x14ac:dyDescent="0.2">
      <c r="A22" s="122">
        <v>16</v>
      </c>
      <c r="B22" s="123">
        <f t="shared" si="0"/>
        <v>273036.87653068826</v>
      </c>
      <c r="C22" s="123">
        <f t="shared" si="1"/>
        <v>104908.37579290522</v>
      </c>
      <c r="D22" s="123">
        <f t="shared" si="2"/>
        <v>168128.50073778306</v>
      </c>
      <c r="E22" s="124">
        <f t="shared" si="3"/>
        <v>9515721.5724534616</v>
      </c>
      <c r="F22" s="125">
        <v>44774</v>
      </c>
      <c r="G22" s="152"/>
      <c r="H22" s="152"/>
    </row>
    <row r="23" spans="1:17" x14ac:dyDescent="0.2">
      <c r="A23" s="122">
        <v>17</v>
      </c>
      <c r="B23" s="123">
        <f t="shared" si="0"/>
        <v>273036.87653068826</v>
      </c>
      <c r="C23" s="123">
        <f t="shared" si="1"/>
        <v>103086.98370157926</v>
      </c>
      <c r="D23" s="123">
        <f t="shared" si="2"/>
        <v>169949.89282910904</v>
      </c>
      <c r="E23" s="124">
        <f t="shared" si="3"/>
        <v>9345771.6796243526</v>
      </c>
      <c r="F23" s="125">
        <v>44805</v>
      </c>
      <c r="G23" s="152"/>
      <c r="H23" s="152"/>
    </row>
    <row r="24" spans="1:17" ht="15" x14ac:dyDescent="0.25">
      <c r="A24" s="126">
        <v>18</v>
      </c>
      <c r="B24" s="127">
        <f t="shared" si="0"/>
        <v>273036.87653068826</v>
      </c>
      <c r="C24" s="127">
        <f t="shared" si="1"/>
        <v>101245.85986259724</v>
      </c>
      <c r="D24" s="127">
        <f t="shared" si="2"/>
        <v>171791.01666809103</v>
      </c>
      <c r="E24" s="128">
        <f t="shared" si="3"/>
        <v>9173980.662956262</v>
      </c>
      <c r="F24" s="129">
        <v>44835</v>
      </c>
      <c r="G24" s="153"/>
      <c r="H24" s="153"/>
    </row>
    <row r="25" spans="1:17" x14ac:dyDescent="0.2">
      <c r="A25" s="122">
        <v>19</v>
      </c>
      <c r="B25" s="123">
        <f t="shared" si="0"/>
        <v>273036.87653068826</v>
      </c>
      <c r="C25" s="123">
        <f t="shared" si="1"/>
        <v>99384.790515359593</v>
      </c>
      <c r="D25" s="123">
        <f t="shared" si="2"/>
        <v>173652.08601532871</v>
      </c>
      <c r="E25" s="124">
        <f t="shared" si="3"/>
        <v>9000328.5769409332</v>
      </c>
      <c r="F25" s="125">
        <v>44866</v>
      </c>
      <c r="G25" s="152"/>
      <c r="H25" s="152"/>
    </row>
    <row r="26" spans="1:17" x14ac:dyDescent="0.2">
      <c r="A26" s="122">
        <v>20</v>
      </c>
      <c r="B26" s="123">
        <f t="shared" si="0"/>
        <v>273036.87653068826</v>
      </c>
      <c r="C26" s="123">
        <f t="shared" si="1"/>
        <v>97503.559583526847</v>
      </c>
      <c r="D26" s="123">
        <f t="shared" si="2"/>
        <v>175533.31694716142</v>
      </c>
      <c r="E26" s="124">
        <f t="shared" si="3"/>
        <v>8824795.2599937711</v>
      </c>
      <c r="F26" s="125">
        <v>44896</v>
      </c>
      <c r="G26" s="152"/>
      <c r="H26" s="152"/>
    </row>
    <row r="27" spans="1:17" x14ac:dyDescent="0.2">
      <c r="A27" s="130">
        <v>21</v>
      </c>
      <c r="B27" s="131">
        <f t="shared" si="0"/>
        <v>273036.87653068826</v>
      </c>
      <c r="C27" s="131">
        <f t="shared" si="1"/>
        <v>95601.948649932601</v>
      </c>
      <c r="D27" s="131">
        <f t="shared" si="2"/>
        <v>177434.92788075571</v>
      </c>
      <c r="E27" s="132">
        <f t="shared" si="3"/>
        <v>8647360.3321130145</v>
      </c>
      <c r="F27" s="133">
        <v>44927</v>
      </c>
      <c r="G27" s="152"/>
      <c r="H27" s="152"/>
    </row>
    <row r="28" spans="1:17" x14ac:dyDescent="0.2">
      <c r="A28" s="130">
        <v>22</v>
      </c>
      <c r="B28" s="131">
        <f t="shared" si="0"/>
        <v>273036.87653068826</v>
      </c>
      <c r="C28" s="131">
        <f t="shared" si="1"/>
        <v>93679.736931224426</v>
      </c>
      <c r="D28" s="131">
        <f t="shared" si="2"/>
        <v>179357.13959946387</v>
      </c>
      <c r="E28" s="132">
        <f t="shared" si="3"/>
        <v>8468003.1925135516</v>
      </c>
      <c r="F28" s="133">
        <v>44958</v>
      </c>
      <c r="G28" s="152"/>
      <c r="H28" s="152"/>
    </row>
    <row r="29" spans="1:17" x14ac:dyDescent="0.2">
      <c r="A29" s="130">
        <v>23</v>
      </c>
      <c r="B29" s="131">
        <f t="shared" si="0"/>
        <v>273036.87653068826</v>
      </c>
      <c r="C29" s="131">
        <f t="shared" si="1"/>
        <v>91736.701252230225</v>
      </c>
      <c r="D29" s="131">
        <f t="shared" si="2"/>
        <v>181300.17527845805</v>
      </c>
      <c r="E29" s="132">
        <f t="shared" si="3"/>
        <v>8286703.0172350938</v>
      </c>
      <c r="F29" s="133">
        <v>44986</v>
      </c>
      <c r="G29" s="152"/>
      <c r="H29" s="152"/>
    </row>
    <row r="30" spans="1:17" x14ac:dyDescent="0.2">
      <c r="A30" s="130">
        <v>24</v>
      </c>
      <c r="B30" s="131">
        <f t="shared" si="0"/>
        <v>273036.87653068826</v>
      </c>
      <c r="C30" s="131">
        <f t="shared" si="1"/>
        <v>89772.616020046931</v>
      </c>
      <c r="D30" s="131">
        <f t="shared" si="2"/>
        <v>183264.26051064135</v>
      </c>
      <c r="E30" s="132">
        <f t="shared" si="3"/>
        <v>8103438.7567244526</v>
      </c>
      <c r="F30" s="133">
        <v>45017</v>
      </c>
      <c r="G30" s="152"/>
      <c r="H30" s="152"/>
    </row>
    <row r="31" spans="1:17" x14ac:dyDescent="0.2">
      <c r="A31" s="130">
        <v>25</v>
      </c>
      <c r="B31" s="131">
        <f t="shared" si="0"/>
        <v>273036.87653068826</v>
      </c>
      <c r="C31" s="131">
        <f t="shared" si="1"/>
        <v>87787.253197848317</v>
      </c>
      <c r="D31" s="131">
        <f t="shared" si="2"/>
        <v>185249.62333283998</v>
      </c>
      <c r="E31" s="132">
        <f t="shared" si="3"/>
        <v>7918189.1333916122</v>
      </c>
      <c r="F31" s="133">
        <v>45047</v>
      </c>
      <c r="G31" s="152"/>
      <c r="H31" s="152"/>
    </row>
    <row r="32" spans="1:17" x14ac:dyDescent="0.2">
      <c r="A32" s="130">
        <v>26</v>
      </c>
      <c r="B32" s="131">
        <f t="shared" si="0"/>
        <v>273036.87653068826</v>
      </c>
      <c r="C32" s="131">
        <f t="shared" si="1"/>
        <v>85780.382278409219</v>
      </c>
      <c r="D32" s="131">
        <f t="shared" si="2"/>
        <v>187256.49425227908</v>
      </c>
      <c r="E32" s="132">
        <f t="shared" si="3"/>
        <v>7730932.6391393328</v>
      </c>
      <c r="F32" s="133">
        <v>45078</v>
      </c>
      <c r="G32" s="152"/>
      <c r="H32" s="152"/>
    </row>
    <row r="33" spans="1:8" x14ac:dyDescent="0.2">
      <c r="A33" s="130">
        <v>27</v>
      </c>
      <c r="B33" s="131">
        <f t="shared" si="0"/>
        <v>273036.87653068826</v>
      </c>
      <c r="C33" s="131">
        <f t="shared" si="1"/>
        <v>83751.770257342854</v>
      </c>
      <c r="D33" s="131">
        <f t="shared" si="2"/>
        <v>189285.10627334545</v>
      </c>
      <c r="E33" s="132">
        <f t="shared" si="3"/>
        <v>7541647.5328659872</v>
      </c>
      <c r="F33" s="133">
        <v>45108</v>
      </c>
      <c r="G33" s="152"/>
      <c r="H33" s="152"/>
    </row>
    <row r="34" spans="1:8" x14ac:dyDescent="0.2">
      <c r="A34" s="130">
        <v>28</v>
      </c>
      <c r="B34" s="131">
        <f t="shared" si="0"/>
        <v>273036.87653068826</v>
      </c>
      <c r="C34" s="131">
        <f t="shared" si="1"/>
        <v>81701.181606048282</v>
      </c>
      <c r="D34" s="131">
        <f t="shared" si="2"/>
        <v>191335.69492463997</v>
      </c>
      <c r="E34" s="132">
        <f t="shared" si="3"/>
        <v>7350311.8379413476</v>
      </c>
      <c r="F34" s="133">
        <v>45139</v>
      </c>
      <c r="G34" s="152"/>
      <c r="H34" s="152"/>
    </row>
    <row r="35" spans="1:8" x14ac:dyDescent="0.2">
      <c r="A35" s="130">
        <v>29</v>
      </c>
      <c r="B35" s="131">
        <f t="shared" si="0"/>
        <v>273036.87653068826</v>
      </c>
      <c r="C35" s="131">
        <f t="shared" si="1"/>
        <v>79628.378244364678</v>
      </c>
      <c r="D35" s="131">
        <f t="shared" si="2"/>
        <v>193408.49828632359</v>
      </c>
      <c r="E35" s="132">
        <f t="shared" si="3"/>
        <v>7156903.339655024</v>
      </c>
      <c r="F35" s="133">
        <v>45170</v>
      </c>
      <c r="G35" s="152"/>
      <c r="H35" s="152"/>
    </row>
    <row r="36" spans="1:8" x14ac:dyDescent="0.2">
      <c r="A36" s="130">
        <v>30</v>
      </c>
      <c r="B36" s="131">
        <f t="shared" si="0"/>
        <v>273036.87653068826</v>
      </c>
      <c r="C36" s="131">
        <f t="shared" si="1"/>
        <v>77533.119512929508</v>
      </c>
      <c r="D36" s="131">
        <f t="shared" si="2"/>
        <v>195503.75701775879</v>
      </c>
      <c r="E36" s="132">
        <f t="shared" si="3"/>
        <v>6961399.5826372653</v>
      </c>
      <c r="F36" s="133">
        <v>45200</v>
      </c>
      <c r="G36" s="152"/>
      <c r="H36" s="152"/>
    </row>
    <row r="37" spans="1:8" x14ac:dyDescent="0.2">
      <c r="A37" s="130">
        <v>31</v>
      </c>
      <c r="B37" s="131">
        <f t="shared" si="0"/>
        <v>273036.87653068826</v>
      </c>
      <c r="C37" s="131">
        <f t="shared" si="1"/>
        <v>75415.162145237118</v>
      </c>
      <c r="D37" s="131">
        <f t="shared" si="2"/>
        <v>197621.71438545117</v>
      </c>
      <c r="E37" s="132">
        <f t="shared" si="3"/>
        <v>6763777.8682518145</v>
      </c>
      <c r="F37" s="133">
        <v>45231</v>
      </c>
      <c r="G37" s="152"/>
      <c r="H37" s="152"/>
    </row>
    <row r="38" spans="1:8" x14ac:dyDescent="0.2">
      <c r="A38" s="130">
        <v>32</v>
      </c>
      <c r="B38" s="131">
        <f t="shared" si="0"/>
        <v>273036.87653068826</v>
      </c>
      <c r="C38" s="131">
        <f t="shared" si="1"/>
        <v>73274.260239394745</v>
      </c>
      <c r="D38" s="131">
        <f t="shared" si="2"/>
        <v>199762.61629129353</v>
      </c>
      <c r="E38" s="132">
        <f t="shared" si="3"/>
        <v>6564015.2519605206</v>
      </c>
      <c r="F38" s="133">
        <v>45261</v>
      </c>
      <c r="G38" s="152"/>
      <c r="H38" s="152"/>
    </row>
    <row r="39" spans="1:8" x14ac:dyDescent="0.2">
      <c r="A39" s="134">
        <v>33</v>
      </c>
      <c r="B39" s="135">
        <f t="shared" si="0"/>
        <v>273036.87653068826</v>
      </c>
      <c r="C39" s="135">
        <f t="shared" si="1"/>
        <v>71110.165229572391</v>
      </c>
      <c r="D39" s="135">
        <f t="shared" si="2"/>
        <v>201926.71130111587</v>
      </c>
      <c r="E39" s="136">
        <f t="shared" si="3"/>
        <v>6362088.5406594044</v>
      </c>
      <c r="F39" s="137">
        <v>45292</v>
      </c>
      <c r="G39" s="152"/>
      <c r="H39" s="152"/>
    </row>
    <row r="40" spans="1:8" x14ac:dyDescent="0.2">
      <c r="A40" s="134">
        <v>34</v>
      </c>
      <c r="B40" s="135">
        <f t="shared" si="0"/>
        <v>273036.87653068826</v>
      </c>
      <c r="C40" s="135">
        <f t="shared" si="1"/>
        <v>68922.625857143634</v>
      </c>
      <c r="D40" s="135">
        <f t="shared" si="2"/>
        <v>204114.25067354465</v>
      </c>
      <c r="E40" s="136">
        <f t="shared" si="3"/>
        <v>6157974.2899858598</v>
      </c>
      <c r="F40" s="137">
        <v>45323</v>
      </c>
      <c r="G40" s="152"/>
      <c r="H40" s="152"/>
    </row>
    <row r="41" spans="1:8" x14ac:dyDescent="0.2">
      <c r="A41" s="134">
        <v>35</v>
      </c>
      <c r="B41" s="135">
        <f t="shared" si="0"/>
        <v>273036.87653068826</v>
      </c>
      <c r="C41" s="135">
        <f t="shared" si="1"/>
        <v>66711.388141513569</v>
      </c>
      <c r="D41" s="135">
        <f t="shared" si="2"/>
        <v>206325.48838917469</v>
      </c>
      <c r="E41" s="136">
        <f t="shared" si="3"/>
        <v>5951648.8015966853</v>
      </c>
      <c r="F41" s="137">
        <v>45352</v>
      </c>
      <c r="G41" s="152"/>
      <c r="H41" s="152"/>
    </row>
    <row r="42" spans="1:8" x14ac:dyDescent="0.2">
      <c r="A42" s="134">
        <v>36</v>
      </c>
      <c r="B42" s="135">
        <f t="shared" si="0"/>
        <v>273036.87653068826</v>
      </c>
      <c r="C42" s="135">
        <f t="shared" si="1"/>
        <v>64476.195350630849</v>
      </c>
      <c r="D42" s="135">
        <f t="shared" si="2"/>
        <v>208560.68118005744</v>
      </c>
      <c r="E42" s="136">
        <f t="shared" si="3"/>
        <v>5743088.1204166282</v>
      </c>
      <c r="F42" s="137">
        <v>45383</v>
      </c>
      <c r="G42" s="152"/>
      <c r="H42" s="152"/>
    </row>
    <row r="43" spans="1:8" x14ac:dyDescent="0.2">
      <c r="A43" s="134">
        <v>37</v>
      </c>
      <c r="B43" s="135">
        <f t="shared" si="0"/>
        <v>273036.87653068826</v>
      </c>
      <c r="C43" s="135">
        <f t="shared" si="1"/>
        <v>62216.787971180223</v>
      </c>
      <c r="D43" s="135">
        <f t="shared" si="2"/>
        <v>210820.08855950803</v>
      </c>
      <c r="E43" s="136">
        <f t="shared" si="3"/>
        <v>5532268.0318571199</v>
      </c>
      <c r="F43" s="137">
        <v>45413</v>
      </c>
      <c r="G43" s="152"/>
      <c r="H43" s="152"/>
    </row>
    <row r="44" spans="1:8" x14ac:dyDescent="0.2">
      <c r="A44" s="134">
        <v>38</v>
      </c>
      <c r="B44" s="135">
        <f t="shared" si="0"/>
        <v>273036.87653068826</v>
      </c>
      <c r="C44" s="135">
        <f t="shared" si="1"/>
        <v>59932.903678452225</v>
      </c>
      <c r="D44" s="135">
        <f t="shared" si="2"/>
        <v>213103.97285223604</v>
      </c>
      <c r="E44" s="136">
        <f t="shared" si="3"/>
        <v>5319164.0590048842</v>
      </c>
      <c r="F44" s="137">
        <v>45444</v>
      </c>
      <c r="G44" s="152"/>
      <c r="H44" s="152"/>
    </row>
    <row r="45" spans="1:8" x14ac:dyDescent="0.2">
      <c r="A45" s="134">
        <v>39</v>
      </c>
      <c r="B45" s="135">
        <f t="shared" si="0"/>
        <v>273036.87653068826</v>
      </c>
      <c r="C45" s="135">
        <f t="shared" si="1"/>
        <v>57624.277305886331</v>
      </c>
      <c r="D45" s="135">
        <f t="shared" si="2"/>
        <v>215412.59922480196</v>
      </c>
      <c r="E45" s="136">
        <f t="shared" si="3"/>
        <v>5103751.4597800821</v>
      </c>
      <c r="F45" s="137">
        <v>45474</v>
      </c>
      <c r="G45" s="152"/>
      <c r="H45" s="152"/>
    </row>
    <row r="46" spans="1:8" x14ac:dyDescent="0.2">
      <c r="A46" s="134">
        <v>40</v>
      </c>
      <c r="B46" s="135">
        <f t="shared" si="0"/>
        <v>273036.87653068826</v>
      </c>
      <c r="C46" s="135">
        <f t="shared" si="1"/>
        <v>55290.640814284307</v>
      </c>
      <c r="D46" s="135">
        <f t="shared" si="2"/>
        <v>217746.23571640399</v>
      </c>
      <c r="E46" s="136">
        <f t="shared" si="3"/>
        <v>4886005.2240636777</v>
      </c>
      <c r="F46" s="137">
        <v>45505</v>
      </c>
      <c r="G46" s="152"/>
      <c r="H46" s="152"/>
    </row>
    <row r="47" spans="1:8" x14ac:dyDescent="0.2">
      <c r="A47" s="134">
        <v>41</v>
      </c>
      <c r="B47" s="135">
        <f t="shared" si="0"/>
        <v>273036.87653068826</v>
      </c>
      <c r="C47" s="135">
        <f t="shared" si="1"/>
        <v>52931.723260689927</v>
      </c>
      <c r="D47" s="135">
        <f t="shared" si="2"/>
        <v>220105.15326999838</v>
      </c>
      <c r="E47" s="136">
        <f t="shared" si="3"/>
        <v>4665900.070793679</v>
      </c>
      <c r="F47" s="137">
        <v>45536</v>
      </c>
      <c r="G47" s="152"/>
      <c r="H47" s="152"/>
    </row>
    <row r="48" spans="1:8" x14ac:dyDescent="0.2">
      <c r="A48" s="134">
        <v>42</v>
      </c>
      <c r="B48" s="135">
        <f t="shared" si="0"/>
        <v>273036.87653068826</v>
      </c>
      <c r="C48" s="135">
        <f t="shared" si="1"/>
        <v>50547.250766931618</v>
      </c>
      <c r="D48" s="135">
        <f t="shared" si="2"/>
        <v>222489.62576375669</v>
      </c>
      <c r="E48" s="136">
        <f t="shared" si="3"/>
        <v>4443410.4450299218</v>
      </c>
      <c r="F48" s="137">
        <v>45566</v>
      </c>
      <c r="G48" s="152"/>
      <c r="H48" s="152"/>
    </row>
    <row r="49" spans="1:8" x14ac:dyDescent="0.2">
      <c r="A49" s="134">
        <v>43</v>
      </c>
      <c r="B49" s="135">
        <f t="shared" si="0"/>
        <v>273036.87653068826</v>
      </c>
      <c r="C49" s="135">
        <f t="shared" si="1"/>
        <v>48136.946487824243</v>
      </c>
      <c r="D49" s="135">
        <f t="shared" si="2"/>
        <v>224899.93004286406</v>
      </c>
      <c r="E49" s="136">
        <f t="shared" si="3"/>
        <v>4218510.514987058</v>
      </c>
      <c r="F49" s="137">
        <v>45597</v>
      </c>
      <c r="G49" s="152"/>
      <c r="H49" s="152"/>
    </row>
    <row r="50" spans="1:8" x14ac:dyDescent="0.2">
      <c r="A50" s="134">
        <v>44</v>
      </c>
      <c r="B50" s="135">
        <f t="shared" si="0"/>
        <v>273036.87653068826</v>
      </c>
      <c r="C50" s="135">
        <f t="shared" si="1"/>
        <v>45700.530579026556</v>
      </c>
      <c r="D50" s="135">
        <f t="shared" si="2"/>
        <v>227336.34595166173</v>
      </c>
      <c r="E50" s="136">
        <f t="shared" si="3"/>
        <v>3991174.1690353961</v>
      </c>
      <c r="F50" s="137">
        <v>45627</v>
      </c>
      <c r="G50" s="152"/>
      <c r="H50" s="152"/>
    </row>
    <row r="51" spans="1:8" x14ac:dyDescent="0.2">
      <c r="A51" s="138">
        <v>45</v>
      </c>
      <c r="B51" s="139">
        <f t="shared" si="0"/>
        <v>273036.87653068826</v>
      </c>
      <c r="C51" s="139">
        <f t="shared" si="1"/>
        <v>43237.720164550221</v>
      </c>
      <c r="D51" s="139">
        <f t="shared" si="2"/>
        <v>229799.15636613805</v>
      </c>
      <c r="E51" s="140">
        <f t="shared" si="3"/>
        <v>3761375.0126692578</v>
      </c>
      <c r="F51" s="141">
        <v>45658</v>
      </c>
      <c r="G51" s="152"/>
      <c r="H51" s="152"/>
    </row>
    <row r="52" spans="1:8" x14ac:dyDescent="0.2">
      <c r="A52" s="138">
        <v>46</v>
      </c>
      <c r="B52" s="139">
        <f t="shared" si="0"/>
        <v>273036.87653068826</v>
      </c>
      <c r="C52" s="139">
        <f t="shared" si="1"/>
        <v>40748.229303917054</v>
      </c>
      <c r="D52" s="139">
        <f t="shared" si="2"/>
        <v>232288.64722677125</v>
      </c>
      <c r="E52" s="140">
        <f t="shared" si="3"/>
        <v>3529086.3654424865</v>
      </c>
      <c r="F52" s="141">
        <v>45689</v>
      </c>
      <c r="G52" s="152"/>
      <c r="H52" s="152"/>
    </row>
    <row r="53" spans="1:8" x14ac:dyDescent="0.2">
      <c r="A53" s="138">
        <v>47</v>
      </c>
      <c r="B53" s="139">
        <f t="shared" si="0"/>
        <v>273036.87653068826</v>
      </c>
      <c r="C53" s="139">
        <f t="shared" si="1"/>
        <v>38231.768958960361</v>
      </c>
      <c r="D53" s="139">
        <f t="shared" si="2"/>
        <v>234805.10757172792</v>
      </c>
      <c r="E53" s="140">
        <f t="shared" si="3"/>
        <v>3294281.2578707584</v>
      </c>
      <c r="F53" s="141">
        <v>45717</v>
      </c>
      <c r="G53" s="152"/>
      <c r="H53" s="152"/>
    </row>
    <row r="54" spans="1:8" x14ac:dyDescent="0.2">
      <c r="A54" s="138">
        <v>48</v>
      </c>
      <c r="B54" s="139">
        <f t="shared" si="0"/>
        <v>273036.87653068826</v>
      </c>
      <c r="C54" s="139">
        <f t="shared" si="1"/>
        <v>35688.046960266649</v>
      </c>
      <c r="D54" s="139">
        <f t="shared" si="2"/>
        <v>237348.82957042163</v>
      </c>
      <c r="E54" s="140">
        <f t="shared" si="3"/>
        <v>3056932.4283003369</v>
      </c>
      <c r="F54" s="141">
        <v>45748</v>
      </c>
      <c r="G54" s="152"/>
      <c r="H54" s="152"/>
    </row>
    <row r="55" spans="1:8" x14ac:dyDescent="0.2">
      <c r="A55" s="138">
        <v>49</v>
      </c>
      <c r="B55" s="139">
        <f t="shared" si="0"/>
        <v>273036.87653068826</v>
      </c>
      <c r="C55" s="139">
        <f t="shared" si="1"/>
        <v>33116.767973253744</v>
      </c>
      <c r="D55" s="139">
        <f t="shared" si="2"/>
        <v>239920.10855743452</v>
      </c>
      <c r="E55" s="140">
        <f t="shared" si="3"/>
        <v>2817012.3197429022</v>
      </c>
      <c r="F55" s="141">
        <v>45778</v>
      </c>
      <c r="G55" s="152"/>
      <c r="H55" s="152"/>
    </row>
    <row r="56" spans="1:8" x14ac:dyDescent="0.2">
      <c r="A56" s="138">
        <v>50</v>
      </c>
      <c r="B56" s="139">
        <f t="shared" si="0"/>
        <v>273036.87653068826</v>
      </c>
      <c r="C56" s="139">
        <f t="shared" si="1"/>
        <v>30517.633463881539</v>
      </c>
      <c r="D56" s="139">
        <f t="shared" si="2"/>
        <v>242519.24306680675</v>
      </c>
      <c r="E56" s="140">
        <f t="shared" si="3"/>
        <v>2574493.0766760954</v>
      </c>
      <c r="F56" s="141">
        <v>45809</v>
      </c>
      <c r="G56" s="152"/>
      <c r="H56" s="152"/>
    </row>
    <row r="57" spans="1:8" x14ac:dyDescent="0.2">
      <c r="A57" s="138">
        <v>51</v>
      </c>
      <c r="B57" s="139">
        <f t="shared" si="0"/>
        <v>273036.87653068826</v>
      </c>
      <c r="C57" s="139">
        <f t="shared" si="1"/>
        <v>27890.34166399113</v>
      </c>
      <c r="D57" s="139">
        <f t="shared" si="2"/>
        <v>245146.53486669715</v>
      </c>
      <c r="E57" s="140">
        <f t="shared" si="3"/>
        <v>2329346.5418093982</v>
      </c>
      <c r="F57" s="141">
        <v>45839</v>
      </c>
      <c r="G57" s="152"/>
      <c r="H57" s="152"/>
    </row>
    <row r="58" spans="1:8" x14ac:dyDescent="0.2">
      <c r="A58" s="138">
        <v>52</v>
      </c>
      <c r="B58" s="139">
        <f t="shared" si="0"/>
        <v>273036.87653068826</v>
      </c>
      <c r="C58" s="139">
        <f t="shared" si="1"/>
        <v>25234.587536268577</v>
      </c>
      <c r="D58" s="139">
        <f t="shared" si="2"/>
        <v>247802.28899441971</v>
      </c>
      <c r="E58" s="140">
        <f t="shared" si="3"/>
        <v>2081544.2528149786</v>
      </c>
      <c r="F58" s="141">
        <v>45870</v>
      </c>
      <c r="G58" s="152"/>
      <c r="H58" s="152"/>
    </row>
    <row r="59" spans="1:8" x14ac:dyDescent="0.2">
      <c r="A59" s="138">
        <v>53</v>
      </c>
      <c r="B59" s="139">
        <f t="shared" si="0"/>
        <v>273036.87653068826</v>
      </c>
      <c r="C59" s="139">
        <f t="shared" si="1"/>
        <v>22550.062738829034</v>
      </c>
      <c r="D59" s="139">
        <f t="shared" si="2"/>
        <v>250486.81379185928</v>
      </c>
      <c r="E59" s="140">
        <f t="shared" si="3"/>
        <v>1831057.4390231194</v>
      </c>
      <c r="F59" s="141">
        <v>45901</v>
      </c>
      <c r="G59" s="152"/>
      <c r="H59" s="152"/>
    </row>
    <row r="60" spans="1:8" x14ac:dyDescent="0.2">
      <c r="A60" s="138">
        <v>54</v>
      </c>
      <c r="B60" s="139">
        <f t="shared" si="0"/>
        <v>273036.87653068826</v>
      </c>
      <c r="C60" s="139">
        <f t="shared" si="1"/>
        <v>19836.455589417223</v>
      </c>
      <c r="D60" s="139">
        <f t="shared" si="2"/>
        <v>253200.42094127103</v>
      </c>
      <c r="E60" s="140">
        <f t="shared" si="3"/>
        <v>1577857.0180818483</v>
      </c>
      <c r="F60" s="141">
        <v>45931</v>
      </c>
      <c r="G60" s="152"/>
      <c r="H60" s="152"/>
    </row>
    <row r="61" spans="1:8" x14ac:dyDescent="0.2">
      <c r="A61" s="138">
        <v>55</v>
      </c>
      <c r="B61" s="139">
        <f t="shared" si="0"/>
        <v>273036.87653068826</v>
      </c>
      <c r="C61" s="139">
        <f t="shared" si="1"/>
        <v>17093.451029220123</v>
      </c>
      <c r="D61" s="139">
        <f t="shared" si="2"/>
        <v>255943.42550146818</v>
      </c>
      <c r="E61" s="140">
        <f t="shared" si="3"/>
        <v>1321913.5925803802</v>
      </c>
      <c r="F61" s="141">
        <v>45962</v>
      </c>
      <c r="G61" s="152"/>
      <c r="H61" s="152"/>
    </row>
    <row r="62" spans="1:8" x14ac:dyDescent="0.2">
      <c r="A62" s="138">
        <v>56</v>
      </c>
      <c r="B62" s="139">
        <f t="shared" si="0"/>
        <v>273036.87653068826</v>
      </c>
      <c r="C62" s="139">
        <f t="shared" si="1"/>
        <v>14320.730586287551</v>
      </c>
      <c r="D62" s="139">
        <f t="shared" si="2"/>
        <v>258716.14594440072</v>
      </c>
      <c r="E62" s="140">
        <f t="shared" si="3"/>
        <v>1063197.4466359795</v>
      </c>
      <c r="F62" s="141">
        <v>45992</v>
      </c>
      <c r="G62" s="152"/>
      <c r="H62" s="152"/>
    </row>
    <row r="63" spans="1:8" x14ac:dyDescent="0.2">
      <c r="A63" s="142">
        <v>57</v>
      </c>
      <c r="B63" s="143">
        <f t="shared" si="0"/>
        <v>273036.87653068826</v>
      </c>
      <c r="C63" s="143">
        <f t="shared" si="1"/>
        <v>11517.972338556541</v>
      </c>
      <c r="D63" s="143">
        <f t="shared" si="2"/>
        <v>261518.90419213174</v>
      </c>
      <c r="E63" s="144">
        <f t="shared" si="3"/>
        <v>801678.54244384775</v>
      </c>
      <c r="F63" s="145">
        <v>46023</v>
      </c>
      <c r="G63" s="152"/>
      <c r="H63" s="152"/>
    </row>
    <row r="64" spans="1:8" x14ac:dyDescent="0.2">
      <c r="A64" s="142">
        <v>58</v>
      </c>
      <c r="B64" s="143">
        <f t="shared" si="0"/>
        <v>273036.87653068826</v>
      </c>
      <c r="C64" s="143">
        <f t="shared" si="1"/>
        <v>8684.850876475115</v>
      </c>
      <c r="D64" s="143">
        <f t="shared" si="2"/>
        <v>264352.02565421315</v>
      </c>
      <c r="E64" s="144">
        <f>+E63-D64</f>
        <v>537326.5167896346</v>
      </c>
      <c r="F64" s="145">
        <v>46054</v>
      </c>
      <c r="G64" s="152"/>
      <c r="H64" s="152"/>
    </row>
    <row r="65" spans="1:8" x14ac:dyDescent="0.2">
      <c r="A65" s="142">
        <v>59</v>
      </c>
      <c r="B65" s="143">
        <f t="shared" si="0"/>
        <v>273036.87653068826</v>
      </c>
      <c r="C65" s="143">
        <f t="shared" si="1"/>
        <v>5821.0372652211372</v>
      </c>
      <c r="D65" s="143">
        <f t="shared" si="2"/>
        <v>267215.83926546713</v>
      </c>
      <c r="E65" s="144">
        <f t="shared" si="3"/>
        <v>270110.67752416746</v>
      </c>
      <c r="F65" s="145">
        <v>46082</v>
      </c>
      <c r="G65" s="152"/>
      <c r="H65" s="152"/>
    </row>
    <row r="66" spans="1:8" x14ac:dyDescent="0.2">
      <c r="A66" s="142">
        <v>60</v>
      </c>
      <c r="B66" s="143">
        <f t="shared" si="0"/>
        <v>273036.87653068826</v>
      </c>
      <c r="C66" s="143">
        <f t="shared" si="1"/>
        <v>2926.1990065119107</v>
      </c>
      <c r="D66" s="143">
        <f t="shared" si="2"/>
        <v>270110.67752417637</v>
      </c>
      <c r="E66" s="124">
        <f t="shared" si="3"/>
        <v>-8.9057721197605133E-9</v>
      </c>
      <c r="F66" s="146">
        <v>46113</v>
      </c>
      <c r="G66" s="152"/>
      <c r="H66" s="152"/>
    </row>
    <row r="67" spans="1:8" x14ac:dyDescent="0.2">
      <c r="A67" s="107"/>
      <c r="C67" s="147">
        <f>SUM(C7:C66)</f>
        <v>4382212.5918412954</v>
      </c>
      <c r="D67" s="147">
        <f>SUM(D7:D66)</f>
        <v>12000000.000000002</v>
      </c>
      <c r="F67" s="148">
        <f>SUM(C67:E67)</f>
        <v>16382212.591841297</v>
      </c>
      <c r="G67" s="154"/>
      <c r="H67" s="154"/>
    </row>
    <row r="68" spans="1:8" x14ac:dyDescent="0.2">
      <c r="A68" s="107"/>
      <c r="C68" s="113">
        <f>+C67/D67</f>
        <v>0.36518438265344122</v>
      </c>
      <c r="F68" s="111"/>
      <c r="G68" s="149"/>
      <c r="H68" s="149"/>
    </row>
  </sheetData>
  <mergeCells count="4">
    <mergeCell ref="K13:L13"/>
    <mergeCell ref="J15:Q15"/>
    <mergeCell ref="J17:K17"/>
    <mergeCell ref="J18:K18"/>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6"/>
  <sheetViews>
    <sheetView workbookViewId="0">
      <selection activeCell="G20" sqref="G20"/>
    </sheetView>
  </sheetViews>
  <sheetFormatPr baseColWidth="10" defaultColWidth="11" defaultRowHeight="14.25" x14ac:dyDescent="0.2"/>
  <cols>
    <col min="2" max="2" width="52.1640625" style="167" customWidth="1"/>
    <col min="3" max="7" width="17.5" style="167" bestFit="1" customWidth="1"/>
  </cols>
  <sheetData>
    <row r="3" spans="2:7" x14ac:dyDescent="0.2">
      <c r="B3" s="166" t="s">
        <v>181</v>
      </c>
      <c r="C3" s="166"/>
      <c r="D3" s="166"/>
      <c r="E3" s="166"/>
      <c r="F3" s="166"/>
      <c r="G3" s="166"/>
    </row>
    <row r="4" spans="2:7" x14ac:dyDescent="0.2">
      <c r="B4" s="166"/>
      <c r="C4" s="166">
        <v>1</v>
      </c>
      <c r="D4" s="166">
        <v>2</v>
      </c>
      <c r="E4" s="166">
        <v>3</v>
      </c>
      <c r="F4" s="166">
        <v>4</v>
      </c>
      <c r="G4" s="166">
        <v>5</v>
      </c>
    </row>
    <row r="5" spans="2:7" x14ac:dyDescent="0.2">
      <c r="B5" s="166" t="s">
        <v>182</v>
      </c>
      <c r="C5" s="166">
        <f>+'INVERSION INICIAL '!D23</f>
        <v>11800000</v>
      </c>
      <c r="D5" s="166">
        <f>+C5+'FLUJO DE CAJA'!E19</f>
        <v>19800000</v>
      </c>
      <c r="E5" s="166">
        <f>+D5+'FLUJO DE CAJA'!F19</f>
        <v>34800000</v>
      </c>
      <c r="F5" s="166">
        <f>+E5+'FLUJO DE CAJA'!G19</f>
        <v>34800000</v>
      </c>
      <c r="G5" s="166">
        <f>+F5+'FLUJO DE CAJA'!H19</f>
        <v>34800000</v>
      </c>
    </row>
    <row r="6" spans="2:7" x14ac:dyDescent="0.2">
      <c r="B6" s="166" t="s">
        <v>183</v>
      </c>
      <c r="C6" s="166">
        <f>SUM(C5)</f>
        <v>11800000</v>
      </c>
      <c r="D6" s="166">
        <f t="shared" ref="D6:G6" si="0">SUM(D5)</f>
        <v>19800000</v>
      </c>
      <c r="E6" s="166">
        <f t="shared" si="0"/>
        <v>34800000</v>
      </c>
      <c r="F6" s="166">
        <f t="shared" si="0"/>
        <v>34800000</v>
      </c>
      <c r="G6" s="166">
        <f t="shared" si="0"/>
        <v>34800000</v>
      </c>
    </row>
    <row r="7" spans="2:7" x14ac:dyDescent="0.2">
      <c r="B7" s="166" t="s">
        <v>184</v>
      </c>
      <c r="C7" s="166"/>
      <c r="D7" s="166"/>
      <c r="E7" s="166"/>
      <c r="F7" s="166"/>
      <c r="G7" s="166"/>
    </row>
    <row r="8" spans="2:7" x14ac:dyDescent="0.2">
      <c r="B8" s="166" t="s">
        <v>182</v>
      </c>
      <c r="C8" s="166">
        <f>+C6/10</f>
        <v>1180000</v>
      </c>
      <c r="D8" s="166">
        <f t="shared" ref="D8:G8" si="1">+D6/10</f>
        <v>1980000</v>
      </c>
      <c r="E8" s="166">
        <f t="shared" si="1"/>
        <v>3480000</v>
      </c>
      <c r="F8" s="166">
        <f t="shared" si="1"/>
        <v>3480000</v>
      </c>
      <c r="G8" s="166">
        <f t="shared" si="1"/>
        <v>3480000</v>
      </c>
    </row>
    <row r="9" spans="2:7" x14ac:dyDescent="0.2">
      <c r="B9" s="166" t="s">
        <v>185</v>
      </c>
      <c r="C9" s="166">
        <f>+C8</f>
        <v>1180000</v>
      </c>
      <c r="D9" s="166">
        <f>+C9+D8</f>
        <v>3160000</v>
      </c>
      <c r="E9" s="166">
        <f t="shared" ref="E9:G9" si="2">+D9+E8</f>
        <v>6640000</v>
      </c>
      <c r="F9" s="166">
        <f t="shared" si="2"/>
        <v>10120000</v>
      </c>
      <c r="G9" s="166">
        <f t="shared" si="2"/>
        <v>13600000</v>
      </c>
    </row>
    <row r="10" spans="2:7" x14ac:dyDescent="0.2">
      <c r="B10" s="166"/>
      <c r="C10" s="166"/>
      <c r="D10" s="166"/>
      <c r="E10" s="166"/>
      <c r="F10" s="166"/>
      <c r="G10" s="166"/>
    </row>
    <row r="11" spans="2:7" x14ac:dyDescent="0.2">
      <c r="B11" s="166"/>
      <c r="C11" s="166"/>
      <c r="D11" s="166"/>
      <c r="E11" s="166"/>
      <c r="F11" s="166"/>
      <c r="G11" s="166"/>
    </row>
    <row r="16" spans="2:7" x14ac:dyDescent="0.2">
      <c r="B16" s="167" t="s">
        <v>186</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22" workbookViewId="0">
      <selection sqref="A1:H34"/>
    </sheetView>
  </sheetViews>
  <sheetFormatPr baseColWidth="10" defaultColWidth="11" defaultRowHeight="10.5" x14ac:dyDescent="0.15"/>
  <cols>
    <col min="1" max="1" width="12" style="365"/>
    <col min="2" max="2" width="41.1640625" style="493" bestFit="1" customWidth="1"/>
    <col min="3" max="3" width="16.83203125" style="365" hidden="1" customWidth="1"/>
    <col min="4" max="4" width="18.6640625" style="493" hidden="1" customWidth="1"/>
    <col min="5" max="5" width="15.1640625" style="365" hidden="1" customWidth="1"/>
    <col min="6" max="8" width="15.1640625" style="365" customWidth="1"/>
    <col min="9" max="9" width="12.83203125" bestFit="1" customWidth="1"/>
    <col min="10" max="10" width="13.83203125" bestFit="1" customWidth="1"/>
  </cols>
  <sheetData>
    <row r="1" spans="1:8" ht="15.75" x14ac:dyDescent="0.15">
      <c r="A1" s="754" t="s">
        <v>187</v>
      </c>
      <c r="B1" s="754"/>
      <c r="C1" s="754"/>
      <c r="D1" s="754"/>
      <c r="E1" s="754"/>
      <c r="F1" s="754"/>
      <c r="G1" s="754"/>
      <c r="H1" s="754"/>
    </row>
    <row r="2" spans="1:8" ht="15" x14ac:dyDescent="0.15">
      <c r="A2" s="755" t="s">
        <v>188</v>
      </c>
      <c r="B2" s="755"/>
      <c r="C2" s="755"/>
      <c r="D2" s="755"/>
      <c r="E2" s="755"/>
      <c r="F2" s="755"/>
      <c r="G2" s="755"/>
      <c r="H2" s="755"/>
    </row>
    <row r="3" spans="1:8" ht="15.75" x14ac:dyDescent="0.15">
      <c r="A3" s="626"/>
      <c r="B3" s="584"/>
      <c r="C3" s="359"/>
      <c r="D3" s="584"/>
      <c r="E3" s="360"/>
      <c r="F3" s="360"/>
      <c r="G3" s="360"/>
      <c r="H3" s="360"/>
    </row>
    <row r="4" spans="1:8" ht="15" x14ac:dyDescent="0.25">
      <c r="A4" s="372"/>
      <c r="B4" s="591"/>
      <c r="C4" s="346" t="s">
        <v>189</v>
      </c>
      <c r="D4" s="585" t="s">
        <v>118</v>
      </c>
      <c r="E4" s="361" t="s">
        <v>89</v>
      </c>
      <c r="F4" s="361" t="s">
        <v>90</v>
      </c>
      <c r="G4" s="361" t="s">
        <v>91</v>
      </c>
      <c r="H4" s="361" t="s">
        <v>92</v>
      </c>
    </row>
    <row r="5" spans="1:8" ht="15" x14ac:dyDescent="0.25">
      <c r="A5" s="347"/>
      <c r="B5" s="592"/>
      <c r="C5" s="348" t="s">
        <v>190</v>
      </c>
      <c r="D5" s="401" t="s">
        <v>191</v>
      </c>
      <c r="E5" s="377" t="s">
        <v>192</v>
      </c>
      <c r="F5" s="377" t="s">
        <v>192</v>
      </c>
      <c r="G5" s="377" t="s">
        <v>192</v>
      </c>
      <c r="H5" s="377" t="s">
        <v>192</v>
      </c>
    </row>
    <row r="6" spans="1:8" ht="15" x14ac:dyDescent="0.15">
      <c r="A6" s="752" t="s">
        <v>193</v>
      </c>
      <c r="B6" s="752"/>
      <c r="C6" s="349">
        <f>ESFA!C12</f>
        <v>17000000</v>
      </c>
      <c r="D6" s="586">
        <f>+C34</f>
        <v>17000000</v>
      </c>
      <c r="E6" s="350">
        <f>+D34</f>
        <v>10576488.644640416</v>
      </c>
      <c r="F6" s="350">
        <f t="shared" ref="F6:H6" si="0">+E34</f>
        <v>1162950.3286644518</v>
      </c>
      <c r="G6" s="350">
        <f t="shared" si="0"/>
        <v>6387208.1805954576</v>
      </c>
      <c r="H6" s="350">
        <f t="shared" si="0"/>
        <v>30098605.416096926</v>
      </c>
    </row>
    <row r="7" spans="1:8" ht="15" x14ac:dyDescent="0.15">
      <c r="A7" s="756" t="s">
        <v>194</v>
      </c>
      <c r="B7" s="756"/>
      <c r="C7" s="351"/>
      <c r="D7" s="587"/>
      <c r="E7" s="362"/>
      <c r="F7" s="362"/>
      <c r="G7" s="362"/>
      <c r="H7" s="362"/>
    </row>
    <row r="8" spans="1:8" ht="15" x14ac:dyDescent="0.25">
      <c r="A8" s="347"/>
      <c r="B8" s="373" t="s">
        <v>195</v>
      </c>
      <c r="C8" s="352">
        <v>0</v>
      </c>
      <c r="D8" s="588"/>
      <c r="E8" s="355">
        <f>+PRESUPUESTO!F12</f>
        <v>15997500</v>
      </c>
      <c r="F8" s="355">
        <f>+PRESUPUESTO!G12</f>
        <v>59990625</v>
      </c>
      <c r="G8" s="355">
        <f>+PRESUPUESTO!H12</f>
        <v>62990156.25</v>
      </c>
      <c r="H8" s="355">
        <f>+PRESUPUESTO!I12</f>
        <v>66139664.0625</v>
      </c>
    </row>
    <row r="9" spans="1:8" ht="15" x14ac:dyDescent="0.25">
      <c r="A9" s="347"/>
      <c r="B9" s="373" t="s">
        <v>196</v>
      </c>
      <c r="C9" s="352">
        <v>0</v>
      </c>
      <c r="D9" s="588">
        <f>+PRESUPUESTO!F11</f>
        <v>143977500</v>
      </c>
      <c r="E9" s="355">
        <f>+PRESUPUESTO!G11</f>
        <v>179971875</v>
      </c>
      <c r="F9" s="355">
        <f>+PRESUPUESTO!H11</f>
        <v>188970468.75</v>
      </c>
      <c r="G9" s="355">
        <f>+PRESUPUESTO!I11</f>
        <v>198418992.1875</v>
      </c>
      <c r="H9" s="355">
        <f>+PRESUPUESTO!J11</f>
        <v>208339941.796875</v>
      </c>
    </row>
    <row r="10" spans="1:8" ht="15" x14ac:dyDescent="0.25">
      <c r="A10" s="347"/>
      <c r="B10" s="593" t="s">
        <v>197</v>
      </c>
      <c r="C10" s="352">
        <v>0</v>
      </c>
      <c r="D10" s="589">
        <v>0</v>
      </c>
      <c r="E10" s="363">
        <v>0</v>
      </c>
      <c r="F10" s="363">
        <v>0</v>
      </c>
      <c r="G10" s="363">
        <v>0</v>
      </c>
      <c r="H10" s="363">
        <v>0</v>
      </c>
    </row>
    <row r="11" spans="1:8" ht="15" x14ac:dyDescent="0.15">
      <c r="A11" s="752" t="s">
        <v>198</v>
      </c>
      <c r="B11" s="752"/>
      <c r="C11" s="349">
        <f t="shared" ref="C11:H11" si="1">SUM(C6:C10)</f>
        <v>17000000</v>
      </c>
      <c r="D11" s="586">
        <f>SUM(D6:D10)</f>
        <v>160977500</v>
      </c>
      <c r="E11" s="350">
        <f>SUM(E6:E10)</f>
        <v>206545863.64464042</v>
      </c>
      <c r="F11" s="350">
        <f t="shared" si="1"/>
        <v>250124044.07866445</v>
      </c>
      <c r="G11" s="350">
        <f t="shared" si="1"/>
        <v>267796356.61809546</v>
      </c>
      <c r="H11" s="350">
        <f t="shared" si="1"/>
        <v>304578211.27547193</v>
      </c>
    </row>
    <row r="12" spans="1:8" ht="15" x14ac:dyDescent="0.15">
      <c r="A12" s="756" t="s">
        <v>199</v>
      </c>
      <c r="B12" s="756"/>
      <c r="C12" s="351"/>
      <c r="D12" s="587"/>
      <c r="E12" s="362"/>
      <c r="F12" s="362"/>
      <c r="G12" s="362"/>
      <c r="H12" s="362"/>
    </row>
    <row r="13" spans="1:8" ht="15" x14ac:dyDescent="0.15">
      <c r="A13" s="627"/>
      <c r="B13" s="594" t="s">
        <v>200</v>
      </c>
      <c r="C13" s="354">
        <f>'[1]2017'!F13</f>
        <v>0</v>
      </c>
      <c r="D13" s="588">
        <f>+NOMINA!G33</f>
        <v>42359520</v>
      </c>
      <c r="E13" s="355">
        <f>[2]NOMINA!H33</f>
        <v>43757384.159999996</v>
      </c>
      <c r="F13" s="355">
        <f>+[2]NOMINA!I33</f>
        <v>45201377.83727999</v>
      </c>
      <c r="G13" s="355">
        <f>+[2]NOMINA!J33</f>
        <v>46693023.30591023</v>
      </c>
      <c r="H13" s="355">
        <f>+[2]NOMINA!K33</f>
        <v>48233893.075005263</v>
      </c>
    </row>
    <row r="14" spans="1:8" s="366" customFormat="1" ht="15" x14ac:dyDescent="0.15">
      <c r="A14" s="627"/>
      <c r="B14" s="374" t="s">
        <v>201</v>
      </c>
      <c r="C14" s="356">
        <f>'[1]2017'!F14</f>
        <v>0</v>
      </c>
      <c r="D14" s="588">
        <f>+NOMINA!G35</f>
        <v>7210437.4944000002</v>
      </c>
      <c r="E14" s="355">
        <f>+[2]NOMINA!H35</f>
        <v>7448381.9317151997</v>
      </c>
      <c r="F14" s="355">
        <f>[2]NOMINA!I35</f>
        <v>7694178.5354618011</v>
      </c>
      <c r="G14" s="355">
        <f>+[2]NOMINA!J35</f>
        <v>7948086.4271320403</v>
      </c>
      <c r="H14" s="355">
        <f>+[2]NOMINA!K35</f>
        <v>8210373.2792273974</v>
      </c>
    </row>
    <row r="15" spans="1:8" s="366" customFormat="1" ht="15" x14ac:dyDescent="0.15">
      <c r="A15" s="627"/>
      <c r="B15" s="374" t="s">
        <v>202</v>
      </c>
      <c r="C15" s="356">
        <f>'[1]2017'!F15</f>
        <v>0</v>
      </c>
      <c r="D15" s="588">
        <f>+NOMINA!G34</f>
        <v>9142038.5087140799</v>
      </c>
      <c r="E15" s="355">
        <f>+[2]NOMINA!H34</f>
        <v>9443725.779501643</v>
      </c>
      <c r="F15" s="355">
        <f>+[2]NOMINA!I34</f>
        <v>9755368.7302251961</v>
      </c>
      <c r="G15" s="355">
        <f>+[2]NOMINA!J34</f>
        <v>10077295.898322627</v>
      </c>
      <c r="H15" s="355">
        <f>+[2]NOMINA!K34</f>
        <v>10409846.662967272</v>
      </c>
    </row>
    <row r="16" spans="1:8" s="366" customFormat="1" ht="15" x14ac:dyDescent="0.15">
      <c r="A16" s="627"/>
      <c r="B16" s="374" t="s">
        <v>203</v>
      </c>
      <c r="C16" s="356">
        <v>0</v>
      </c>
      <c r="D16" s="588">
        <f>+PRESUPUESTO!F30</f>
        <v>63292800</v>
      </c>
      <c r="E16" s="353">
        <f>+PRESUPUESTO!G30</f>
        <v>94939200</v>
      </c>
      <c r="F16" s="353">
        <f>+PRESUPUESTO!H30</f>
        <v>99686160</v>
      </c>
      <c r="G16" s="353">
        <f>+PRESUPUESTO!I30</f>
        <v>104670468</v>
      </c>
      <c r="H16" s="353">
        <f>+PRESUPUESTO!J30</f>
        <v>109903991.39999999</v>
      </c>
    </row>
    <row r="17" spans="1:10" s="366" customFormat="1" ht="15" x14ac:dyDescent="0.15">
      <c r="A17" s="627"/>
      <c r="B17" s="374" t="s">
        <v>204</v>
      </c>
      <c r="C17" s="356"/>
      <c r="D17" s="588"/>
      <c r="E17" s="353">
        <f>+PRESUPUESTO!F31</f>
        <v>3331200</v>
      </c>
      <c r="F17" s="353">
        <f>+PRESUPUESTO!G31</f>
        <v>4996800</v>
      </c>
      <c r="G17" s="353">
        <f>+PRESUPUESTO!H31</f>
        <v>5246640</v>
      </c>
      <c r="H17" s="353">
        <f>+PRESUPUESTO!I31</f>
        <v>5508972</v>
      </c>
    </row>
    <row r="18" spans="1:10" s="366" customFormat="1" ht="15" x14ac:dyDescent="0.15">
      <c r="A18" s="627"/>
      <c r="B18" s="374" t="s">
        <v>43</v>
      </c>
      <c r="C18" s="356">
        <v>0</v>
      </c>
      <c r="D18" s="588">
        <f>+'DATOS INFORMATIVOS'!D51+'DATOS INFORMATIVOS'!E51</f>
        <v>9080000</v>
      </c>
      <c r="E18" s="355">
        <f>+'[2]INVERSION '!H64</f>
        <v>13620000</v>
      </c>
      <c r="F18" s="355">
        <f>+'[2]INVERSION '!I64</f>
        <v>14069459.999999998</v>
      </c>
      <c r="G18" s="355">
        <f>+'[2]INVERSION '!J64</f>
        <v>14533752.179999998</v>
      </c>
      <c r="H18" s="355">
        <f>+'[2]INVERSION '!K64</f>
        <v>15013366.001939997</v>
      </c>
      <c r="J18" s="371"/>
    </row>
    <row r="19" spans="1:10" ht="15" x14ac:dyDescent="0.15">
      <c r="A19" s="351"/>
      <c r="B19" s="374" t="s">
        <v>205</v>
      </c>
      <c r="C19" s="356">
        <v>0</v>
      </c>
      <c r="D19" s="588">
        <v>0</v>
      </c>
      <c r="E19" s="355">
        <v>8000000</v>
      </c>
      <c r="F19" s="355">
        <v>15000000</v>
      </c>
      <c r="G19" s="355"/>
      <c r="H19" s="355">
        <v>0</v>
      </c>
    </row>
    <row r="20" spans="1:10" ht="15" x14ac:dyDescent="0.15">
      <c r="A20" s="351"/>
      <c r="B20" s="374" t="s">
        <v>206</v>
      </c>
      <c r="C20" s="356"/>
      <c r="D20" s="588"/>
      <c r="E20" s="355"/>
      <c r="F20" s="355">
        <v>10000000</v>
      </c>
      <c r="G20" s="355">
        <v>10000000</v>
      </c>
      <c r="H20" s="355">
        <v>10000000</v>
      </c>
    </row>
    <row r="21" spans="1:10" ht="15" x14ac:dyDescent="0.15">
      <c r="A21" s="351"/>
      <c r="B21" s="374" t="s">
        <v>207</v>
      </c>
      <c r="C21" s="356">
        <f>'[1]2017'!F19</f>
        <v>0</v>
      </c>
      <c r="D21" s="588">
        <f>+'DATOS INFORMATIVOS'!C16</f>
        <v>7268208</v>
      </c>
      <c r="E21" s="353">
        <f>+'DATOS INFORMATIVOS'!D16</f>
        <v>7486254.2400000002</v>
      </c>
      <c r="F21" s="353">
        <f>+'DATOS INFORMATIVOS'!E16</f>
        <v>7710841.8672000002</v>
      </c>
      <c r="G21" s="353">
        <f>+'DATOS INFORMATIVOS'!F16</f>
        <v>7942167.1232160004</v>
      </c>
      <c r="H21" s="353">
        <f>+'DATOS INFORMATIVOS'!G16</f>
        <v>8180432.1369124809</v>
      </c>
    </row>
    <row r="22" spans="1:10" ht="15" x14ac:dyDescent="0.15">
      <c r="A22" s="351"/>
      <c r="B22" s="373" t="s">
        <v>110</v>
      </c>
      <c r="C22" s="356">
        <f>'[1]2017'!F20</f>
        <v>0</v>
      </c>
      <c r="D22" s="588">
        <f>+'DATOS INFORMATIVOS'!D46+'DATOS INFORMATIVOS'!E46</f>
        <v>4400000</v>
      </c>
      <c r="E22" s="369">
        <f>+'DATOS INFORMATIVOS'!F46+'DATOS INFORMATIVOS'!G46</f>
        <v>6600000</v>
      </c>
      <c r="F22" s="369">
        <f>+'DATOS INFORMATIVOS'!H46+'DATOS INFORMATIVOS'!I46</f>
        <v>6850800</v>
      </c>
      <c r="G22" s="355">
        <f>+'DATOS INFORMATIVOS'!J46+'DATOS INFORMATIVOS'!K46</f>
        <v>7111130.4000000004</v>
      </c>
      <c r="H22" s="355">
        <f>+'DATOS INFORMATIVOS'!L46+'DATOS INFORMATIVOS'!M46</f>
        <v>7381353.3552000001</v>
      </c>
    </row>
    <row r="23" spans="1:10" s="366" customFormat="1" ht="15" x14ac:dyDescent="0.25">
      <c r="A23" s="357"/>
      <c r="B23" s="373" t="s">
        <v>208</v>
      </c>
      <c r="C23" s="356">
        <f>'[1]2017'!F22</f>
        <v>0</v>
      </c>
      <c r="D23" s="588"/>
      <c r="E23" s="353">
        <f>+'ESTADO DE RESULTADOS'!C29</f>
        <v>1322591.5703908633</v>
      </c>
      <c r="F23" s="353">
        <f>+'ESTADO DE RESULTADOS'!D29</f>
        <v>13142849.165533755</v>
      </c>
      <c r="G23" s="353">
        <f>+'ESTADO DE RESULTADOS'!E29</f>
        <v>13567720.732649401</v>
      </c>
      <c r="H23" s="353">
        <f>+'ESTADO DE RESULTADOS'!F29</f>
        <v>14861362.42157279</v>
      </c>
    </row>
    <row r="24" spans="1:10" ht="15" x14ac:dyDescent="0.25">
      <c r="A24" s="357"/>
      <c r="B24" s="373" t="s">
        <v>209</v>
      </c>
      <c r="C24" s="356">
        <v>0</v>
      </c>
      <c r="D24" s="588">
        <v>540000</v>
      </c>
      <c r="E24" s="355">
        <v>540000</v>
      </c>
      <c r="F24" s="355">
        <v>540000</v>
      </c>
      <c r="G24" s="355">
        <v>540000</v>
      </c>
      <c r="H24" s="355">
        <v>540000</v>
      </c>
    </row>
    <row r="25" spans="1:10" s="370" customFormat="1" ht="15" x14ac:dyDescent="0.25">
      <c r="A25" s="347"/>
      <c r="B25" s="373" t="s">
        <v>210</v>
      </c>
      <c r="C25" s="374"/>
      <c r="D25" s="588">
        <f>+'AMORTIZACION '!N7</f>
        <v>1188635.775975276</v>
      </c>
      <c r="E25" s="369">
        <f>+'AMORTIZACION '!N8</f>
        <v>1986568.9640309475</v>
      </c>
      <c r="F25" s="369">
        <f>+'AMORTIZACION '!N9</f>
        <v>2260780.0080332505</v>
      </c>
      <c r="G25" s="369">
        <f>+[2]Amort!N26</f>
        <v>2572841.0829251236</v>
      </c>
      <c r="H25" s="369">
        <f>+[2]Amort!N27</f>
        <v>2927976.7223994159</v>
      </c>
      <c r="I25" s="476"/>
    </row>
    <row r="26" spans="1:10" s="370" customFormat="1" ht="15" x14ac:dyDescent="0.25">
      <c r="A26" s="347"/>
      <c r="B26" s="373" t="s">
        <v>211</v>
      </c>
      <c r="C26" s="374">
        <f>'[1]2017'!F28</f>
        <v>0</v>
      </c>
      <c r="D26" s="588">
        <f>+'AMORTIZACION '!M7</f>
        <v>995659.23627023015</v>
      </c>
      <c r="E26" s="369">
        <f>+'AMORTIZACION '!M8</f>
        <v>1289873.5543373118</v>
      </c>
      <c r="F26" s="369">
        <f>+'AMORTIZACION '!M9</f>
        <v>1015662.5103350087</v>
      </c>
      <c r="G26" s="369">
        <f>+'AMORTIZACION '!M10</f>
        <v>703601.43544313579</v>
      </c>
      <c r="H26" s="369">
        <f>+'AMORTIZACION '!M11</f>
        <v>348465.79596884327</v>
      </c>
    </row>
    <row r="27" spans="1:10" ht="15" x14ac:dyDescent="0.25">
      <c r="A27" s="357"/>
      <c r="B27" s="373" t="s">
        <v>212</v>
      </c>
      <c r="C27" s="356"/>
      <c r="D27" s="588">
        <f>+'DATOS INFORMATIVOS'!C11</f>
        <v>3950000</v>
      </c>
      <c r="E27" s="353">
        <f>+'DATOS INFORMATIVOS'!D11</f>
        <v>4100100</v>
      </c>
      <c r="F27" s="353">
        <f>+'DATOS INFORMATIVOS'!E11</f>
        <v>4255903.8</v>
      </c>
      <c r="G27" s="353">
        <f>+'DATOS INFORMATIVOS'!F11</f>
        <v>4417628.1443999996</v>
      </c>
      <c r="H27" s="353">
        <f>+'DATOS INFORMATIVOS'!G11</f>
        <v>4585498.0138871996</v>
      </c>
    </row>
    <row r="28" spans="1:10" ht="15" x14ac:dyDescent="0.25">
      <c r="A28" s="347"/>
      <c r="B28" s="373" t="s">
        <v>213</v>
      </c>
      <c r="C28" s="356"/>
      <c r="D28" s="588">
        <f>50000*8</f>
        <v>400000</v>
      </c>
      <c r="E28" s="355">
        <f>50000*12</f>
        <v>600000</v>
      </c>
      <c r="F28" s="355">
        <f t="shared" ref="F28:H28" si="2">50000*12</f>
        <v>600000</v>
      </c>
      <c r="G28" s="355">
        <f t="shared" si="2"/>
        <v>600000</v>
      </c>
      <c r="H28" s="355">
        <f t="shared" si="2"/>
        <v>600000</v>
      </c>
    </row>
    <row r="29" spans="1:10" s="366" customFormat="1" ht="15" x14ac:dyDescent="0.25">
      <c r="A29" s="347"/>
      <c r="B29" s="373" t="s">
        <v>214</v>
      </c>
      <c r="C29" s="356">
        <f>'[1]2017'!F29</f>
        <v>0</v>
      </c>
      <c r="D29" s="588">
        <f>143428085*4/1000</f>
        <v>573712.34</v>
      </c>
      <c r="E29" s="355">
        <f>229408279*4/1000</f>
        <v>917633.11600000004</v>
      </c>
      <c r="F29" s="355">
        <f>239163361*4/1000</f>
        <v>956653.44400000002</v>
      </c>
      <c r="G29" s="355">
        <f>268349118*4/1000</f>
        <v>1073396.4720000001</v>
      </c>
      <c r="H29" s="355">
        <f>278404119*4/1000</f>
        <v>1113616.476</v>
      </c>
      <c r="J29" s="371"/>
    </row>
    <row r="30" spans="1:10" ht="15" hidden="1" x14ac:dyDescent="0.25">
      <c r="A30" s="347"/>
      <c r="B30" s="373"/>
      <c r="C30" s="356"/>
      <c r="D30" s="588"/>
      <c r="E30" s="355"/>
      <c r="F30" s="355"/>
      <c r="G30" s="355"/>
      <c r="H30" s="355"/>
    </row>
    <row r="31" spans="1:10" ht="15" hidden="1" x14ac:dyDescent="0.25">
      <c r="A31" s="347"/>
      <c r="B31" s="373"/>
      <c r="C31" s="356"/>
      <c r="D31" s="588"/>
      <c r="E31" s="355"/>
      <c r="F31" s="364"/>
      <c r="G31" s="355"/>
      <c r="H31" s="355"/>
    </row>
    <row r="32" spans="1:10" ht="15" x14ac:dyDescent="0.25">
      <c r="A32" s="347"/>
      <c r="B32" s="595"/>
      <c r="C32" s="358"/>
      <c r="D32" s="587"/>
      <c r="E32" s="362"/>
      <c r="F32" s="362"/>
      <c r="G32" s="362"/>
      <c r="H32" s="362"/>
      <c r="J32" s="368"/>
    </row>
    <row r="33" spans="1:8" ht="15" x14ac:dyDescent="0.15">
      <c r="A33" s="752" t="s">
        <v>215</v>
      </c>
      <c r="B33" s="752"/>
      <c r="C33" s="349">
        <f>SUM(C13:C32)</f>
        <v>0</v>
      </c>
      <c r="D33" s="586">
        <f>SUM(D13:D32)</f>
        <v>150401011.35535958</v>
      </c>
      <c r="E33" s="350">
        <f t="shared" ref="E33:H33" si="3">SUM(E13:E32)</f>
        <v>205382913.31597596</v>
      </c>
      <c r="F33" s="350">
        <f t="shared" si="3"/>
        <v>243736835.89806899</v>
      </c>
      <c r="G33" s="350">
        <f t="shared" si="3"/>
        <v>237697751.20199853</v>
      </c>
      <c r="H33" s="350">
        <f t="shared" si="3"/>
        <v>247819147.34108064</v>
      </c>
    </row>
    <row r="34" spans="1:8" ht="15" x14ac:dyDescent="0.15">
      <c r="A34" s="753" t="s">
        <v>216</v>
      </c>
      <c r="B34" s="753"/>
      <c r="C34" s="625">
        <f t="shared" ref="C34" si="4">+C11-C33</f>
        <v>17000000</v>
      </c>
      <c r="D34" s="596">
        <f>+D11-D33</f>
        <v>10576488.644640416</v>
      </c>
      <c r="E34" s="596">
        <f>+E11-E33</f>
        <v>1162950.3286644518</v>
      </c>
      <c r="F34" s="596">
        <f>+F11-F33</f>
        <v>6387208.1805954576</v>
      </c>
      <c r="G34" s="596">
        <f>+G11-G33</f>
        <v>30098605.416096926</v>
      </c>
      <c r="H34" s="596">
        <f>+H11-H33</f>
        <v>56759063.93439129</v>
      </c>
    </row>
    <row r="37" spans="1:8" x14ac:dyDescent="0.15">
      <c r="D37" s="590"/>
      <c r="E37" s="367"/>
      <c r="F37" s="367"/>
      <c r="G37" s="367"/>
      <c r="H37" s="367"/>
    </row>
  </sheetData>
  <mergeCells count="8">
    <mergeCell ref="A33:B33"/>
    <mergeCell ref="A34:B34"/>
    <mergeCell ref="A1:H1"/>
    <mergeCell ref="A2:H2"/>
    <mergeCell ref="A6:B6"/>
    <mergeCell ref="A7:B7"/>
    <mergeCell ref="A11:B11"/>
    <mergeCell ref="A12: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topLeftCell="A28" workbookViewId="0">
      <selection activeCell="D21" sqref="D21"/>
    </sheetView>
  </sheetViews>
  <sheetFormatPr baseColWidth="10" defaultColWidth="11" defaultRowHeight="10.5" x14ac:dyDescent="0.15"/>
  <cols>
    <col min="1" max="1" width="36.5" bestFit="1" customWidth="1"/>
    <col min="2" max="2" width="24.5" bestFit="1" customWidth="1"/>
    <col min="3" max="3" width="32.33203125" bestFit="1" customWidth="1"/>
    <col min="4" max="4" width="30.6640625" bestFit="1" customWidth="1"/>
    <col min="5" max="5" width="36.1640625" bestFit="1" customWidth="1"/>
    <col min="6" max="6" width="33" bestFit="1" customWidth="1"/>
    <col min="7" max="7" width="33.1640625" bestFit="1" customWidth="1"/>
    <col min="8" max="8" width="25.1640625" bestFit="1" customWidth="1"/>
    <col min="9" max="10" width="22.83203125" bestFit="1" customWidth="1"/>
  </cols>
  <sheetData>
    <row r="2" spans="1:11" ht="18.75" x14ac:dyDescent="0.3">
      <c r="A2" s="759"/>
      <c r="B2" s="759"/>
      <c r="C2" s="759"/>
      <c r="D2" s="759"/>
      <c r="E2" s="759"/>
      <c r="F2" s="759"/>
      <c r="G2" s="759"/>
      <c r="H2" s="759"/>
      <c r="I2" s="759"/>
      <c r="J2" s="759"/>
    </row>
    <row r="3" spans="1:11" ht="19.5" thickBot="1" x14ac:dyDescent="0.35">
      <c r="A3" s="765" t="s">
        <v>217</v>
      </c>
      <c r="B3" s="765"/>
      <c r="C3" s="765"/>
      <c r="D3" s="765"/>
      <c r="E3" s="765"/>
      <c r="F3" s="765"/>
      <c r="G3" s="765"/>
      <c r="H3" s="765"/>
      <c r="I3" s="765"/>
      <c r="J3" s="765"/>
    </row>
    <row r="4" spans="1:11" ht="19.5" thickBot="1" x14ac:dyDescent="0.2">
      <c r="A4" s="762" t="s">
        <v>218</v>
      </c>
      <c r="B4" s="762" t="s">
        <v>219</v>
      </c>
      <c r="C4" s="762" t="s">
        <v>220</v>
      </c>
      <c r="D4" s="763" t="s">
        <v>221</v>
      </c>
      <c r="E4" s="763" t="s">
        <v>222</v>
      </c>
      <c r="F4" s="764" t="s">
        <v>223</v>
      </c>
      <c r="G4" s="183" t="s">
        <v>224</v>
      </c>
      <c r="H4" s="184" t="s">
        <v>225</v>
      </c>
      <c r="I4" s="185" t="s">
        <v>226</v>
      </c>
      <c r="J4" s="186" t="s">
        <v>227</v>
      </c>
    </row>
    <row r="5" spans="1:11" ht="19.5" thickBot="1" x14ac:dyDescent="0.2">
      <c r="A5" s="762"/>
      <c r="B5" s="762"/>
      <c r="C5" s="762"/>
      <c r="D5" s="763"/>
      <c r="E5" s="763"/>
      <c r="F5" s="764"/>
      <c r="G5" s="183">
        <v>1.05</v>
      </c>
      <c r="H5" s="184"/>
      <c r="I5" s="185"/>
      <c r="J5" s="187"/>
      <c r="K5">
        <v>1.1000000000000001</v>
      </c>
    </row>
    <row r="6" spans="1:11" ht="18.75" x14ac:dyDescent="0.3">
      <c r="A6" s="188" t="s">
        <v>228</v>
      </c>
      <c r="B6" s="189">
        <v>280</v>
      </c>
      <c r="C6" s="190">
        <v>1200</v>
      </c>
      <c r="D6" s="190">
        <f>+B6*C6</f>
        <v>336000</v>
      </c>
      <c r="E6" s="191">
        <f>+D6*30</f>
        <v>10080000</v>
      </c>
      <c r="F6" s="192">
        <f>+E6*9</f>
        <v>90720000</v>
      </c>
      <c r="G6" s="193">
        <f>+(F6/8)*12</f>
        <v>136080000</v>
      </c>
      <c r="H6" s="193">
        <f>+G6*$G$5</f>
        <v>142884000</v>
      </c>
      <c r="I6" s="193">
        <f t="shared" ref="I6:J6" si="0">+H6*$G$5</f>
        <v>150028200</v>
      </c>
      <c r="J6" s="193">
        <f t="shared" si="0"/>
        <v>157529610</v>
      </c>
    </row>
    <row r="7" spans="1:11" ht="18.75" x14ac:dyDescent="0.3">
      <c r="A7" s="194" t="s">
        <v>229</v>
      </c>
      <c r="B7" s="195">
        <v>90</v>
      </c>
      <c r="C7" s="196">
        <v>2850</v>
      </c>
      <c r="D7" s="196">
        <f t="shared" ref="D7:D8" si="1">+B7*C7</f>
        <v>256500</v>
      </c>
      <c r="E7" s="193">
        <f>+D7*30</f>
        <v>7695000</v>
      </c>
      <c r="F7" s="192">
        <f>+E7*9</f>
        <v>69255000</v>
      </c>
      <c r="G7" s="193">
        <f>+(F7/8)*12</f>
        <v>103882500</v>
      </c>
      <c r="H7" s="193">
        <f>+G7*$G$5</f>
        <v>109076625</v>
      </c>
      <c r="I7" s="193">
        <f t="shared" ref="I7:J7" si="2">+H7*$G$5</f>
        <v>114530456.25</v>
      </c>
      <c r="J7" s="193">
        <f t="shared" si="2"/>
        <v>120256979.0625</v>
      </c>
    </row>
    <row r="8" spans="1:11" ht="18.75" x14ac:dyDescent="0.3">
      <c r="A8" s="195"/>
      <c r="B8" s="195"/>
      <c r="C8" s="196"/>
      <c r="D8" s="196">
        <f t="shared" si="1"/>
        <v>0</v>
      </c>
      <c r="E8" s="193">
        <f t="shared" ref="E8" si="3">+D8*30</f>
        <v>0</v>
      </c>
      <c r="F8" s="197">
        <f t="shared" ref="F8" si="4">+E8*12</f>
        <v>0</v>
      </c>
      <c r="G8" s="193">
        <v>0</v>
      </c>
      <c r="H8" s="193">
        <v>0</v>
      </c>
      <c r="I8" s="193">
        <v>0</v>
      </c>
      <c r="J8" s="193">
        <v>0</v>
      </c>
    </row>
    <row r="9" spans="1:11" ht="18.75" x14ac:dyDescent="0.3">
      <c r="A9" s="757" t="s">
        <v>230</v>
      </c>
      <c r="B9" s="757"/>
      <c r="C9" s="757"/>
      <c r="D9" s="198">
        <f>SUM(D6:D8)</f>
        <v>592500</v>
      </c>
      <c r="E9" s="198">
        <f>SUM(E6:E8)</f>
        <v>17775000</v>
      </c>
      <c r="F9" s="199">
        <f>SUM(F6:F8)</f>
        <v>159975000</v>
      </c>
      <c r="G9" s="200">
        <f t="shared" ref="G9:J9" si="5">SUM(G6:G8)</f>
        <v>239962500</v>
      </c>
      <c r="H9" s="201">
        <f t="shared" si="5"/>
        <v>251960625</v>
      </c>
      <c r="I9" s="202">
        <f t="shared" si="5"/>
        <v>264558656.25</v>
      </c>
      <c r="J9" s="198">
        <f t="shared" si="5"/>
        <v>277786589.0625</v>
      </c>
    </row>
    <row r="10" spans="1:11" ht="19.5" thickBot="1" x14ac:dyDescent="0.35">
      <c r="A10" s="203"/>
      <c r="B10" s="203"/>
      <c r="C10" s="455"/>
      <c r="D10" s="203"/>
      <c r="E10" s="760" t="s">
        <v>231</v>
      </c>
      <c r="F10" s="760"/>
      <c r="G10" s="760"/>
      <c r="H10" s="760"/>
      <c r="I10" s="760"/>
      <c r="J10" s="760"/>
    </row>
    <row r="11" spans="1:11" ht="19.5" thickTop="1" x14ac:dyDescent="0.3">
      <c r="A11" s="203"/>
      <c r="B11" s="203" t="s">
        <v>232</v>
      </c>
      <c r="C11" s="455"/>
      <c r="D11" s="457">
        <f>(B6*30)*8</f>
        <v>67200</v>
      </c>
      <c r="E11" s="204" t="s">
        <v>233</v>
      </c>
      <c r="F11" s="205">
        <f>+F9*0.9</f>
        <v>143977500</v>
      </c>
      <c r="G11" s="206">
        <f>+G9*0.75</f>
        <v>179971875</v>
      </c>
      <c r="H11" s="207">
        <f t="shared" ref="H11:J11" si="6">+H9*0.75</f>
        <v>188970468.75</v>
      </c>
      <c r="I11" s="208">
        <f t="shared" si="6"/>
        <v>198418992.1875</v>
      </c>
      <c r="J11" s="209">
        <f t="shared" si="6"/>
        <v>208339941.796875</v>
      </c>
    </row>
    <row r="12" spans="1:11" ht="18.75" x14ac:dyDescent="0.3">
      <c r="A12" s="203"/>
      <c r="B12" s="203"/>
      <c r="C12" s="457"/>
      <c r="D12" s="203"/>
      <c r="E12" s="210" t="s">
        <v>169</v>
      </c>
      <c r="F12" s="211">
        <f>+F9*0.1</f>
        <v>15997500</v>
      </c>
      <c r="G12" s="211">
        <f>+G9*0.25</f>
        <v>59990625</v>
      </c>
      <c r="H12" s="211">
        <f t="shared" ref="H12:J12" si="7">+H9*0.25</f>
        <v>62990156.25</v>
      </c>
      <c r="I12" s="211">
        <f t="shared" si="7"/>
        <v>66139664.0625</v>
      </c>
      <c r="J12" s="211">
        <f t="shared" si="7"/>
        <v>69446647.265625</v>
      </c>
    </row>
    <row r="13" spans="1:11" ht="19.5" thickBot="1" x14ac:dyDescent="0.35">
      <c r="A13" s="203"/>
      <c r="B13" s="203" t="s">
        <v>234</v>
      </c>
      <c r="C13" s="458"/>
      <c r="D13" s="457">
        <f>(B7*30)*8</f>
        <v>21600</v>
      </c>
      <c r="E13" s="212" t="s">
        <v>235</v>
      </c>
      <c r="F13" s="213">
        <f>SUM(F11:F12)</f>
        <v>159975000</v>
      </c>
      <c r="G13" s="214">
        <f>SUM(G11:G12)</f>
        <v>239962500</v>
      </c>
      <c r="H13" s="215">
        <f>SUM(H11:H12)</f>
        <v>251960625</v>
      </c>
      <c r="I13" s="216">
        <f>SUM(I11:I12)</f>
        <v>264558656.25</v>
      </c>
      <c r="J13" s="217">
        <f>SUM(J11:J12)</f>
        <v>277786589.0625</v>
      </c>
    </row>
    <row r="14" spans="1:11" ht="19.5" thickTop="1" x14ac:dyDescent="0.3">
      <c r="A14" s="203"/>
      <c r="B14" s="203"/>
      <c r="C14" s="203"/>
      <c r="D14" s="203"/>
      <c r="E14" s="203"/>
      <c r="F14" s="218"/>
      <c r="G14" s="203"/>
      <c r="H14" s="219">
        <f>+H12/H13</f>
        <v>0.25</v>
      </c>
      <c r="I14" s="203"/>
      <c r="J14" s="220"/>
    </row>
    <row r="15" spans="1:11" ht="18.75" x14ac:dyDescent="0.3">
      <c r="A15" s="759"/>
      <c r="B15" s="759"/>
      <c r="C15" s="759"/>
      <c r="D15" s="759"/>
      <c r="E15" s="759"/>
      <c r="F15" s="759"/>
      <c r="G15" s="759"/>
      <c r="H15" s="759"/>
      <c r="I15" s="759"/>
      <c r="J15" s="759"/>
    </row>
    <row r="16" spans="1:11" ht="19.5" thickBot="1" x14ac:dyDescent="0.35">
      <c r="A16" s="761" t="s">
        <v>236</v>
      </c>
      <c r="B16" s="761"/>
      <c r="C16" s="761"/>
      <c r="D16" s="761"/>
      <c r="E16" s="761"/>
      <c r="F16" s="761"/>
      <c r="G16" s="761"/>
      <c r="H16" s="761"/>
      <c r="I16" s="761"/>
      <c r="J16" s="761"/>
    </row>
    <row r="17" spans="1:10" ht="19.5" thickBot="1" x14ac:dyDescent="0.2">
      <c r="A17" s="762" t="s">
        <v>218</v>
      </c>
      <c r="B17" s="762" t="s">
        <v>237</v>
      </c>
      <c r="C17" s="762" t="s">
        <v>238</v>
      </c>
      <c r="D17" s="763" t="s">
        <v>239</v>
      </c>
      <c r="E17" s="763" t="s">
        <v>240</v>
      </c>
      <c r="F17" s="764" t="s">
        <v>241</v>
      </c>
      <c r="G17" s="183" t="s">
        <v>89</v>
      </c>
      <c r="H17" s="184" t="s">
        <v>90</v>
      </c>
      <c r="I17" s="185" t="s">
        <v>91</v>
      </c>
      <c r="J17" s="186" t="s">
        <v>92</v>
      </c>
    </row>
    <row r="18" spans="1:10" ht="19.5" thickBot="1" x14ac:dyDescent="0.2">
      <c r="A18" s="762"/>
      <c r="B18" s="762"/>
      <c r="C18" s="762"/>
      <c r="D18" s="763"/>
      <c r="E18" s="763"/>
      <c r="F18" s="764"/>
      <c r="G18" s="183">
        <v>1.05</v>
      </c>
      <c r="H18" s="184"/>
      <c r="I18" s="185"/>
      <c r="J18" s="187"/>
    </row>
    <row r="19" spans="1:10" ht="18.75" x14ac:dyDescent="0.3">
      <c r="A19" s="221" t="s">
        <v>242</v>
      </c>
      <c r="B19" s="222">
        <v>66</v>
      </c>
      <c r="C19" s="223">
        <v>2200</v>
      </c>
      <c r="D19" s="223">
        <f>+B19*C19</f>
        <v>145200</v>
      </c>
      <c r="E19" s="224">
        <f>+D19*30</f>
        <v>4356000</v>
      </c>
      <c r="F19" s="192">
        <f>+E19*8</f>
        <v>34848000</v>
      </c>
      <c r="G19" s="225">
        <f>+(F19/8)*12</f>
        <v>52272000</v>
      </c>
      <c r="H19" s="225">
        <f>+G19*$G$18</f>
        <v>54885600</v>
      </c>
      <c r="I19" s="225">
        <f t="shared" ref="I19:J19" si="8">+H19*$G$18</f>
        <v>57629880</v>
      </c>
      <c r="J19" s="225">
        <f t="shared" si="8"/>
        <v>60511374</v>
      </c>
    </row>
    <row r="20" spans="1:10" ht="18.75" x14ac:dyDescent="0.3">
      <c r="A20" s="226" t="s">
        <v>243</v>
      </c>
      <c r="B20" s="227">
        <v>56</v>
      </c>
      <c r="C20" s="228">
        <v>2150</v>
      </c>
      <c r="D20" s="228">
        <f t="shared" ref="D20:D21" si="9">+B20*C20</f>
        <v>120400</v>
      </c>
      <c r="E20" s="225">
        <f t="shared" ref="E20:E21" si="10">+D20*30</f>
        <v>3612000</v>
      </c>
      <c r="F20" s="197">
        <f>+E20*8</f>
        <v>28896000</v>
      </c>
      <c r="G20" s="225">
        <f t="shared" ref="G20:G21" si="11">+(F20/8)*12</f>
        <v>43344000</v>
      </c>
      <c r="H20" s="225">
        <f t="shared" ref="H20:J27" si="12">+G20*$G$18</f>
        <v>45511200</v>
      </c>
      <c r="I20" s="225">
        <f t="shared" si="12"/>
        <v>47786760</v>
      </c>
      <c r="J20" s="225">
        <f t="shared" si="12"/>
        <v>50176098</v>
      </c>
    </row>
    <row r="21" spans="1:10" ht="18.75" x14ac:dyDescent="0.3">
      <c r="A21" s="226" t="s">
        <v>244</v>
      </c>
      <c r="B21" s="227">
        <v>20</v>
      </c>
      <c r="C21" s="228">
        <v>600</v>
      </c>
      <c r="D21" s="228">
        <f t="shared" si="9"/>
        <v>12000</v>
      </c>
      <c r="E21" s="225">
        <f t="shared" si="10"/>
        <v>360000</v>
      </c>
      <c r="F21" s="197">
        <f>+E21*8</f>
        <v>2880000</v>
      </c>
      <c r="G21" s="225">
        <f t="shared" si="11"/>
        <v>4320000</v>
      </c>
      <c r="H21" s="225">
        <f t="shared" si="12"/>
        <v>4536000</v>
      </c>
      <c r="I21" s="225">
        <f t="shared" si="12"/>
        <v>4762800</v>
      </c>
      <c r="J21" s="225">
        <f t="shared" si="12"/>
        <v>5000940</v>
      </c>
    </row>
    <row r="22" spans="1:10" ht="18.75" hidden="1" x14ac:dyDescent="0.3">
      <c r="A22" s="226"/>
      <c r="B22" s="227"/>
      <c r="C22" s="228"/>
      <c r="D22" s="228"/>
      <c r="E22" s="225"/>
      <c r="F22" s="197"/>
      <c r="G22" s="225"/>
      <c r="H22" s="225">
        <f t="shared" si="12"/>
        <v>0</v>
      </c>
      <c r="I22" s="225"/>
      <c r="J22" s="225"/>
    </row>
    <row r="23" spans="1:10" ht="18.75" hidden="1" x14ac:dyDescent="0.3">
      <c r="A23" s="226"/>
      <c r="B23" s="227"/>
      <c r="C23" s="228"/>
      <c r="D23" s="228"/>
      <c r="E23" s="225"/>
      <c r="F23" s="197"/>
      <c r="G23" s="225"/>
      <c r="H23" s="225">
        <f t="shared" si="12"/>
        <v>0</v>
      </c>
      <c r="I23" s="225"/>
      <c r="J23" s="225"/>
    </row>
    <row r="24" spans="1:10" ht="18.75" hidden="1" x14ac:dyDescent="0.3">
      <c r="A24" s="226"/>
      <c r="B24" s="227"/>
      <c r="C24" s="228"/>
      <c r="D24" s="228"/>
      <c r="E24" s="225"/>
      <c r="F24" s="197"/>
      <c r="G24" s="225"/>
      <c r="H24" s="225">
        <f t="shared" si="12"/>
        <v>0</v>
      </c>
      <c r="I24" s="225"/>
      <c r="J24" s="225"/>
    </row>
    <row r="25" spans="1:10" ht="18.75" hidden="1" x14ac:dyDescent="0.3">
      <c r="A25" s="226"/>
      <c r="B25" s="227"/>
      <c r="C25" s="228"/>
      <c r="D25" s="228"/>
      <c r="E25" s="225"/>
      <c r="F25" s="197"/>
      <c r="G25" s="225"/>
      <c r="H25" s="225">
        <f t="shared" si="12"/>
        <v>0</v>
      </c>
      <c r="I25" s="225"/>
      <c r="J25" s="225"/>
    </row>
    <row r="26" spans="1:10" ht="18.75" hidden="1" x14ac:dyDescent="0.3">
      <c r="A26" s="226"/>
      <c r="B26" s="227"/>
      <c r="C26" s="228"/>
      <c r="D26" s="228"/>
      <c r="E26" s="225"/>
      <c r="F26" s="197"/>
      <c r="G26" s="225"/>
      <c r="H26" s="225">
        <f t="shared" si="12"/>
        <v>0</v>
      </c>
      <c r="I26" s="225"/>
      <c r="J26" s="225"/>
    </row>
    <row r="27" spans="1:10" ht="18.75" hidden="1" x14ac:dyDescent="0.3">
      <c r="A27" s="226"/>
      <c r="B27" s="227"/>
      <c r="C27" s="228"/>
      <c r="D27" s="228"/>
      <c r="E27" s="225"/>
      <c r="F27" s="197"/>
      <c r="G27" s="225"/>
      <c r="H27" s="225">
        <f t="shared" si="12"/>
        <v>0</v>
      </c>
      <c r="I27" s="225"/>
      <c r="J27" s="225"/>
    </row>
    <row r="28" spans="1:10" ht="18.75" x14ac:dyDescent="0.3">
      <c r="A28" s="757" t="s">
        <v>245</v>
      </c>
      <c r="B28" s="757"/>
      <c r="C28" s="757"/>
      <c r="D28" s="198">
        <f>SUM(D19:D21)</f>
        <v>277600</v>
      </c>
      <c r="E28" s="198">
        <f>SUM(E19:E21)</f>
        <v>8328000</v>
      </c>
      <c r="F28" s="199">
        <f>SUM(F19:F21)</f>
        <v>66624000</v>
      </c>
      <c r="G28" s="200">
        <f>SUM(G19:G21)</f>
        <v>99936000</v>
      </c>
      <c r="H28" s="201">
        <f>H19+H20+H21</f>
        <v>104932800</v>
      </c>
      <c r="I28" s="202">
        <f>+I19+I20+I21</f>
        <v>110179440</v>
      </c>
      <c r="J28" s="229">
        <f>J19+J20+J21</f>
        <v>115688412</v>
      </c>
    </row>
    <row r="29" spans="1:10" ht="19.5" thickBot="1" x14ac:dyDescent="0.35">
      <c r="A29" s="230"/>
      <c r="B29" s="230"/>
      <c r="C29" s="230"/>
      <c r="D29" s="230"/>
      <c r="E29" s="758" t="s">
        <v>246</v>
      </c>
      <c r="F29" s="758"/>
      <c r="G29" s="758"/>
      <c r="H29" s="758"/>
      <c r="I29" s="758"/>
      <c r="J29" s="758"/>
    </row>
    <row r="30" spans="1:10" ht="19.5" thickTop="1" x14ac:dyDescent="0.3">
      <c r="A30" s="230"/>
      <c r="B30" s="230"/>
      <c r="C30" s="251"/>
      <c r="D30" s="230"/>
      <c r="E30" s="231" t="s">
        <v>233</v>
      </c>
      <c r="F30" s="205">
        <f>+F28*0.95</f>
        <v>63292800</v>
      </c>
      <c r="G30" s="205">
        <f t="shared" ref="G30:J30" si="13">+G28*0.95</f>
        <v>94939200</v>
      </c>
      <c r="H30" s="205">
        <f t="shared" si="13"/>
        <v>99686160</v>
      </c>
      <c r="I30" s="205">
        <f t="shared" si="13"/>
        <v>104670468</v>
      </c>
      <c r="J30" s="205">
        <f t="shared" si="13"/>
        <v>109903991.39999999</v>
      </c>
    </row>
    <row r="31" spans="1:10" ht="18.75" x14ac:dyDescent="0.3">
      <c r="A31" s="230"/>
      <c r="B31" s="230"/>
      <c r="C31" s="251"/>
      <c r="D31" s="230"/>
      <c r="E31" s="232" t="s">
        <v>169</v>
      </c>
      <c r="F31" s="211">
        <f>+F28*0.05</f>
        <v>3331200</v>
      </c>
      <c r="G31" s="211">
        <f t="shared" ref="G31:J31" si="14">+G28*0.05</f>
        <v>4996800</v>
      </c>
      <c r="H31" s="211">
        <f t="shared" si="14"/>
        <v>5246640</v>
      </c>
      <c r="I31" s="211">
        <f t="shared" si="14"/>
        <v>5508972</v>
      </c>
      <c r="J31" s="211">
        <f t="shared" si="14"/>
        <v>5784420.6000000006</v>
      </c>
    </row>
    <row r="32" spans="1:10" ht="19.5" thickBot="1" x14ac:dyDescent="0.35">
      <c r="A32" s="230"/>
      <c r="B32" s="230"/>
      <c r="C32" s="251"/>
      <c r="D32" s="230"/>
      <c r="E32" s="233" t="s">
        <v>247</v>
      </c>
      <c r="F32" s="213">
        <f>SUM(F30:F31)</f>
        <v>66624000</v>
      </c>
      <c r="G32" s="214">
        <f t="shared" ref="G32:J32" si="15">SUM(G30:G31)</f>
        <v>99936000</v>
      </c>
      <c r="H32" s="215">
        <f t="shared" si="15"/>
        <v>104932800</v>
      </c>
      <c r="I32" s="216">
        <f t="shared" si="15"/>
        <v>110179440</v>
      </c>
      <c r="J32" s="234">
        <f t="shared" si="15"/>
        <v>115688411.99999999</v>
      </c>
    </row>
    <row r="33" spans="1:10" ht="19.5" thickTop="1" x14ac:dyDescent="0.3">
      <c r="A33" s="230"/>
      <c r="B33" s="230"/>
      <c r="C33" s="230"/>
      <c r="D33" s="230"/>
      <c r="E33" s="230"/>
      <c r="F33" s="218"/>
      <c r="G33" s="230"/>
      <c r="H33" s="230"/>
      <c r="I33" s="230"/>
      <c r="J33" s="235"/>
    </row>
    <row r="34" spans="1:10" ht="19.5" thickBot="1" x14ac:dyDescent="0.35">
      <c r="A34" s="230"/>
      <c r="B34" s="230"/>
      <c r="C34" s="230"/>
      <c r="D34" s="230"/>
      <c r="E34" s="759" t="s">
        <v>248</v>
      </c>
      <c r="F34" s="759"/>
      <c r="G34" s="759"/>
      <c r="H34" s="759"/>
      <c r="I34" s="759"/>
      <c r="J34" s="759"/>
    </row>
    <row r="35" spans="1:10" ht="18.75" x14ac:dyDescent="0.3">
      <c r="A35" s="230"/>
      <c r="B35" s="230"/>
      <c r="C35" s="230"/>
      <c r="D35" s="230"/>
      <c r="E35" s="236" t="s">
        <v>249</v>
      </c>
      <c r="F35" s="237">
        <f>ESFA!C13</f>
        <v>5596000</v>
      </c>
      <c r="G35" s="238">
        <f>+F37</f>
        <v>3611000</v>
      </c>
      <c r="H35" s="238">
        <f>+G37</f>
        <v>5177350</v>
      </c>
      <c r="I35" s="238">
        <f>+H37</f>
        <v>5505507.5</v>
      </c>
      <c r="J35" s="239">
        <f>+I37</f>
        <v>5784247.375</v>
      </c>
    </row>
    <row r="36" spans="1:10" ht="18.75" x14ac:dyDescent="0.3">
      <c r="A36" s="230"/>
      <c r="B36" s="230"/>
      <c r="C36" s="230"/>
      <c r="D36" s="230"/>
      <c r="E36" s="240" t="s">
        <v>250</v>
      </c>
      <c r="F36" s="241">
        <f>+F28</f>
        <v>66624000</v>
      </c>
      <c r="G36" s="242">
        <f>+G28</f>
        <v>99936000</v>
      </c>
      <c r="H36" s="242">
        <f>+H28</f>
        <v>104932800</v>
      </c>
      <c r="I36" s="242">
        <f>+I28</f>
        <v>110179440</v>
      </c>
      <c r="J36" s="243">
        <f>+J28</f>
        <v>115688412</v>
      </c>
    </row>
    <row r="37" spans="1:10" ht="18.75" x14ac:dyDescent="0.3">
      <c r="A37" s="230"/>
      <c r="B37" s="230"/>
      <c r="C37" s="230"/>
      <c r="D37" s="230"/>
      <c r="E37" s="240" t="s">
        <v>251</v>
      </c>
      <c r="F37" s="241">
        <f>+(F35+F36)*0.05</f>
        <v>3611000</v>
      </c>
      <c r="G37" s="241">
        <f t="shared" ref="G37:J37" si="16">+(G35+G36)*0.05</f>
        <v>5177350</v>
      </c>
      <c r="H37" s="241">
        <f t="shared" si="16"/>
        <v>5505507.5</v>
      </c>
      <c r="I37" s="241">
        <f t="shared" si="16"/>
        <v>5784247.375</v>
      </c>
      <c r="J37" s="241">
        <f t="shared" si="16"/>
        <v>6073632.96875</v>
      </c>
    </row>
    <row r="38" spans="1:10" ht="19.5" thickBot="1" x14ac:dyDescent="0.35">
      <c r="A38" s="230"/>
      <c r="B38" s="230"/>
      <c r="C38" s="230"/>
      <c r="D38" s="230"/>
      <c r="E38" s="244" t="s">
        <v>252</v>
      </c>
      <c r="F38" s="245">
        <f>+F35+F36-F37</f>
        <v>68609000</v>
      </c>
      <c r="G38" s="246">
        <f>+G35+G36-G37</f>
        <v>98369650</v>
      </c>
      <c r="H38" s="247">
        <f>+H35+H36-H37</f>
        <v>104604642.5</v>
      </c>
      <c r="I38" s="248">
        <f>+I35+I36-I37</f>
        <v>109900700.125</v>
      </c>
      <c r="J38" s="249">
        <f>+J35+J36-J37</f>
        <v>115399026.40625</v>
      </c>
    </row>
    <row r="39" spans="1:10" ht="18.75" x14ac:dyDescent="0.3">
      <c r="A39" s="230"/>
      <c r="B39" s="230"/>
      <c r="C39" s="230"/>
      <c r="D39" s="230"/>
      <c r="E39" s="230"/>
      <c r="F39" s="250"/>
      <c r="G39" s="251"/>
      <c r="H39" s="251"/>
      <c r="I39" s="251"/>
      <c r="J39" s="251"/>
    </row>
    <row r="41" spans="1:10" x14ac:dyDescent="0.15">
      <c r="F41" s="395"/>
    </row>
  </sheetData>
  <mergeCells count="21">
    <mergeCell ref="A2:J2"/>
    <mergeCell ref="A3:J3"/>
    <mergeCell ref="A4:A5"/>
    <mergeCell ref="B4:B5"/>
    <mergeCell ref="C4:C5"/>
    <mergeCell ref="D4:D5"/>
    <mergeCell ref="E4:E5"/>
    <mergeCell ref="F4:F5"/>
    <mergeCell ref="A28:C28"/>
    <mergeCell ref="E29:J29"/>
    <mergeCell ref="E34:J34"/>
    <mergeCell ref="A9:C9"/>
    <mergeCell ref="E10:J10"/>
    <mergeCell ref="A15:J15"/>
    <mergeCell ref="A16:J16"/>
    <mergeCell ref="A17:A18"/>
    <mergeCell ref="B17:B18"/>
    <mergeCell ref="C17:C18"/>
    <mergeCell ref="D17:D18"/>
    <mergeCell ref="E17:E18"/>
    <mergeCell ref="F17:F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1"/>
  <sheetViews>
    <sheetView zoomScaleNormal="100" workbookViewId="0">
      <selection activeCell="I24" sqref="I24"/>
    </sheetView>
  </sheetViews>
  <sheetFormatPr baseColWidth="10" defaultColWidth="11" defaultRowHeight="10.5" x14ac:dyDescent="0.15"/>
  <cols>
    <col min="1" max="1" width="49.83203125" bestFit="1" customWidth="1"/>
    <col min="2" max="2" width="15.1640625" style="396" hidden="1" customWidth="1"/>
    <col min="3" max="3" width="16.6640625" style="397" hidden="1" customWidth="1"/>
    <col min="4" max="4" width="16.5" style="396" hidden="1" customWidth="1"/>
    <col min="5" max="7" width="16.5" style="396" customWidth="1"/>
    <col min="10" max="10" width="13.33203125" bestFit="1" customWidth="1"/>
  </cols>
  <sheetData>
    <row r="3" spans="1:7" ht="11.25" thickBot="1" x14ac:dyDescent="0.2"/>
    <row r="4" spans="1:7" ht="15" x14ac:dyDescent="0.25">
      <c r="A4" s="766" t="s">
        <v>57</v>
      </c>
      <c r="B4" s="767"/>
      <c r="C4" s="767"/>
      <c r="D4" s="767"/>
      <c r="E4" s="767"/>
      <c r="F4" s="767"/>
      <c r="G4" s="768"/>
    </row>
    <row r="5" spans="1:7" ht="15" x14ac:dyDescent="0.25">
      <c r="A5" s="769" t="s">
        <v>58</v>
      </c>
      <c r="B5" s="770"/>
      <c r="C5" s="770"/>
      <c r="D5" s="770"/>
      <c r="E5" s="770"/>
      <c r="F5" s="770"/>
      <c r="G5" s="771"/>
    </row>
    <row r="6" spans="1:7" ht="15" x14ac:dyDescent="0.25">
      <c r="A6" s="769" t="s">
        <v>60</v>
      </c>
      <c r="B6" s="770"/>
      <c r="C6" s="770"/>
      <c r="D6" s="770"/>
      <c r="E6" s="770"/>
      <c r="F6" s="770"/>
      <c r="G6" s="771"/>
    </row>
    <row r="7" spans="1:7" ht="15.75" thickBot="1" x14ac:dyDescent="0.3">
      <c r="A7" s="772"/>
      <c r="B7" s="773"/>
      <c r="C7" s="773"/>
      <c r="D7" s="773"/>
      <c r="E7" s="773"/>
      <c r="F7" s="773"/>
      <c r="G7" s="774"/>
    </row>
    <row r="8" spans="1:7" ht="15" x14ac:dyDescent="0.25">
      <c r="B8" s="398" t="s">
        <v>190</v>
      </c>
      <c r="C8" s="399" t="s">
        <v>253</v>
      </c>
      <c r="D8" s="375" t="s">
        <v>254</v>
      </c>
      <c r="E8" s="375" t="s">
        <v>255</v>
      </c>
      <c r="F8" s="375" t="s">
        <v>256</v>
      </c>
      <c r="G8" s="375" t="s">
        <v>257</v>
      </c>
    </row>
    <row r="9" spans="1:7" ht="15" x14ac:dyDescent="0.25">
      <c r="A9" s="376"/>
      <c r="B9" s="400" t="s">
        <v>258</v>
      </c>
      <c r="C9" s="401" t="s">
        <v>191</v>
      </c>
      <c r="D9" s="377" t="s">
        <v>192</v>
      </c>
      <c r="E9" s="377" t="s">
        <v>192</v>
      </c>
      <c r="F9" s="377" t="s">
        <v>192</v>
      </c>
      <c r="G9" s="377" t="s">
        <v>192</v>
      </c>
    </row>
    <row r="10" spans="1:7" ht="15" x14ac:dyDescent="0.25">
      <c r="A10" s="378" t="s">
        <v>61</v>
      </c>
      <c r="B10" s="402"/>
      <c r="C10" s="403"/>
      <c r="D10" s="403"/>
      <c r="E10" s="403"/>
      <c r="F10" s="403"/>
      <c r="G10" s="403"/>
    </row>
    <row r="11" spans="1:7" ht="15" x14ac:dyDescent="0.25">
      <c r="A11" s="379" t="s">
        <v>62</v>
      </c>
      <c r="B11" s="402"/>
      <c r="C11" s="403"/>
      <c r="D11" s="403"/>
      <c r="E11" s="403"/>
      <c r="F11" s="403"/>
      <c r="G11" s="403"/>
    </row>
    <row r="12" spans="1:7" ht="15" x14ac:dyDescent="0.25">
      <c r="A12" s="96" t="s">
        <v>63</v>
      </c>
      <c r="B12" s="404">
        <f>+ESFA!C12</f>
        <v>17000000</v>
      </c>
      <c r="C12" s="389">
        <f>+'FLUJO DE CAJA'!D34</f>
        <v>10576488.644640416</v>
      </c>
      <c r="D12" s="389">
        <f>+'FLUJO DE CAJA'!E34</f>
        <v>1162950.3286644518</v>
      </c>
      <c r="E12" s="389">
        <f>+'FLUJO DE CAJA'!F34</f>
        <v>6387208.1805954576</v>
      </c>
      <c r="F12" s="389">
        <f>+'FLUJO DE CAJA'!G34</f>
        <v>30098605.416096926</v>
      </c>
      <c r="G12" s="389">
        <f>+'FLUJO DE CAJA'!H34</f>
        <v>56759063.93439129</v>
      </c>
    </row>
    <row r="13" spans="1:7" ht="15" x14ac:dyDescent="0.25">
      <c r="A13" s="380" t="s">
        <v>259</v>
      </c>
      <c r="B13" s="405">
        <v>0</v>
      </c>
      <c r="C13" s="381">
        <f>+PRESUPUESTO!F12</f>
        <v>15997500</v>
      </c>
      <c r="D13" s="381">
        <f>+PRESUPUESTO!G12</f>
        <v>59990625</v>
      </c>
      <c r="E13" s="381">
        <f>+PRESUPUESTO!H12</f>
        <v>62990156.25</v>
      </c>
      <c r="F13" s="381">
        <f>+PRESUPUESTO!I12</f>
        <v>66139664.0625</v>
      </c>
      <c r="G13" s="381">
        <f>+PRESUPUESTO!J12</f>
        <v>69446647.265625</v>
      </c>
    </row>
    <row r="14" spans="1:7" ht="15" x14ac:dyDescent="0.25">
      <c r="A14" s="96" t="s">
        <v>64</v>
      </c>
      <c r="B14" s="405">
        <f>+ESFA!C13</f>
        <v>5596000</v>
      </c>
      <c r="C14" s="389">
        <f>+PRESUPUESTO!F37</f>
        <v>3611000</v>
      </c>
      <c r="D14" s="389">
        <f>+PRESUPUESTO!G37</f>
        <v>5177350</v>
      </c>
      <c r="E14" s="389">
        <f>+PRESUPUESTO!H37</f>
        <v>5505507.5</v>
      </c>
      <c r="F14" s="389">
        <f>+PRESUPUESTO!I37</f>
        <v>5784247.375</v>
      </c>
      <c r="G14" s="389">
        <f>+PRESUPUESTO!J37</f>
        <v>6073632.96875</v>
      </c>
    </row>
    <row r="15" spans="1:7" ht="15" x14ac:dyDescent="0.25">
      <c r="A15" s="96" t="s">
        <v>260</v>
      </c>
      <c r="B15" s="402"/>
      <c r="C15" s="390">
        <f>+'FLUJO DE CAJA'!D20</f>
        <v>0</v>
      </c>
      <c r="D15" s="390">
        <f>+'FLUJO DE CAJA'!E20</f>
        <v>0</v>
      </c>
      <c r="E15" s="390">
        <f>+'FLUJO DE CAJA'!F20</f>
        <v>10000000</v>
      </c>
      <c r="F15" s="390">
        <v>20000000</v>
      </c>
      <c r="G15" s="390">
        <v>30000000</v>
      </c>
    </row>
    <row r="16" spans="1:7" ht="15" x14ac:dyDescent="0.25">
      <c r="A16" s="382" t="s">
        <v>65</v>
      </c>
      <c r="B16" s="383">
        <f>SUM(B12:B15)</f>
        <v>22596000</v>
      </c>
      <c r="C16" s="597">
        <f>SUM(C12:C15)</f>
        <v>30184988.644640416</v>
      </c>
      <c r="D16" s="383">
        <f t="shared" ref="D16:G16" si="0">SUM(D12:D15)</f>
        <v>66330925.328664452</v>
      </c>
      <c r="E16" s="383">
        <f t="shared" si="0"/>
        <v>84882871.930595458</v>
      </c>
      <c r="F16" s="383">
        <f t="shared" si="0"/>
        <v>122022516.85359693</v>
      </c>
      <c r="G16" s="383">
        <f t="shared" si="0"/>
        <v>162279344.16876629</v>
      </c>
    </row>
    <row r="17" spans="1:9" ht="15" x14ac:dyDescent="0.25">
      <c r="A17" s="96"/>
      <c r="B17" s="402"/>
      <c r="C17" s="390"/>
      <c r="D17" s="403"/>
      <c r="E17" s="403"/>
      <c r="F17" s="403"/>
      <c r="G17" s="403"/>
    </row>
    <row r="18" spans="1:9" ht="15" x14ac:dyDescent="0.25">
      <c r="A18" s="96"/>
      <c r="B18" s="402"/>
      <c r="C18" s="403"/>
      <c r="D18" s="403"/>
      <c r="E18" s="403"/>
      <c r="F18" s="403"/>
      <c r="G18" s="403"/>
    </row>
    <row r="19" spans="1:9" ht="15" x14ac:dyDescent="0.25">
      <c r="A19" s="379" t="s">
        <v>66</v>
      </c>
      <c r="B19" s="402"/>
      <c r="C19" s="403"/>
      <c r="D19" s="403"/>
      <c r="E19" s="403"/>
      <c r="F19" s="403"/>
      <c r="G19" s="403"/>
    </row>
    <row r="20" spans="1:9" ht="15" x14ac:dyDescent="0.25">
      <c r="A20" s="379" t="s">
        <v>67</v>
      </c>
      <c r="B20" s="402"/>
      <c r="C20" s="406"/>
      <c r="D20" s="403"/>
      <c r="E20" s="403"/>
      <c r="F20" s="403"/>
      <c r="G20" s="403"/>
    </row>
    <row r="21" spans="1:9" ht="15" x14ac:dyDescent="0.25">
      <c r="A21" s="96" t="s">
        <v>261</v>
      </c>
      <c r="B21" s="404">
        <f>+ESFA!C20</f>
        <v>11800000</v>
      </c>
      <c r="C21" s="407">
        <f>+DEPRECIACION!C5</f>
        <v>11800000</v>
      </c>
      <c r="D21" s="408">
        <f>+DEPRECIACION!D6</f>
        <v>19800000</v>
      </c>
      <c r="E21" s="408">
        <f>+DEPRECIACION!E5</f>
        <v>34800000</v>
      </c>
      <c r="F21" s="408">
        <f>+DEPRECIACION!F6</f>
        <v>34800000</v>
      </c>
      <c r="G21" s="408">
        <f>+DEPRECIACION!G6</f>
        <v>34800000</v>
      </c>
    </row>
    <row r="22" spans="1:9" ht="15" x14ac:dyDescent="0.25">
      <c r="A22" s="96" t="s">
        <v>262</v>
      </c>
      <c r="B22" s="402">
        <v>0</v>
      </c>
      <c r="C22" s="392">
        <f>-DEPRECIACION!C9</f>
        <v>-1180000</v>
      </c>
      <c r="D22" s="392">
        <f>-DEPRECIACION!D9</f>
        <v>-3160000</v>
      </c>
      <c r="E22" s="392">
        <f>-DEPRECIACION!E9</f>
        <v>-6640000</v>
      </c>
      <c r="F22" s="392">
        <f>-DEPRECIACION!F9</f>
        <v>-10120000</v>
      </c>
      <c r="G22" s="392">
        <f>-DEPRECIACION!G9</f>
        <v>-13600000</v>
      </c>
    </row>
    <row r="23" spans="1:9" ht="15" x14ac:dyDescent="0.25">
      <c r="A23" s="384" t="s">
        <v>68</v>
      </c>
      <c r="B23" s="383">
        <f>B21</f>
        <v>11800000</v>
      </c>
      <c r="C23" s="385">
        <f>SUM(C21:C22)</f>
        <v>10620000</v>
      </c>
      <c r="D23" s="385">
        <f t="shared" ref="D23:G23" si="1">SUM(D21:D22)</f>
        <v>16640000</v>
      </c>
      <c r="E23" s="385">
        <f t="shared" si="1"/>
        <v>28160000</v>
      </c>
      <c r="F23" s="385">
        <f t="shared" si="1"/>
        <v>24680000</v>
      </c>
      <c r="G23" s="385">
        <f t="shared" si="1"/>
        <v>21200000</v>
      </c>
    </row>
    <row r="24" spans="1:9" ht="15" x14ac:dyDescent="0.25">
      <c r="A24" s="96"/>
      <c r="B24" s="402"/>
      <c r="C24" s="403"/>
      <c r="D24" s="403"/>
      <c r="E24" s="403"/>
      <c r="F24" s="403"/>
      <c r="G24" s="409"/>
    </row>
    <row r="25" spans="1:9" ht="15" x14ac:dyDescent="0.25">
      <c r="A25" s="382" t="s">
        <v>69</v>
      </c>
      <c r="B25" s="383">
        <f>+B16+B23</f>
        <v>34396000</v>
      </c>
      <c r="C25" s="383">
        <f>+C23+C16</f>
        <v>40804988.644640416</v>
      </c>
      <c r="D25" s="383">
        <f>+D23+D16</f>
        <v>82970925.328664452</v>
      </c>
      <c r="E25" s="383">
        <f>+E23+E16</f>
        <v>113042871.93059546</v>
      </c>
      <c r="F25" s="383">
        <f>+F23+F16</f>
        <v>146702516.85359693</v>
      </c>
      <c r="G25" s="383">
        <f t="shared" ref="G25" si="2">+G23+G16</f>
        <v>183479344.16876629</v>
      </c>
    </row>
    <row r="26" spans="1:9" ht="15" x14ac:dyDescent="0.25">
      <c r="A26" s="96"/>
      <c r="B26" s="402"/>
      <c r="C26" s="403"/>
      <c r="D26" s="403"/>
      <c r="E26" s="403"/>
      <c r="F26" s="403"/>
      <c r="G26" s="403"/>
    </row>
    <row r="27" spans="1:9" ht="15" x14ac:dyDescent="0.25">
      <c r="A27" s="96"/>
      <c r="B27" s="410">
        <v>0</v>
      </c>
      <c r="C27" s="403"/>
      <c r="D27" s="403"/>
      <c r="E27" s="403"/>
      <c r="F27" s="403"/>
      <c r="G27" s="403"/>
    </row>
    <row r="28" spans="1:9" ht="15" x14ac:dyDescent="0.25">
      <c r="A28" s="378" t="s">
        <v>70</v>
      </c>
      <c r="B28" s="402"/>
      <c r="C28" s="403"/>
      <c r="D28" s="403"/>
      <c r="E28" s="403"/>
      <c r="F28" s="403"/>
      <c r="G28" s="403"/>
    </row>
    <row r="29" spans="1:9" ht="15" x14ac:dyDescent="0.25">
      <c r="A29" s="386"/>
      <c r="B29" s="402"/>
      <c r="C29" s="403"/>
      <c r="D29" s="403"/>
      <c r="E29" s="403"/>
      <c r="F29" s="403"/>
      <c r="G29" s="403"/>
    </row>
    <row r="30" spans="1:9" ht="15" x14ac:dyDescent="0.25">
      <c r="A30" s="386" t="s">
        <v>263</v>
      </c>
      <c r="B30" s="402"/>
      <c r="C30" s="403"/>
      <c r="D30" s="403"/>
      <c r="E30" s="403"/>
      <c r="F30" s="403"/>
      <c r="G30" s="403"/>
    </row>
    <row r="31" spans="1:9" s="50" customFormat="1" ht="15" x14ac:dyDescent="0.25">
      <c r="A31" s="380" t="s">
        <v>264</v>
      </c>
      <c r="B31" s="411">
        <f>+ESFA!C29</f>
        <v>1188635.775975276</v>
      </c>
      <c r="C31" s="381">
        <f>+'AMORTIZACION '!M17</f>
        <v>1986568.9640309475</v>
      </c>
      <c r="D31" s="381">
        <f>+'AMORTIZACION '!N9</f>
        <v>2260780.0080332505</v>
      </c>
      <c r="E31" s="381">
        <f>+'AMORTIZACION '!O17</f>
        <v>2572841.0829251236</v>
      </c>
      <c r="F31" s="381">
        <f>+'AMORTIZACION '!P17</f>
        <v>2927976.7223994159</v>
      </c>
      <c r="G31" s="381">
        <f>+'AMORTIZACION '!Q17</f>
        <v>1063197.4466359883</v>
      </c>
      <c r="H31" s="598"/>
      <c r="I31" s="565"/>
    </row>
    <row r="32" spans="1:9" ht="15" x14ac:dyDescent="0.25">
      <c r="A32" s="380" t="s">
        <v>265</v>
      </c>
      <c r="B32" s="411">
        <v>0</v>
      </c>
      <c r="C32" s="381">
        <f>+PRESUPUESTO!F31</f>
        <v>3331200</v>
      </c>
      <c r="D32" s="381">
        <f>+PRESUPUESTO!G31</f>
        <v>4996800</v>
      </c>
      <c r="E32" s="381">
        <f>+PRESUPUESTO!H31</f>
        <v>5246640</v>
      </c>
      <c r="F32" s="381">
        <f>+PRESUPUESTO!I31</f>
        <v>5508972</v>
      </c>
      <c r="G32" s="381">
        <f>+PRESUPUESTO!J31</f>
        <v>5784420.6000000006</v>
      </c>
    </row>
    <row r="33" spans="1:10" ht="15" x14ac:dyDescent="0.25">
      <c r="A33" s="387" t="s">
        <v>266</v>
      </c>
      <c r="B33" s="412">
        <v>0</v>
      </c>
      <c r="C33" s="392">
        <f>+'ESTADO DE RESULTADOS'!C29</f>
        <v>1322591.5703908633</v>
      </c>
      <c r="D33" s="392">
        <f>+'ESTADO DE RESULTADOS'!D29</f>
        <v>13142849.165533755</v>
      </c>
      <c r="E33" s="392">
        <f>+'ESTADO DE RESULTADOS'!E29</f>
        <v>13567720.732649401</v>
      </c>
      <c r="F33" s="392">
        <f>+'ESTADO DE RESULTADOS'!F29</f>
        <v>14861362.42157279</v>
      </c>
      <c r="G33" s="392">
        <f>+'ESTADO DE RESULTADOS'!G29</f>
        <v>16287215.35774246</v>
      </c>
    </row>
    <row r="34" spans="1:10" ht="15" x14ac:dyDescent="0.25">
      <c r="A34" s="386"/>
      <c r="B34" s="413"/>
      <c r="C34" s="393"/>
      <c r="D34" s="388"/>
      <c r="E34" s="393"/>
      <c r="F34" s="393"/>
      <c r="G34" s="393"/>
    </row>
    <row r="35" spans="1:10" ht="15" x14ac:dyDescent="0.25">
      <c r="A35" s="382" t="s">
        <v>267</v>
      </c>
      <c r="B35" s="383">
        <f>B31</f>
        <v>1188635.775975276</v>
      </c>
      <c r="C35" s="385">
        <f>SUM(C29:C34)</f>
        <v>6640360.5344218109</v>
      </c>
      <c r="D35" s="385">
        <f t="shared" ref="D35:G35" si="3">SUM(D31:D34)</f>
        <v>20400429.173567005</v>
      </c>
      <c r="E35" s="385">
        <f>SUM(E31:E34)</f>
        <v>21387201.815574527</v>
      </c>
      <c r="F35" s="385">
        <f t="shared" si="3"/>
        <v>23298311.143972203</v>
      </c>
      <c r="G35" s="385">
        <f t="shared" si="3"/>
        <v>23134833.404378451</v>
      </c>
    </row>
    <row r="36" spans="1:10" ht="15" x14ac:dyDescent="0.25">
      <c r="A36" s="379"/>
      <c r="B36" s="402"/>
      <c r="C36" s="393"/>
      <c r="D36" s="393"/>
      <c r="E36" s="393"/>
      <c r="F36" s="393"/>
      <c r="G36" s="393"/>
    </row>
    <row r="37" spans="1:10" ht="15" x14ac:dyDescent="0.25">
      <c r="A37" s="379"/>
      <c r="B37" s="402"/>
      <c r="C37" s="393"/>
      <c r="D37" s="393"/>
      <c r="E37" s="393"/>
      <c r="F37" s="393"/>
      <c r="G37" s="393"/>
    </row>
    <row r="38" spans="1:10" ht="15" x14ac:dyDescent="0.25">
      <c r="A38" s="379" t="s">
        <v>73</v>
      </c>
      <c r="B38" s="402">
        <v>0</v>
      </c>
      <c r="C38" s="393">
        <v>0</v>
      </c>
      <c r="D38" s="393">
        <v>0</v>
      </c>
      <c r="E38" s="393">
        <v>0</v>
      </c>
      <c r="F38" s="393">
        <v>0</v>
      </c>
      <c r="G38" s="393">
        <v>0</v>
      </c>
      <c r="J38" s="345"/>
    </row>
    <row r="39" spans="1:10" s="50" customFormat="1" ht="15" x14ac:dyDescent="0.25">
      <c r="A39" s="318" t="s">
        <v>268</v>
      </c>
      <c r="B39" s="404">
        <f>+ESFA!C32</f>
        <v>10811364.224024724</v>
      </c>
      <c r="C39" s="392">
        <f>+'AMORTIZACION '!M18</f>
        <v>8824795.2599937767</v>
      </c>
      <c r="D39" s="392">
        <f>+'AMORTIZACION '!N18</f>
        <v>6564015.2519605262</v>
      </c>
      <c r="E39" s="392">
        <f>+'AMORTIZACION '!O18</f>
        <v>3991174.1690354026</v>
      </c>
      <c r="F39" s="392">
        <f>+'AMORTIZACION '!P18</f>
        <v>1063197.4466359867</v>
      </c>
      <c r="G39" s="392">
        <f>+'AMORTIZACION '!Q18</f>
        <v>0</v>
      </c>
      <c r="J39" s="477"/>
    </row>
    <row r="40" spans="1:10" ht="15" x14ac:dyDescent="0.25">
      <c r="A40" s="382" t="s">
        <v>75</v>
      </c>
      <c r="B40" s="385">
        <f>SUM(B39)</f>
        <v>10811364.224024724</v>
      </c>
      <c r="C40" s="385">
        <f>SUM(C39)</f>
        <v>8824795.2599937767</v>
      </c>
      <c r="D40" s="385">
        <f t="shared" ref="D40:F40" si="4">SUM(D39)</f>
        <v>6564015.2519605262</v>
      </c>
      <c r="E40" s="385">
        <f t="shared" si="4"/>
        <v>3991174.1690354026</v>
      </c>
      <c r="F40" s="385">
        <f t="shared" si="4"/>
        <v>1063197.4466359867</v>
      </c>
      <c r="G40" s="385">
        <f>SUM(G39)</f>
        <v>0</v>
      </c>
    </row>
    <row r="41" spans="1:10" ht="15" x14ac:dyDescent="0.25">
      <c r="A41" s="96"/>
      <c r="B41" s="402"/>
      <c r="C41" s="393"/>
      <c r="D41" s="393"/>
      <c r="E41" s="393"/>
      <c r="F41" s="393"/>
      <c r="G41" s="393"/>
    </row>
    <row r="42" spans="1:10" ht="15" x14ac:dyDescent="0.25">
      <c r="A42" s="382" t="s">
        <v>76</v>
      </c>
      <c r="B42" s="383">
        <f>B31+B39</f>
        <v>12000000</v>
      </c>
      <c r="C42" s="383">
        <f>+C40+C35+C38</f>
        <v>15465155.794415588</v>
      </c>
      <c r="D42" s="383">
        <f>+D40+D35</f>
        <v>26964444.425527532</v>
      </c>
      <c r="E42" s="383">
        <f>+E40+E35</f>
        <v>25378375.984609928</v>
      </c>
      <c r="F42" s="383">
        <f>+F40+F35</f>
        <v>24361508.590608191</v>
      </c>
      <c r="G42" s="383">
        <f>+G40+G35</f>
        <v>23134833.404378451</v>
      </c>
    </row>
    <row r="43" spans="1:10" ht="15" x14ac:dyDescent="0.25">
      <c r="A43" s="96"/>
      <c r="B43" s="402"/>
      <c r="C43" s="393"/>
      <c r="D43" s="393"/>
      <c r="E43" s="393"/>
      <c r="F43" s="393"/>
      <c r="G43" s="393"/>
    </row>
    <row r="44" spans="1:10" ht="15" x14ac:dyDescent="0.25">
      <c r="A44" s="96"/>
      <c r="B44" s="402"/>
      <c r="C44" s="393"/>
      <c r="D44" s="393"/>
      <c r="E44" s="393"/>
      <c r="F44" s="393"/>
      <c r="G44" s="393"/>
    </row>
    <row r="45" spans="1:10" ht="15" x14ac:dyDescent="0.25">
      <c r="A45" s="378" t="s">
        <v>77</v>
      </c>
      <c r="B45" s="402"/>
      <c r="C45" s="393"/>
      <c r="D45" s="393"/>
      <c r="E45" s="393"/>
      <c r="F45" s="393"/>
      <c r="G45" s="393"/>
    </row>
    <row r="46" spans="1:10" ht="15" x14ac:dyDescent="0.25">
      <c r="A46" s="96"/>
      <c r="B46" s="402"/>
      <c r="C46" s="393"/>
      <c r="D46" s="393"/>
      <c r="E46" s="393"/>
      <c r="F46" s="393"/>
      <c r="G46" s="393"/>
    </row>
    <row r="47" spans="1:10" ht="15" x14ac:dyDescent="0.25">
      <c r="A47" s="418" t="s">
        <v>78</v>
      </c>
      <c r="B47" s="404">
        <f>+ESFA!C39</f>
        <v>22396000</v>
      </c>
      <c r="C47" s="392">
        <f>+B47</f>
        <v>22396000</v>
      </c>
      <c r="D47" s="392">
        <f>+C47</f>
        <v>22396000</v>
      </c>
      <c r="E47" s="392">
        <f>+D47</f>
        <v>22396000</v>
      </c>
      <c r="F47" s="392">
        <f>+E47</f>
        <v>22396000</v>
      </c>
      <c r="G47" s="392">
        <f>+F47</f>
        <v>22396000</v>
      </c>
    </row>
    <row r="48" spans="1:10" ht="17.25" customHeight="1" x14ac:dyDescent="0.15">
      <c r="A48" s="418" t="s">
        <v>269</v>
      </c>
      <c r="B48" s="392">
        <v>0</v>
      </c>
      <c r="C48" s="392">
        <v>0</v>
      </c>
      <c r="D48" s="392">
        <f>+C49</f>
        <v>2649449.5652023423</v>
      </c>
      <c r="E48" s="392">
        <f>+D48+D49</f>
        <v>30249432.812823229</v>
      </c>
      <c r="F48" s="392">
        <f t="shared" ref="F48:G48" si="5">+E48+E49</f>
        <v>58741646.351386972</v>
      </c>
      <c r="G48" s="392">
        <f t="shared" si="5"/>
        <v>89950507.436689824</v>
      </c>
    </row>
    <row r="49" spans="1:7" s="50" customFormat="1" ht="19.5" customHeight="1" x14ac:dyDescent="0.15">
      <c r="A49" s="403" t="s">
        <v>270</v>
      </c>
      <c r="B49" s="392">
        <v>0</v>
      </c>
      <c r="C49" s="392">
        <f>+'ESTADO DE RESULTADOS'!C35</f>
        <v>2649449.5652023423</v>
      </c>
      <c r="D49" s="392">
        <f>+'ESTADO DE RESULTADOS'!D35</f>
        <v>27599983.247620888</v>
      </c>
      <c r="E49" s="392">
        <f>+'ESTADO DE RESULTADOS'!E35</f>
        <v>28492213.538563743</v>
      </c>
      <c r="F49" s="392">
        <f>+'ESTADO DE RESULTADOS'!F35</f>
        <v>31208861.08530286</v>
      </c>
      <c r="G49" s="392">
        <f>+'ESTADO DE RESULTADOS'!G35</f>
        <v>34203152.25125917</v>
      </c>
    </row>
    <row r="50" spans="1:7" ht="19.5" customHeight="1" x14ac:dyDescent="0.15">
      <c r="A50" s="418"/>
      <c r="B50" s="392"/>
      <c r="C50" s="392"/>
      <c r="D50" s="392"/>
      <c r="E50" s="392"/>
      <c r="F50" s="392"/>
      <c r="G50" s="392"/>
    </row>
    <row r="51" spans="1:7" ht="18" customHeight="1" x14ac:dyDescent="0.15">
      <c r="A51" s="418" t="s">
        <v>271</v>
      </c>
      <c r="B51" s="392">
        <v>0</v>
      </c>
      <c r="C51" s="392">
        <f>+'ESTADO DE RESULTADOS'!C34</f>
        <v>294383.28502248245</v>
      </c>
      <c r="D51" s="392">
        <f>+'ESTADO DE RESULTADOS'!D34+ESF!C51</f>
        <v>3361048.0903136921</v>
      </c>
      <c r="E51" s="392">
        <f>+'ESTADO DE RESULTADOS'!E34+ESF!D51</f>
        <v>6526849.5945985522</v>
      </c>
      <c r="F51" s="392">
        <f>+'ESTADO DE RESULTADOS'!F34+ESF!E51</f>
        <v>9994500.8262988701</v>
      </c>
      <c r="G51" s="392">
        <f>+'ESTADO DE RESULTADOS'!G34+ESF!F51</f>
        <v>13794851.076438777</v>
      </c>
    </row>
    <row r="52" spans="1:7" ht="15" x14ac:dyDescent="0.25">
      <c r="A52" s="382" t="s">
        <v>79</v>
      </c>
      <c r="B52" s="383">
        <f>B47</f>
        <v>22396000</v>
      </c>
      <c r="C52" s="383">
        <f>SUM(C47:C51)</f>
        <v>25339832.850224823</v>
      </c>
      <c r="D52" s="383">
        <f t="shared" ref="D52:G52" si="6">SUM(D47:D51)</f>
        <v>56006480.903136924</v>
      </c>
      <c r="E52" s="383">
        <f t="shared" si="6"/>
        <v>87664495.945985511</v>
      </c>
      <c r="F52" s="383">
        <f t="shared" si="6"/>
        <v>122341008.26298869</v>
      </c>
      <c r="G52" s="383">
        <f t="shared" si="6"/>
        <v>160344510.76438779</v>
      </c>
    </row>
    <row r="53" spans="1:7" ht="15" x14ac:dyDescent="0.25">
      <c r="A53" s="96"/>
      <c r="B53" s="410"/>
      <c r="C53" s="393"/>
      <c r="D53" s="393"/>
      <c r="E53" s="393"/>
      <c r="F53" s="393"/>
      <c r="G53" s="393"/>
    </row>
    <row r="54" spans="1:7" ht="15" x14ac:dyDescent="0.25">
      <c r="A54" s="382" t="s">
        <v>80</v>
      </c>
      <c r="B54" s="391">
        <f>B52+B42</f>
        <v>34396000</v>
      </c>
      <c r="C54" s="599">
        <f>+C52+C42</f>
        <v>40804988.644640408</v>
      </c>
      <c r="D54" s="599">
        <f>+D52+D42</f>
        <v>82970925.328664452</v>
      </c>
      <c r="E54" s="599">
        <f t="shared" ref="E54:F54" si="7">+E52+E42</f>
        <v>113042871.93059544</v>
      </c>
      <c r="F54" s="599">
        <f t="shared" si="7"/>
        <v>146702516.85359687</v>
      </c>
      <c r="G54" s="599">
        <f>+G52+G42</f>
        <v>183479344.16876623</v>
      </c>
    </row>
    <row r="55" spans="1:7" ht="15" x14ac:dyDescent="0.25">
      <c r="B55" s="414"/>
      <c r="D55" s="415"/>
      <c r="E55" s="415"/>
    </row>
    <row r="56" spans="1:7" ht="15" x14ac:dyDescent="0.25">
      <c r="A56" s="25"/>
      <c r="B56" s="416">
        <f>+B25-B54</f>
        <v>0</v>
      </c>
      <c r="C56" s="417">
        <f>+C25-C54</f>
        <v>0</v>
      </c>
      <c r="D56" s="417">
        <f>+D25-D54</f>
        <v>0</v>
      </c>
      <c r="E56" s="417">
        <f>+E25-E54</f>
        <v>0</v>
      </c>
      <c r="F56" s="417">
        <f>+F25-F54</f>
        <v>0</v>
      </c>
      <c r="G56" s="417">
        <f t="shared" ref="G56" si="8">+G25-G54</f>
        <v>0</v>
      </c>
    </row>
    <row r="57" spans="1:7" ht="15" x14ac:dyDescent="0.25">
      <c r="B57" s="414"/>
      <c r="D57" s="415"/>
      <c r="E57" s="415"/>
    </row>
    <row r="58" spans="1:7" ht="15" x14ac:dyDescent="0.25">
      <c r="B58" s="414"/>
      <c r="C58" s="775"/>
      <c r="D58" s="775"/>
      <c r="E58" s="775"/>
      <c r="F58" s="775"/>
      <c r="G58" s="775"/>
    </row>
    <row r="59" spans="1:7" ht="15" x14ac:dyDescent="0.25">
      <c r="A59" s="628" t="s">
        <v>81</v>
      </c>
      <c r="B59" s="77"/>
      <c r="C59" s="776" t="s">
        <v>82</v>
      </c>
      <c r="D59" s="776"/>
      <c r="E59" s="776"/>
      <c r="F59" s="776"/>
      <c r="G59" s="776"/>
    </row>
    <row r="60" spans="1:7" ht="15" x14ac:dyDescent="0.25">
      <c r="A60" s="93" t="s">
        <v>83</v>
      </c>
      <c r="B60" s="77"/>
      <c r="C60" s="691" t="s">
        <v>84</v>
      </c>
      <c r="D60" s="691"/>
      <c r="E60" s="691"/>
      <c r="F60" s="691"/>
      <c r="G60" s="691"/>
    </row>
    <row r="61" spans="1:7" ht="15" x14ac:dyDescent="0.25">
      <c r="A61" s="77"/>
      <c r="B61" s="77"/>
      <c r="C61" s="691" t="s">
        <v>85</v>
      </c>
      <c r="D61" s="691"/>
      <c r="E61" s="691"/>
      <c r="F61" s="691"/>
      <c r="G61" s="691"/>
    </row>
  </sheetData>
  <mergeCells count="8">
    <mergeCell ref="C60:G60"/>
    <mergeCell ref="C61:G61"/>
    <mergeCell ref="A4:G4"/>
    <mergeCell ref="A5:G5"/>
    <mergeCell ref="A6:G6"/>
    <mergeCell ref="A7:G7"/>
    <mergeCell ref="C58:G58"/>
    <mergeCell ref="C59:G59"/>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INVERSION INICIAL </vt:lpstr>
      <vt:lpstr>ESFA</vt:lpstr>
      <vt:lpstr>DATOS INFORMATIVOS</vt:lpstr>
      <vt:lpstr>NOMINA</vt:lpstr>
      <vt:lpstr>AMORTIZACION </vt:lpstr>
      <vt:lpstr>DEPRECIACION</vt:lpstr>
      <vt:lpstr>FLUJO DE CAJA</vt:lpstr>
      <vt:lpstr>PRESUPUESTO</vt:lpstr>
      <vt:lpstr>ESF</vt:lpstr>
      <vt:lpstr>VAN - TIR </vt:lpstr>
      <vt:lpstr>INDICADORES</vt:lpstr>
      <vt:lpstr>ESTADO DE RESULTADOS</vt:lpstr>
      <vt:lpstr>PUNTO DE EQUILIBRIO</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dc:creator>
  <cp:keywords/>
  <dc:description/>
  <cp:lastModifiedBy>ASTRID GOMEZ PINEDA</cp:lastModifiedBy>
  <cp:revision/>
  <dcterms:created xsi:type="dcterms:W3CDTF">2021-04-30T20:10:14Z</dcterms:created>
  <dcterms:modified xsi:type="dcterms:W3CDTF">2021-07-15T22:33:25Z</dcterms:modified>
  <cp:category/>
  <cp:contentStatus/>
</cp:coreProperties>
</file>