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10"/>
  <workbookPr defaultThemeVersion="124226"/>
  <xr:revisionPtr revIDLastSave="0" documentId="11_833FA6075AAC03F20D53106B03B9CD27792915AD" xr6:coauthVersionLast="44" xr6:coauthVersionMax="44" xr10:uidLastSave="{00000000-0000-0000-0000-000000000000}"/>
  <bookViews>
    <workbookView xWindow="600" yWindow="45" windowWidth="14115" windowHeight="5205" firstSheet="2" activeTab="2" xr2:uid="{00000000-000D-0000-FFFF-FFFF00000000}"/>
  </bookViews>
  <sheets>
    <sheet name="CALCULOS CORTE 1" sheetId="1" r:id="rId1"/>
    <sheet name="RED RAMIFICADA" sheetId="2" r:id="rId2"/>
    <sheet name="TANQUE DE ALMACENAMIENTO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3" l="1"/>
  <c r="C7" i="3" s="1"/>
  <c r="C8" i="3" l="1"/>
  <c r="C9" i="3" s="1"/>
  <c r="E8" i="2" l="1"/>
  <c r="B13" i="1" l="1"/>
  <c r="B17" i="1" s="1"/>
  <c r="C17" i="1" s="1"/>
  <c r="B21" i="1"/>
  <c r="B23" i="1" s="1"/>
  <c r="G4" i="1"/>
  <c r="G5" i="1"/>
  <c r="B22" i="1" l="1"/>
  <c r="G6" i="1"/>
  <c r="J3" i="1" s="1"/>
  <c r="K16" i="1"/>
  <c r="J9" i="1" l="1"/>
  <c r="J5" i="1"/>
  <c r="U58" i="1"/>
  <c r="U57" i="1"/>
  <c r="U55" i="1"/>
  <c r="U56" i="1" s="1"/>
  <c r="U48" i="1"/>
  <c r="U49" i="1" s="1"/>
  <c r="U46" i="1"/>
  <c r="P39" i="1"/>
  <c r="P42" i="1"/>
  <c r="U29" i="1"/>
  <c r="U52" i="1" l="1"/>
  <c r="U54" i="1" s="1"/>
  <c r="J10" i="1"/>
  <c r="K10" i="1" s="1"/>
  <c r="J7" i="1"/>
  <c r="U59" i="1"/>
  <c r="U16" i="1"/>
  <c r="U17" i="1" s="1"/>
  <c r="Q43" i="1"/>
  <c r="P15" i="1"/>
  <c r="P18" i="1"/>
  <c r="P24" i="1" l="1"/>
  <c r="P29" i="1" s="1"/>
  <c r="P22" i="1"/>
  <c r="P23" i="1" s="1"/>
  <c r="O3" i="1"/>
  <c r="G13" i="1" s="1"/>
  <c r="O4" i="1"/>
  <c r="O2" i="1"/>
  <c r="C4" i="1"/>
  <c r="D4" i="1" s="1"/>
  <c r="G14" i="1" l="1"/>
  <c r="G16" i="1"/>
  <c r="P25" i="1"/>
  <c r="C3" i="1"/>
  <c r="D3" i="1" s="1"/>
  <c r="C10" i="1" s="1"/>
  <c r="B18" i="1" l="1"/>
  <c r="B19" i="1" s="1"/>
  <c r="B24" i="1" s="1"/>
  <c r="K17" i="1"/>
  <c r="G18" i="1"/>
  <c r="U50" i="1"/>
  <c r="U51" i="1" s="1"/>
  <c r="U41" i="1"/>
  <c r="U42" i="1" s="1"/>
  <c r="U43" i="1" s="1"/>
  <c r="U44" i="1" s="1"/>
  <c r="U33" i="1"/>
  <c r="U34" i="1" s="1"/>
  <c r="U35" i="1" s="1"/>
  <c r="P38" i="1"/>
  <c r="P43" i="1" s="1"/>
  <c r="P26" i="1"/>
  <c r="P27" i="1" s="1"/>
  <c r="P30" i="1" s="1"/>
  <c r="P31" i="1" s="1"/>
  <c r="U37" i="1"/>
  <c r="U38" i="1"/>
  <c r="P40" i="1"/>
  <c r="P41" i="1" s="1"/>
  <c r="U20" i="1"/>
  <c r="U19" i="1"/>
  <c r="P32" i="1"/>
  <c r="U22" i="1"/>
  <c r="U24" i="1" s="1"/>
  <c r="U27" i="1" s="1"/>
  <c r="K13" i="1"/>
  <c r="K14" i="1" s="1"/>
  <c r="B25" i="1" s="1"/>
  <c r="B20" i="1" l="1"/>
  <c r="K15" i="1"/>
  <c r="P33" i="1"/>
</calcChain>
</file>

<file path=xl/sharedStrings.xml><?xml version="1.0" encoding="utf-8"?>
<sst xmlns="http://schemas.openxmlformats.org/spreadsheetml/2006/main" count="266" uniqueCount="203">
  <si>
    <t>POBLACION CENSOS DEL DANE</t>
  </si>
  <si>
    <t>CONSUMO DE AGUA</t>
  </si>
  <si>
    <t>CAUDALES DE DISEÑO</t>
  </si>
  <si>
    <t>CAUDALES REALES</t>
  </si>
  <si>
    <t>AÑO</t>
  </si>
  <si>
    <t>MUNICIPIO</t>
  </si>
  <si>
    <t>INSPECCION</t>
  </si>
  <si>
    <t>VEREDA</t>
  </si>
  <si>
    <t xml:space="preserve">ESPECIFICACION </t>
  </si>
  <si>
    <t>Lts/ hab* día</t>
  </si>
  <si>
    <t>CAUDAL MEDIO DIARIO</t>
  </si>
  <si>
    <t>Qmin</t>
  </si>
  <si>
    <t>DOMESTICO</t>
  </si>
  <si>
    <t>Qmd (Lts/s)</t>
  </si>
  <si>
    <t>Qmed</t>
  </si>
  <si>
    <t>PUBLICO</t>
  </si>
  <si>
    <t>CAUDAL MAXIMO DIARIO</t>
  </si>
  <si>
    <t>Qmax</t>
  </si>
  <si>
    <t>PERDIDAS</t>
  </si>
  <si>
    <t>QMD (Lts/s)</t>
  </si>
  <si>
    <t>k1= 1,3</t>
  </si>
  <si>
    <t>TOTAL</t>
  </si>
  <si>
    <t>CAUDAL MAXIMO HORARIO</t>
  </si>
  <si>
    <t>POBLACION FUTURA</t>
  </si>
  <si>
    <t>QMH (Lts/s)</t>
  </si>
  <si>
    <t>k2= 1,6</t>
  </si>
  <si>
    <t>METODO CRECIMIENTO ARITMETICO</t>
  </si>
  <si>
    <t>CAUDAL DE DISEÑO</t>
  </si>
  <si>
    <t>m (2016-2005)</t>
  </si>
  <si>
    <t>n (perido diseño)</t>
  </si>
  <si>
    <t>P 2031 Vereda</t>
  </si>
  <si>
    <t>P 2031 Diseño</t>
  </si>
  <si>
    <t>Qd (Lts/s)</t>
  </si>
  <si>
    <t>CALCULOS DE REJILLA (VERTEDERO RECTANGULAR)</t>
  </si>
  <si>
    <t>CALCULOS VERTEDERO</t>
  </si>
  <si>
    <t xml:space="preserve">CALCULOS CAMARA DE CAPTACIÓN </t>
  </si>
  <si>
    <t>CALCULOS DESARENADOR</t>
  </si>
  <si>
    <t>Espesor varilla</t>
  </si>
  <si>
    <t>m</t>
  </si>
  <si>
    <t>Vertedero menor H1 [Qmed]</t>
  </si>
  <si>
    <t>Velocidad</t>
  </si>
  <si>
    <t>m/s</t>
  </si>
  <si>
    <t xml:space="preserve">ESPECIFICACIONES </t>
  </si>
  <si>
    <t xml:space="preserve">ZONA DE ENTRADA </t>
  </si>
  <si>
    <t>Separación [a]</t>
  </si>
  <si>
    <t>Vertedero mayor H2 [Qmax]</t>
  </si>
  <si>
    <t>Alcance chorro</t>
  </si>
  <si>
    <t>Espesor de muro</t>
  </si>
  <si>
    <t xml:space="preserve">PASA MURO </t>
  </si>
  <si>
    <t>Longitud</t>
  </si>
  <si>
    <t xml:space="preserve">APROXIMACIÓN </t>
  </si>
  <si>
    <t xml:space="preserve">Ancho del canal </t>
  </si>
  <si>
    <t xml:space="preserve">Diametro de particulas </t>
  </si>
  <si>
    <t>cm</t>
  </si>
  <si>
    <t xml:space="preserve">Tubos PVC </t>
  </si>
  <si>
    <t>pulg</t>
  </si>
  <si>
    <t xml:space="preserve">Inclinación </t>
  </si>
  <si>
    <t>%</t>
  </si>
  <si>
    <t>OK</t>
  </si>
  <si>
    <t>Altura de vertederos H [Qmax]</t>
  </si>
  <si>
    <t xml:space="preserve">Tubo de recolección </t>
  </si>
  <si>
    <t>Densidad relativa arena</t>
  </si>
  <si>
    <t>kg/m^3</t>
  </si>
  <si>
    <t>D interno</t>
  </si>
  <si>
    <t>Área util [e %]</t>
  </si>
  <si>
    <t>Altura real H1 Y H2</t>
  </si>
  <si>
    <t>Hd</t>
  </si>
  <si>
    <t>Temperatura del agua</t>
  </si>
  <si>
    <t>°C</t>
  </si>
  <si>
    <t>Área orificios [Ao]</t>
  </si>
  <si>
    <t>m^2</t>
  </si>
  <si>
    <t>Tirante [H]</t>
  </si>
  <si>
    <t>Yc+ 0,1</t>
  </si>
  <si>
    <t>Hd Construccion</t>
  </si>
  <si>
    <t>Viscocidad cinematica</t>
  </si>
  <si>
    <t>cm^2/seg</t>
  </si>
  <si>
    <t>&lt;0,3</t>
  </si>
  <si>
    <t>MEDIDAS DE CONSTRUCCION</t>
  </si>
  <si>
    <t>Número de Reynolds</t>
  </si>
  <si>
    <t>N° de tubos</t>
  </si>
  <si>
    <t>1 tubo</t>
  </si>
  <si>
    <t>Ancho [B]</t>
  </si>
  <si>
    <t>B camara</t>
  </si>
  <si>
    <t>Tubería</t>
  </si>
  <si>
    <t>PVC</t>
  </si>
  <si>
    <t>Velocidad de entrada</t>
  </si>
  <si>
    <t>m/seg</t>
  </si>
  <si>
    <t>Ancho real [B]</t>
  </si>
  <si>
    <t>L camara</t>
  </si>
  <si>
    <t>CALCULOS</t>
  </si>
  <si>
    <t>ZONA ENTRADA DESARENADOR</t>
  </si>
  <si>
    <t>N° varillas</t>
  </si>
  <si>
    <t>Vs Stokes</t>
  </si>
  <si>
    <t>cm/seg</t>
  </si>
  <si>
    <t>Area orificios[Ao]</t>
  </si>
  <si>
    <t>Área Neta</t>
  </si>
  <si>
    <t>Comprobacion NR</t>
  </si>
  <si>
    <t xml:space="preserve">Coeficiente de contracción </t>
  </si>
  <si>
    <t>Qc</t>
  </si>
  <si>
    <t>m^3/s</t>
  </si>
  <si>
    <t>Vs Allen</t>
  </si>
  <si>
    <t>Area orificios [REAL] Cc</t>
  </si>
  <si>
    <t>Ancho planta</t>
  </si>
  <si>
    <t>N° de orificios [Tubos pvc 3"]</t>
  </si>
  <si>
    <t>Área superficial [As]</t>
  </si>
  <si>
    <t>D interno pvc 3"</t>
  </si>
  <si>
    <t>As factor de seguridad</t>
  </si>
  <si>
    <t xml:space="preserve">N </t>
  </si>
  <si>
    <t xml:space="preserve">DIMENSIONES </t>
  </si>
  <si>
    <t xml:space="preserve">Distribución </t>
  </si>
  <si>
    <t>2*2</t>
  </si>
  <si>
    <t>Vh/Vs</t>
  </si>
  <si>
    <t>&lt;20</t>
  </si>
  <si>
    <t>Altura de la canaleta</t>
  </si>
  <si>
    <t>B</t>
  </si>
  <si>
    <t>Perdida paso agua orificios Hm</t>
  </si>
  <si>
    <t>!</t>
  </si>
  <si>
    <t xml:space="preserve">Se desprecia </t>
  </si>
  <si>
    <t>L</t>
  </si>
  <si>
    <t>Ancho de la canaleta</t>
  </si>
  <si>
    <t xml:space="preserve"> (d=0,023264 entre si)</t>
  </si>
  <si>
    <t>Área Vertical [Av]</t>
  </si>
  <si>
    <t>ZONA DE SALIDA</t>
  </si>
  <si>
    <t>He</t>
  </si>
  <si>
    <t>Hv</t>
  </si>
  <si>
    <t>Vv</t>
  </si>
  <si>
    <t>Longitud del vertedero</t>
  </si>
  <si>
    <t xml:space="preserve">B </t>
  </si>
  <si>
    <t>Pronfundidad Pantalla vertedero de salida</t>
  </si>
  <si>
    <t>Altura de la lamina de agua sobre el vertedero de salida</t>
  </si>
  <si>
    <t>Comprobacion Vh</t>
  </si>
  <si>
    <t>&lt;20 m/seg</t>
  </si>
  <si>
    <t>Espacio libre entre el vertedero y la pared del desarenador (x)</t>
  </si>
  <si>
    <t>Comprobacion As</t>
  </si>
  <si>
    <t>Se amplia x por seguridad y facilidad de construccion</t>
  </si>
  <si>
    <t>Comprobacion Vs</t>
  </si>
  <si>
    <t>Diametro tuberia de salida</t>
  </si>
  <si>
    <t>Area Tubo</t>
  </si>
  <si>
    <t>Velocidad de arrastre</t>
  </si>
  <si>
    <t>Radio tubo (m)</t>
  </si>
  <si>
    <t>Vh&lt;1/4Va</t>
  </si>
  <si>
    <t>Diametro (m)</t>
  </si>
  <si>
    <t>Diametro (mm)</t>
  </si>
  <si>
    <t>4" RDE 41</t>
  </si>
  <si>
    <t>Canaleta de salida</t>
  </si>
  <si>
    <t xml:space="preserve">Ancho   </t>
  </si>
  <si>
    <t>0,21 m</t>
  </si>
  <si>
    <t>Calculo de Hs</t>
  </si>
  <si>
    <t>Area</t>
  </si>
  <si>
    <t>Area Total</t>
  </si>
  <si>
    <t>Hs</t>
  </si>
  <si>
    <t>Longitud total del desarenador</t>
  </si>
  <si>
    <t>Zona de lodos</t>
  </si>
  <si>
    <t>Ubicación tuberia de rebose</t>
  </si>
  <si>
    <t>Volumen efectivo (m3)</t>
  </si>
  <si>
    <t>Volumen lodos (m3)</t>
  </si>
  <si>
    <t>Volumen prisma triangular 1</t>
  </si>
  <si>
    <t>Volumen prisma triangular 2</t>
  </si>
  <si>
    <t>Volumen total prismas</t>
  </si>
  <si>
    <t>TUBERIA</t>
  </si>
  <si>
    <t>VELOCIDADES (m/s)</t>
  </si>
  <si>
    <t>PRESIONES DE SERVICIO (m.c.a)</t>
  </si>
  <si>
    <t>PVC RDE-21</t>
  </si>
  <si>
    <t>MAXIMA</t>
  </si>
  <si>
    <t>MAXIMA (ESTATICA)</t>
  </si>
  <si>
    <t>MNIMA</t>
  </si>
  <si>
    <t>MINIMA (DE SERVICIO)</t>
  </si>
  <si>
    <t>DIAMETRO MINIMO</t>
  </si>
  <si>
    <t>in</t>
  </si>
  <si>
    <t>mm</t>
  </si>
  <si>
    <t>POBLACION TOTAL (hab)</t>
  </si>
  <si>
    <t>DOTACION (Lts/hab * dia)</t>
  </si>
  <si>
    <t>DISEÑO RED RAMIFICADA</t>
  </si>
  <si>
    <t>ABSCISAS</t>
  </si>
  <si>
    <t>TRAMO</t>
  </si>
  <si>
    <t>LONGITUD</t>
  </si>
  <si>
    <t>CENSO POBLACIONAL</t>
  </si>
  <si>
    <t>CAUDAL</t>
  </si>
  <si>
    <t>DIAMETRO PAVCO DISEÑO</t>
  </si>
  <si>
    <t>VELOCIDAD</t>
  </si>
  <si>
    <t>COTA ROJA</t>
  </si>
  <si>
    <t>PIEZOMETRICA</t>
  </si>
  <si>
    <t>PRESION DISPONIBLE</t>
  </si>
  <si>
    <t>DIAMETRO</t>
  </si>
  <si>
    <t>INICIAL</t>
  </si>
  <si>
    <t>FINAL</t>
  </si>
  <si>
    <t>TOPOGRAFICA</t>
  </si>
  <si>
    <t>REAL</t>
  </si>
  <si>
    <t>DE DISEÑO</t>
  </si>
  <si>
    <t>PULG.</t>
  </si>
  <si>
    <t>RDE</t>
  </si>
  <si>
    <t>INT m</t>
  </si>
  <si>
    <t>UNITARIAS</t>
  </si>
  <si>
    <t>TOTALES</t>
  </si>
  <si>
    <t>RED PRINCIPAL</t>
  </si>
  <si>
    <t>TA</t>
  </si>
  <si>
    <t>TANQUE DE ALMACENAMIENTO</t>
  </si>
  <si>
    <t>Periodo de diseño (años)</t>
  </si>
  <si>
    <t># de tanques</t>
  </si>
  <si>
    <t>Area del tanque (m2)</t>
  </si>
  <si>
    <t>Volumen distribuido (m3)</t>
  </si>
  <si>
    <t>Volumen almacenado (m3)</t>
  </si>
  <si>
    <t>Altura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</si>
</sst>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 vertical="center"/>
    </xf>
    <xf numFmtId="165" fontId="0" fillId="0" borderId="1" xfId="0" applyNumberFormat="1" applyBorder="1"/>
    <xf numFmtId="0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ill="1" applyBorder="1" applyAlignment="1"/>
    <xf numFmtId="164" fontId="0" fillId="0" borderId="1" xfId="0" applyNumberFormat="1" applyFill="1" applyBorder="1" applyAlignment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3" borderId="1" xfId="0" applyFill="1" applyBorder="1"/>
    <xf numFmtId="0" fontId="0" fillId="4" borderId="1" xfId="0" applyFill="1" applyBorder="1"/>
    <xf numFmtId="0" fontId="0" fillId="0" borderId="0" xfId="0" applyFill="1"/>
    <xf numFmtId="165" fontId="0" fillId="0" borderId="1" xfId="0" applyNumberFormat="1" applyFill="1" applyBorder="1"/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0" fillId="0" borderId="6" xfId="0" applyFill="1" applyBorder="1" applyAlignment="1"/>
    <xf numFmtId="1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2" fontId="0" fillId="0" borderId="1" xfId="0" applyNumberFormat="1" applyFill="1" applyBorder="1" applyAlignment="1">
      <alignment wrapText="1"/>
    </xf>
    <xf numFmtId="12" fontId="0" fillId="0" borderId="0" xfId="0" applyNumberForma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7" xfId="0" applyFont="1" applyFill="1" applyBorder="1" applyAlignment="1"/>
    <xf numFmtId="0" fontId="3" fillId="0" borderId="0" xfId="0" applyFont="1"/>
    <xf numFmtId="16" fontId="3" fillId="0" borderId="0" xfId="0" applyNumberFormat="1" applyFont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3"/>
  <sheetViews>
    <sheetView zoomScaleNormal="100" workbookViewId="0">
      <selection activeCell="J26" sqref="J26"/>
    </sheetView>
  </sheetViews>
  <sheetFormatPr defaultColWidth="11.42578125" defaultRowHeight="15"/>
  <cols>
    <col min="1" max="1" width="13.28515625" bestFit="1" customWidth="1"/>
    <col min="2" max="2" width="16.42578125" bestFit="1" customWidth="1"/>
    <col min="3" max="3" width="15.85546875" bestFit="1" customWidth="1"/>
    <col min="4" max="4" width="13.140625" bestFit="1" customWidth="1"/>
    <col min="6" max="6" width="15.85546875" bestFit="1" customWidth="1"/>
    <col min="7" max="8" width="11.85546875" bestFit="1" customWidth="1"/>
    <col min="10" max="10" width="19.28515625" bestFit="1" customWidth="1"/>
    <col min="11" max="11" width="14.5703125" bestFit="1" customWidth="1"/>
    <col min="16" max="16" width="12.5703125" bestFit="1" customWidth="1"/>
    <col min="20" max="20" width="29.140625" bestFit="1" customWidth="1"/>
    <col min="21" max="21" width="11.85546875" bestFit="1" customWidth="1"/>
    <col min="22" max="22" width="18.140625" customWidth="1"/>
  </cols>
  <sheetData>
    <row r="1" spans="1:22">
      <c r="A1" s="43" t="s">
        <v>0</v>
      </c>
      <c r="B1" s="43"/>
      <c r="C1" s="43"/>
      <c r="D1" s="43"/>
      <c r="F1" s="43" t="s">
        <v>1</v>
      </c>
      <c r="G1" s="43"/>
      <c r="I1" s="40" t="s">
        <v>2</v>
      </c>
      <c r="J1" s="41"/>
      <c r="K1" s="42"/>
      <c r="M1" s="43" t="s">
        <v>3</v>
      </c>
      <c r="N1" s="43"/>
      <c r="O1" s="43"/>
    </row>
    <row r="2" spans="1:22">
      <c r="A2" s="1" t="s">
        <v>4</v>
      </c>
      <c r="B2" s="2" t="s">
        <v>5</v>
      </c>
      <c r="C2" s="2" t="s">
        <v>6</v>
      </c>
      <c r="D2" s="2" t="s">
        <v>7</v>
      </c>
      <c r="F2" s="2" t="s">
        <v>8</v>
      </c>
      <c r="G2" s="2" t="s">
        <v>9</v>
      </c>
      <c r="I2" s="43" t="s">
        <v>10</v>
      </c>
      <c r="J2" s="43"/>
      <c r="K2" s="43"/>
      <c r="M2" s="2" t="s">
        <v>11</v>
      </c>
      <c r="N2" s="2">
        <v>1.2</v>
      </c>
      <c r="O2" s="2">
        <f>N2/1000</f>
        <v>1.1999999999999999E-3</v>
      </c>
    </row>
    <row r="3" spans="1:22">
      <c r="A3" s="2">
        <v>2005</v>
      </c>
      <c r="B3" s="2">
        <v>23861</v>
      </c>
      <c r="C3" s="3">
        <f>(B3*C4)/B4</f>
        <v>914.21153719008259</v>
      </c>
      <c r="D3" s="3">
        <f>(C3*D4)/C4</f>
        <v>114.37504132231405</v>
      </c>
      <c r="F3" s="2" t="s">
        <v>12</v>
      </c>
      <c r="G3" s="2">
        <v>140</v>
      </c>
      <c r="I3" s="2" t="s">
        <v>13</v>
      </c>
      <c r="J3" s="5">
        <f>(G6*D10)/86400</f>
        <v>0.39861111111111114</v>
      </c>
      <c r="K3" s="2"/>
      <c r="M3" s="2" t="s">
        <v>14</v>
      </c>
      <c r="N3" s="2">
        <v>1.6</v>
      </c>
      <c r="O3" s="2">
        <f t="shared" ref="O3:O4" si="0">N3/1000</f>
        <v>1.6000000000000001E-3</v>
      </c>
    </row>
    <row r="4" spans="1:22">
      <c r="A4" s="2">
        <v>2010</v>
      </c>
      <c r="B4" s="2">
        <v>29139</v>
      </c>
      <c r="C4" s="3">
        <f>(B4*C5)/B5</f>
        <v>1116.4330909090909</v>
      </c>
      <c r="D4" s="3">
        <f>(C4*D5)/C5</f>
        <v>139.67454545454547</v>
      </c>
      <c r="F4" s="2" t="s">
        <v>15</v>
      </c>
      <c r="G4" s="2">
        <f>0.03*G3</f>
        <v>4.2</v>
      </c>
      <c r="I4" s="43" t="s">
        <v>16</v>
      </c>
      <c r="J4" s="43"/>
      <c r="K4" s="43"/>
      <c r="M4" s="2" t="s">
        <v>17</v>
      </c>
      <c r="N4" s="2">
        <v>2.5</v>
      </c>
      <c r="O4" s="2">
        <f t="shared" si="0"/>
        <v>2.5000000000000001E-3</v>
      </c>
    </row>
    <row r="5" spans="1:22">
      <c r="A5" s="2">
        <v>2016</v>
      </c>
      <c r="B5" s="2">
        <v>30250</v>
      </c>
      <c r="C5" s="16">
        <v>1159</v>
      </c>
      <c r="D5" s="17">
        <v>145</v>
      </c>
      <c r="F5" s="2" t="s">
        <v>18</v>
      </c>
      <c r="G5" s="2">
        <f>0.2*G3</f>
        <v>28</v>
      </c>
      <c r="I5" s="2" t="s">
        <v>19</v>
      </c>
      <c r="J5" s="5">
        <f>1.3*J3</f>
        <v>0.51819444444444451</v>
      </c>
      <c r="K5" s="2" t="s">
        <v>20</v>
      </c>
    </row>
    <row r="6" spans="1:22">
      <c r="F6" s="2" t="s">
        <v>21</v>
      </c>
      <c r="G6" s="2">
        <f>SUM(G3:G5)</f>
        <v>172.2</v>
      </c>
      <c r="I6" s="43" t="s">
        <v>22</v>
      </c>
      <c r="J6" s="43"/>
      <c r="K6" s="43"/>
    </row>
    <row r="7" spans="1:22">
      <c r="A7" s="44" t="s">
        <v>23</v>
      </c>
      <c r="B7" s="45"/>
      <c r="C7" s="45"/>
      <c r="D7" s="46"/>
      <c r="I7" s="2" t="s">
        <v>24</v>
      </c>
      <c r="J7" s="5">
        <f>1.6*J5</f>
        <v>0.82911111111111124</v>
      </c>
      <c r="K7" s="2" t="s">
        <v>25</v>
      </c>
    </row>
    <row r="8" spans="1:22">
      <c r="A8" s="44" t="s">
        <v>26</v>
      </c>
      <c r="B8" s="45"/>
      <c r="C8" s="45"/>
      <c r="D8" s="46"/>
      <c r="I8" s="47" t="s">
        <v>27</v>
      </c>
      <c r="J8" s="47"/>
      <c r="K8" s="47"/>
    </row>
    <row r="9" spans="1:22">
      <c r="A9" s="4" t="s">
        <v>28</v>
      </c>
      <c r="B9" s="4" t="s">
        <v>29</v>
      </c>
      <c r="C9" s="4" t="s">
        <v>30</v>
      </c>
      <c r="D9" s="4" t="s">
        <v>31</v>
      </c>
      <c r="I9" s="2" t="s">
        <v>18</v>
      </c>
      <c r="J9" s="5">
        <f>0.05*J3</f>
        <v>1.9930555555555559E-2</v>
      </c>
      <c r="K9" s="2"/>
    </row>
    <row r="10" spans="1:22">
      <c r="A10" s="2">
        <v>11</v>
      </c>
      <c r="B10" s="2">
        <v>15</v>
      </c>
      <c r="C10" s="3">
        <f>D5+((D5-D3)/A10)*B10</f>
        <v>186.76130728775357</v>
      </c>
      <c r="D10" s="2">
        <v>200</v>
      </c>
      <c r="I10" s="2" t="s">
        <v>32</v>
      </c>
      <c r="J10" s="5">
        <f>(2*J5)+J9</f>
        <v>1.0563194444444446</v>
      </c>
      <c r="K10" s="7">
        <f>J10/1000</f>
        <v>1.0563194444444446E-3</v>
      </c>
    </row>
    <row r="12" spans="1:22">
      <c r="A12" s="43" t="s">
        <v>33</v>
      </c>
      <c r="B12" s="43"/>
      <c r="C12" s="43"/>
      <c r="E12" s="43" t="s">
        <v>34</v>
      </c>
      <c r="F12" s="43"/>
      <c r="G12" s="43"/>
      <c r="H12" s="43"/>
      <c r="J12" s="40" t="s">
        <v>35</v>
      </c>
      <c r="K12" s="41"/>
      <c r="L12" s="42"/>
      <c r="N12" s="40" t="s">
        <v>36</v>
      </c>
      <c r="O12" s="41"/>
      <c r="P12" s="41"/>
      <c r="Q12" s="42"/>
    </row>
    <row r="13" spans="1:22">
      <c r="A13" s="2" t="s">
        <v>37</v>
      </c>
      <c r="B13" s="6">
        <f>(1/2)*0.0254</f>
        <v>1.2699999999999999E-2</v>
      </c>
      <c r="C13" s="2" t="s">
        <v>38</v>
      </c>
      <c r="E13" s="43" t="s">
        <v>39</v>
      </c>
      <c r="F13" s="43"/>
      <c r="G13" s="7">
        <f>(O3/(1.84*B15))^(2/3)</f>
        <v>1.5514094431219727E-2</v>
      </c>
      <c r="H13" s="2" t="s">
        <v>38</v>
      </c>
      <c r="J13" s="2" t="s">
        <v>40</v>
      </c>
      <c r="K13" s="5">
        <f>(K10/(B15*0.02))</f>
        <v>0.11736882716049382</v>
      </c>
      <c r="L13" s="2" t="s">
        <v>41</v>
      </c>
      <c r="N13" s="40" t="s">
        <v>42</v>
      </c>
      <c r="O13" s="41"/>
      <c r="P13" s="41"/>
      <c r="Q13" s="42"/>
      <c r="T13" s="40" t="s">
        <v>43</v>
      </c>
      <c r="U13" s="41"/>
      <c r="V13" s="42"/>
    </row>
    <row r="14" spans="1:22">
      <c r="A14" s="2" t="s">
        <v>44</v>
      </c>
      <c r="B14" s="2">
        <v>0.02</v>
      </c>
      <c r="C14" s="2" t="s">
        <v>38</v>
      </c>
      <c r="E14" s="43" t="s">
        <v>45</v>
      </c>
      <c r="F14" s="43"/>
      <c r="G14" s="7">
        <f>(O4/(1.84*1.35))^(2/3)</f>
        <v>1.0042895524400764E-2</v>
      </c>
      <c r="H14" s="2" t="s">
        <v>38</v>
      </c>
      <c r="J14" s="2" t="s">
        <v>46</v>
      </c>
      <c r="K14" s="5">
        <f>(0.36*(K13)^(2/3))+ (0.6*(0.02)^(4/7))</f>
        <v>0.15046564596596551</v>
      </c>
      <c r="L14" s="2" t="s">
        <v>38</v>
      </c>
      <c r="N14" s="53" t="s">
        <v>47</v>
      </c>
      <c r="O14" s="54"/>
      <c r="P14" s="2">
        <v>0.3</v>
      </c>
      <c r="Q14" s="2" t="s">
        <v>38</v>
      </c>
      <c r="T14" s="40" t="s">
        <v>48</v>
      </c>
      <c r="U14" s="41"/>
      <c r="V14" s="42"/>
    </row>
    <row r="15" spans="1:22">
      <c r="A15" s="2" t="s">
        <v>49</v>
      </c>
      <c r="B15" s="2">
        <v>0.45</v>
      </c>
      <c r="C15" s="2" t="s">
        <v>38</v>
      </c>
      <c r="E15" s="43" t="s">
        <v>50</v>
      </c>
      <c r="F15" s="43"/>
      <c r="G15" s="43"/>
      <c r="H15" s="43"/>
      <c r="J15" s="2" t="s">
        <v>51</v>
      </c>
      <c r="K15" s="5">
        <f>K14+0.1</f>
        <v>0.25046564596596554</v>
      </c>
      <c r="L15" s="2" t="s">
        <v>38</v>
      </c>
      <c r="N15" s="53" t="s">
        <v>52</v>
      </c>
      <c r="O15" s="54"/>
      <c r="P15" s="2">
        <f>0.02</f>
        <v>0.02</v>
      </c>
      <c r="Q15" s="2" t="s">
        <v>53</v>
      </c>
      <c r="T15" s="2" t="s">
        <v>54</v>
      </c>
      <c r="U15" s="2">
        <v>6</v>
      </c>
      <c r="V15" s="2" t="s">
        <v>55</v>
      </c>
    </row>
    <row r="16" spans="1:22">
      <c r="A16" s="2" t="s">
        <v>56</v>
      </c>
      <c r="B16" s="2">
        <v>20</v>
      </c>
      <c r="C16" s="2" t="s">
        <v>57</v>
      </c>
      <c r="D16" t="s">
        <v>58</v>
      </c>
      <c r="E16" s="43" t="s">
        <v>59</v>
      </c>
      <c r="F16" s="43"/>
      <c r="G16" s="7">
        <f>(O4/(1.84*1.35))^(2/3)</f>
        <v>1.0042895524400764E-2</v>
      </c>
      <c r="H16" s="2" t="s">
        <v>38</v>
      </c>
      <c r="J16" s="11" t="s">
        <v>60</v>
      </c>
      <c r="K16" s="11">
        <f>4*(2.54/100)</f>
        <v>0.1016</v>
      </c>
      <c r="L16" s="11" t="s">
        <v>38</v>
      </c>
      <c r="N16" s="53" t="s">
        <v>61</v>
      </c>
      <c r="O16" s="54"/>
      <c r="P16" s="2">
        <v>2.65</v>
      </c>
      <c r="Q16" s="2" t="s">
        <v>62</v>
      </c>
      <c r="T16" s="2" t="s">
        <v>63</v>
      </c>
      <c r="U16" s="7">
        <f>0.16004</f>
        <v>0.16003999999999999</v>
      </c>
      <c r="V16" s="2" t="s">
        <v>38</v>
      </c>
    </row>
    <row r="17" spans="1:22">
      <c r="A17" s="2" t="s">
        <v>64</v>
      </c>
      <c r="B17" s="7">
        <f>B14/(B14+B13)</f>
        <v>0.6116207951070336</v>
      </c>
      <c r="C17" s="8">
        <f>B17*100</f>
        <v>61.162079510703357</v>
      </c>
      <c r="E17" s="43" t="s">
        <v>65</v>
      </c>
      <c r="F17" s="43"/>
      <c r="G17" s="2">
        <v>0.03</v>
      </c>
      <c r="H17" s="2" t="s">
        <v>38</v>
      </c>
      <c r="J17" s="11" t="s">
        <v>66</v>
      </c>
      <c r="K17" s="12">
        <f>SQRT((K10)/(0.65*((PI())*((K16^2)/4))))</f>
        <v>0.44771568572955356</v>
      </c>
      <c r="L17" s="11" t="s">
        <v>38</v>
      </c>
      <c r="N17" s="53" t="s">
        <v>67</v>
      </c>
      <c r="O17" s="54"/>
      <c r="P17" s="2">
        <v>20</v>
      </c>
      <c r="Q17" s="2" t="s">
        <v>68</v>
      </c>
      <c r="T17" s="2" t="s">
        <v>69</v>
      </c>
      <c r="U17" s="7">
        <f>(PI()*U16^2)/4</f>
        <v>2.0116247336103222E-2</v>
      </c>
      <c r="V17" s="2" t="s">
        <v>70</v>
      </c>
    </row>
    <row r="18" spans="1:22">
      <c r="A18" s="2" t="s">
        <v>71</v>
      </c>
      <c r="B18" s="7">
        <f>(K10/(1.84*B15))^(2/3)</f>
        <v>1.1762779562411474E-2</v>
      </c>
      <c r="C18" s="2" t="s">
        <v>38</v>
      </c>
      <c r="E18" s="48" t="s">
        <v>72</v>
      </c>
      <c r="F18" s="48"/>
      <c r="G18" s="5">
        <f>(((K10^2)/((B15^2)*9.81))^2/3)+0.1</f>
        <v>0.10000000000010517</v>
      </c>
      <c r="H18" s="2" t="s">
        <v>38</v>
      </c>
      <c r="J18" s="11" t="s">
        <v>73</v>
      </c>
      <c r="K18" s="2">
        <v>0.45</v>
      </c>
      <c r="L18" s="11" t="s">
        <v>38</v>
      </c>
      <c r="N18" s="53" t="s">
        <v>74</v>
      </c>
      <c r="O18" s="54"/>
      <c r="P18" s="7">
        <f>(10105*(10^(-2)))/10000</f>
        <v>1.0104999999999999E-2</v>
      </c>
      <c r="Q18" s="2" t="s">
        <v>75</v>
      </c>
      <c r="T18" s="2" t="s">
        <v>40</v>
      </c>
      <c r="U18" s="2">
        <v>0.2</v>
      </c>
      <c r="V18" s="2" t="s">
        <v>76</v>
      </c>
    </row>
    <row r="19" spans="1:22">
      <c r="A19" s="2" t="s">
        <v>40</v>
      </c>
      <c r="B19" s="7">
        <f>SQRT(2*9.81*B18)</f>
        <v>0.48040163927125928</v>
      </c>
      <c r="C19" s="2" t="s">
        <v>41</v>
      </c>
      <c r="E19" s="50"/>
      <c r="F19" s="50"/>
      <c r="J19" s="48" t="s">
        <v>77</v>
      </c>
      <c r="K19" s="48"/>
      <c r="L19" s="48"/>
      <c r="N19" s="14" t="s">
        <v>78</v>
      </c>
      <c r="O19" s="14"/>
      <c r="P19" s="2"/>
      <c r="Q19" s="2"/>
      <c r="T19" s="2" t="s">
        <v>79</v>
      </c>
      <c r="U19" s="7">
        <f>K10/(U18*U17)</f>
        <v>0.26255380210717455</v>
      </c>
      <c r="V19" s="2" t="s">
        <v>80</v>
      </c>
    </row>
    <row r="20" spans="1:22">
      <c r="A20" s="2" t="s">
        <v>81</v>
      </c>
      <c r="B20" s="7">
        <f>K10/(0.44*B17*B15*B19)</f>
        <v>1.8156969343260488E-2</v>
      </c>
      <c r="C20" s="2" t="s">
        <v>38</v>
      </c>
      <c r="E20" s="49"/>
      <c r="F20" s="49"/>
      <c r="J20" s="11" t="s">
        <v>82</v>
      </c>
      <c r="K20" s="2">
        <v>1</v>
      </c>
      <c r="L20" s="11" t="s">
        <v>38</v>
      </c>
      <c r="N20" s="53" t="s">
        <v>83</v>
      </c>
      <c r="O20" s="54"/>
      <c r="P20" s="2" t="s">
        <v>84</v>
      </c>
      <c r="Q20" s="2"/>
      <c r="T20" s="2" t="s">
        <v>85</v>
      </c>
      <c r="U20" s="7">
        <f>K10/(U17*1)</f>
        <v>5.2510760421434911E-2</v>
      </c>
      <c r="V20" s="2" t="s">
        <v>86</v>
      </c>
    </row>
    <row r="21" spans="1:22">
      <c r="A21" s="2" t="s">
        <v>87</v>
      </c>
      <c r="B21" s="2">
        <f>15/100</f>
        <v>0.15</v>
      </c>
      <c r="C21" s="2" t="s">
        <v>38</v>
      </c>
      <c r="J21" s="11" t="s">
        <v>88</v>
      </c>
      <c r="K21" s="2">
        <v>1</v>
      </c>
      <c r="L21" s="11" t="s">
        <v>38</v>
      </c>
      <c r="N21" s="40" t="s">
        <v>89</v>
      </c>
      <c r="O21" s="41"/>
      <c r="P21" s="41"/>
      <c r="Q21" s="42"/>
      <c r="T21" s="40" t="s">
        <v>90</v>
      </c>
      <c r="U21" s="41"/>
      <c r="V21" s="42"/>
    </row>
    <row r="22" spans="1:22">
      <c r="A22" s="2" t="s">
        <v>91</v>
      </c>
      <c r="B22" s="7">
        <f>B15/(B14+B13)</f>
        <v>13.761467889908257</v>
      </c>
      <c r="C22" s="2">
        <v>14</v>
      </c>
      <c r="N22" s="51" t="s">
        <v>92</v>
      </c>
      <c r="O22" s="52"/>
      <c r="P22" s="7">
        <f>(981/18)*(2.65-1)*((P15)^2/P18)</f>
        <v>3.5596239485403269</v>
      </c>
      <c r="Q22" s="2" t="s">
        <v>93</v>
      </c>
      <c r="T22" s="2" t="s">
        <v>94</v>
      </c>
      <c r="U22" s="7">
        <f>K10/0.1</f>
        <v>1.0563194444444444E-2</v>
      </c>
      <c r="V22" s="2" t="s">
        <v>70</v>
      </c>
    </row>
    <row r="23" spans="1:22">
      <c r="A23" s="2" t="s">
        <v>95</v>
      </c>
      <c r="B23" s="7">
        <f>B14*B21*C22</f>
        <v>4.2000000000000003E-2</v>
      </c>
      <c r="C23" s="2" t="s">
        <v>70</v>
      </c>
      <c r="N23" s="15" t="s">
        <v>96</v>
      </c>
      <c r="O23" s="15"/>
      <c r="P23" s="7">
        <f>P22*(P15)/P18</f>
        <v>7.0452725354583414</v>
      </c>
      <c r="Q23" s="2"/>
      <c r="T23" s="2" t="s">
        <v>97</v>
      </c>
      <c r="U23" s="2">
        <v>0.61</v>
      </c>
      <c r="V23" s="2"/>
    </row>
    <row r="24" spans="1:22">
      <c r="A24" s="2" t="s">
        <v>98</v>
      </c>
      <c r="B24" s="7">
        <f>0.44*B23*B17*B19</f>
        <v>5.4298607301118476E-3</v>
      </c>
      <c r="C24" s="2" t="s">
        <v>99</v>
      </c>
      <c r="N24" s="51" t="s">
        <v>100</v>
      </c>
      <c r="O24" s="52"/>
      <c r="P24" s="7">
        <f>0.22*((1.65*981)^(2/3))*(P15/((P18)^(1/3)))</f>
        <v>2.8057084379529056</v>
      </c>
      <c r="Q24" s="2" t="s">
        <v>93</v>
      </c>
      <c r="T24" s="2" t="s">
        <v>101</v>
      </c>
      <c r="U24" s="7">
        <f>U22/U23</f>
        <v>1.7316712204007285E-2</v>
      </c>
      <c r="V24" s="2"/>
    </row>
    <row r="25" spans="1:22">
      <c r="A25" s="10" t="s">
        <v>102</v>
      </c>
      <c r="B25" s="5">
        <f>K14+0.1</f>
        <v>0.25046564596596554</v>
      </c>
      <c r="C25" s="10" t="s">
        <v>38</v>
      </c>
      <c r="N25" s="51" t="s">
        <v>96</v>
      </c>
      <c r="O25" s="52"/>
      <c r="P25" s="7">
        <f>P24*(P15)/P18</f>
        <v>5.553109229001298</v>
      </c>
      <c r="Q25" s="2"/>
      <c r="R25" t="s">
        <v>58</v>
      </c>
      <c r="T25" s="2" t="s">
        <v>103</v>
      </c>
      <c r="U25" s="2"/>
      <c r="V25" s="2"/>
    </row>
    <row r="26" spans="1:22">
      <c r="N26" s="51" t="s">
        <v>104</v>
      </c>
      <c r="O26" s="52"/>
      <c r="P26" s="7">
        <f>K10/(P24/100)</f>
        <v>3.7648938505354959E-2</v>
      </c>
      <c r="Q26" s="2" t="s">
        <v>70</v>
      </c>
      <c r="T26" s="2" t="s">
        <v>105</v>
      </c>
      <c r="U26" s="2">
        <v>8.3419999999999994E-2</v>
      </c>
      <c r="V26" s="2" t="s">
        <v>38</v>
      </c>
    </row>
    <row r="27" spans="1:22">
      <c r="N27" s="51" t="s">
        <v>106</v>
      </c>
      <c r="O27" s="52"/>
      <c r="P27" s="7">
        <f>1.75*P26</f>
        <v>6.5885642384371182E-2</v>
      </c>
      <c r="Q27" s="2" t="s">
        <v>70</v>
      </c>
      <c r="T27" s="2" t="s">
        <v>107</v>
      </c>
      <c r="U27" s="7">
        <f>(4*U24)/(PI()*(U26^2))</f>
        <v>3.1683648520676462</v>
      </c>
      <c r="V27" s="2">
        <v>4</v>
      </c>
    </row>
    <row r="28" spans="1:22">
      <c r="N28" s="40" t="s">
        <v>108</v>
      </c>
      <c r="O28" s="41"/>
      <c r="P28" s="41"/>
      <c r="Q28" s="42"/>
      <c r="T28" s="2" t="s">
        <v>109</v>
      </c>
      <c r="U28" s="2" t="s">
        <v>110</v>
      </c>
      <c r="V28" s="2"/>
    </row>
    <row r="29" spans="1:22">
      <c r="N29" s="2" t="s">
        <v>111</v>
      </c>
      <c r="O29" s="2"/>
      <c r="P29" s="7">
        <f>0.17/(P24/100)</f>
        <v>6.0590757649798785</v>
      </c>
      <c r="Q29" s="2" t="s">
        <v>112</v>
      </c>
      <c r="R29" t="s">
        <v>58</v>
      </c>
      <c r="T29" s="2" t="s">
        <v>113</v>
      </c>
      <c r="U29" s="2">
        <f>1/2*P37</f>
        <v>0.1</v>
      </c>
      <c r="V29" s="2" t="s">
        <v>38</v>
      </c>
    </row>
    <row r="30" spans="1:22">
      <c r="N30" s="2" t="s">
        <v>114</v>
      </c>
      <c r="O30" s="2"/>
      <c r="P30" s="7">
        <f>SQRT(P27/6)</f>
        <v>0.10478998233321349</v>
      </c>
      <c r="Q30" s="2" t="s">
        <v>38</v>
      </c>
      <c r="T30" s="2" t="s">
        <v>115</v>
      </c>
      <c r="U30" s="2" t="s">
        <v>116</v>
      </c>
      <c r="V30" s="2" t="s">
        <v>117</v>
      </c>
    </row>
    <row r="31" spans="1:22">
      <c r="N31" s="2" t="s">
        <v>118</v>
      </c>
      <c r="O31" s="2"/>
      <c r="P31" s="7">
        <f>6*P30</f>
        <v>0.62873989399928099</v>
      </c>
      <c r="Q31" s="2" t="s">
        <v>38</v>
      </c>
      <c r="T31" s="2" t="s">
        <v>119</v>
      </c>
      <c r="U31" s="5">
        <v>0.13</v>
      </c>
      <c r="V31" s="2" t="s">
        <v>120</v>
      </c>
    </row>
    <row r="32" spans="1:22">
      <c r="N32" s="2" t="s">
        <v>121</v>
      </c>
      <c r="O32" s="2"/>
      <c r="P32" s="7">
        <f>K10/0.17</f>
        <v>6.2136437908496735E-3</v>
      </c>
      <c r="Q32" s="2" t="s">
        <v>70</v>
      </c>
      <c r="T32" s="40" t="s">
        <v>122</v>
      </c>
      <c r="U32" s="41"/>
      <c r="V32" s="42"/>
    </row>
    <row r="33" spans="14:22">
      <c r="N33" s="2" t="s">
        <v>123</v>
      </c>
      <c r="O33" s="2"/>
      <c r="P33" s="7">
        <f>P32/P30</f>
        <v>5.9296162214164637E-2</v>
      </c>
      <c r="Q33" s="2" t="s">
        <v>38</v>
      </c>
      <c r="T33" s="2" t="s">
        <v>124</v>
      </c>
      <c r="U33" s="7">
        <f>(K10/1.84*P36)^(2/3)</f>
        <v>4.0562680184289138E-3</v>
      </c>
      <c r="V33" s="2"/>
    </row>
    <row r="34" spans="14:22">
      <c r="N34" s="40" t="s">
        <v>77</v>
      </c>
      <c r="O34" s="41"/>
      <c r="P34" s="41"/>
      <c r="Q34" s="42"/>
      <c r="T34" s="2" t="s">
        <v>125</v>
      </c>
      <c r="U34" s="7">
        <f>K10/(P36*U33)</f>
        <v>0.57870351084913507</v>
      </c>
      <c r="V34" s="2"/>
    </row>
    <row r="35" spans="14:22">
      <c r="N35" s="2" t="s">
        <v>118</v>
      </c>
      <c r="O35" s="2"/>
      <c r="P35" s="2">
        <v>1.8</v>
      </c>
      <c r="Q35" s="2"/>
      <c r="T35" s="2" t="s">
        <v>126</v>
      </c>
      <c r="U35" s="7">
        <f>(U34+0.1)</f>
        <v>0.67870351084913505</v>
      </c>
      <c r="V35" s="2"/>
    </row>
    <row r="36" spans="14:22" ht="30">
      <c r="N36" s="2" t="s">
        <v>127</v>
      </c>
      <c r="O36" s="2"/>
      <c r="P36" s="2">
        <v>0.45</v>
      </c>
      <c r="Q36" s="2"/>
      <c r="T36" s="1" t="s">
        <v>128</v>
      </c>
      <c r="U36" s="2">
        <v>0.3</v>
      </c>
      <c r="V36" s="2"/>
    </row>
    <row r="37" spans="14:22" ht="30">
      <c r="N37" s="2" t="s">
        <v>123</v>
      </c>
      <c r="O37" s="2"/>
      <c r="P37" s="2">
        <v>0.2</v>
      </c>
      <c r="Q37" s="2"/>
      <c r="T37" s="1" t="s">
        <v>129</v>
      </c>
      <c r="U37" s="7">
        <f>K10/(1.84*P36)^(2/3)</f>
        <v>1.1979583428128103E-3</v>
      </c>
      <c r="V37" s="2"/>
    </row>
    <row r="38" spans="14:22" ht="45">
      <c r="N38" s="2" t="s">
        <v>130</v>
      </c>
      <c r="O38" s="2"/>
      <c r="P38" s="8">
        <f>K10/(P36*P37)</f>
        <v>1.1736882716049384E-2</v>
      </c>
      <c r="Q38" s="2" t="s">
        <v>131</v>
      </c>
      <c r="R38" t="s">
        <v>58</v>
      </c>
      <c r="T38" s="1" t="s">
        <v>132</v>
      </c>
      <c r="U38" s="7">
        <f>K10/(0.13*P36)</f>
        <v>1.8056742640075975E-2</v>
      </c>
      <c r="V38" s="2"/>
    </row>
    <row r="39" spans="14:22" ht="30">
      <c r="N39" s="2" t="s">
        <v>133</v>
      </c>
      <c r="O39" s="2"/>
      <c r="P39" s="2">
        <f>P35*P36</f>
        <v>0.81</v>
      </c>
      <c r="Q39" s="2"/>
      <c r="T39" s="1" t="s">
        <v>134</v>
      </c>
      <c r="U39" s="2">
        <v>0.1</v>
      </c>
      <c r="V39" s="2"/>
    </row>
    <row r="40" spans="14:22">
      <c r="N40" s="2" t="s">
        <v>135</v>
      </c>
      <c r="O40" s="2"/>
      <c r="P40" s="5">
        <f>K10/P39</f>
        <v>1.3040980795610427E-3</v>
      </c>
      <c r="Q40" s="2"/>
      <c r="T40" s="1" t="s">
        <v>136</v>
      </c>
      <c r="U40" s="2"/>
      <c r="V40" s="2"/>
    </row>
    <row r="41" spans="14:22">
      <c r="N41" s="2" t="s">
        <v>111</v>
      </c>
      <c r="O41" s="2"/>
      <c r="P41" s="8">
        <f>P38/P40</f>
        <v>9</v>
      </c>
      <c r="Q41" s="2"/>
      <c r="T41" s="1" t="s">
        <v>137</v>
      </c>
      <c r="U41" s="7">
        <f>K10/0.13</f>
        <v>8.1255341880341891E-3</v>
      </c>
      <c r="V41" s="2"/>
    </row>
    <row r="42" spans="14:22">
      <c r="N42" s="2" t="s">
        <v>138</v>
      </c>
      <c r="O42" s="2"/>
      <c r="P42" s="8">
        <f>161*SQRT(0.0002)</f>
        <v>2.2768838354206831</v>
      </c>
      <c r="Q42" s="2"/>
      <c r="T42" s="1" t="s">
        <v>139</v>
      </c>
      <c r="U42" s="7">
        <f>(U41/3.141592654)^(1/2)</f>
        <v>5.0857033557197805E-2</v>
      </c>
      <c r="V42" s="2"/>
    </row>
    <row r="43" spans="14:22">
      <c r="N43" s="2" t="s">
        <v>140</v>
      </c>
      <c r="O43" s="2"/>
      <c r="P43" s="5">
        <f>P38</f>
        <v>1.1736882716049384E-2</v>
      </c>
      <c r="Q43" s="5">
        <f>1/4*P42</f>
        <v>0.56922095885517077</v>
      </c>
      <c r="R43" t="s">
        <v>58</v>
      </c>
      <c r="T43" s="1" t="s">
        <v>141</v>
      </c>
      <c r="U43" s="7">
        <f>U42*2</f>
        <v>0.10171406711439561</v>
      </c>
      <c r="V43" s="2"/>
    </row>
    <row r="44" spans="14:22">
      <c r="T44" s="1" t="s">
        <v>142</v>
      </c>
      <c r="U44" s="7">
        <f>U43*1000</f>
        <v>101.7140671143956</v>
      </c>
      <c r="V44" s="2" t="s">
        <v>143</v>
      </c>
    </row>
    <row r="45" spans="14:22">
      <c r="T45" s="1" t="s">
        <v>144</v>
      </c>
      <c r="U45" s="2"/>
      <c r="V45" s="2"/>
    </row>
    <row r="46" spans="14:22">
      <c r="T46" s="1" t="s">
        <v>145</v>
      </c>
      <c r="U46" s="7">
        <f>(2*0.05)+0.10872</f>
        <v>0.20872000000000002</v>
      </c>
      <c r="V46" s="2" t="s">
        <v>146</v>
      </c>
    </row>
    <row r="47" spans="14:22">
      <c r="T47" s="1" t="s">
        <v>147</v>
      </c>
      <c r="U47" s="2"/>
      <c r="V47" s="2"/>
    </row>
    <row r="48" spans="14:22">
      <c r="T48" s="1" t="s">
        <v>148</v>
      </c>
      <c r="U48" s="7">
        <f>(3.141592654*(0.10872)^2)/4</f>
        <v>9.2834364518594777E-3</v>
      </c>
      <c r="V48" s="2"/>
    </row>
    <row r="49" spans="20:23">
      <c r="T49" s="1" t="s">
        <v>148</v>
      </c>
      <c r="U49" s="7">
        <f>(0.61*U48)</f>
        <v>5.6628962356342809E-3</v>
      </c>
      <c r="V49" s="2"/>
    </row>
    <row r="50" spans="20:23">
      <c r="T50" s="2" t="s">
        <v>149</v>
      </c>
      <c r="U50" s="7">
        <f>(K10/U49)^2</f>
        <v>3.4794719577186037E-2</v>
      </c>
      <c r="V50" s="2"/>
    </row>
    <row r="51" spans="20:23">
      <c r="T51" s="1" t="s">
        <v>150</v>
      </c>
      <c r="U51" s="7">
        <f>U50/(2*9.81)</f>
        <v>1.7734311711103993E-3</v>
      </c>
      <c r="V51" s="2"/>
    </row>
    <row r="52" spans="20:23">
      <c r="T52" s="1" t="s">
        <v>151</v>
      </c>
      <c r="U52" s="7">
        <f>(P35+U31+U46)+(0.1*2)</f>
        <v>2.3387200000000004</v>
      </c>
      <c r="V52" s="2"/>
    </row>
    <row r="53" spans="20:23">
      <c r="T53" s="1" t="s">
        <v>152</v>
      </c>
      <c r="U53" s="2"/>
      <c r="V53" s="2"/>
    </row>
    <row r="54" spans="20:23">
      <c r="T54" s="1" t="s">
        <v>153</v>
      </c>
      <c r="U54" s="2">
        <f>(U52-U31)/3</f>
        <v>0.73624000000000012</v>
      </c>
      <c r="V54" s="2"/>
    </row>
    <row r="55" spans="20:23">
      <c r="T55" s="1" t="s">
        <v>154</v>
      </c>
      <c r="U55" s="2">
        <f>(P35*P36*P37)</f>
        <v>0.16200000000000003</v>
      </c>
      <c r="V55" s="2"/>
    </row>
    <row r="56" spans="20:23">
      <c r="T56" s="1" t="s">
        <v>155</v>
      </c>
      <c r="U56" s="13">
        <f>(U55*0.3)</f>
        <v>4.8600000000000011E-2</v>
      </c>
      <c r="V56" s="2"/>
    </row>
    <row r="57" spans="20:23">
      <c r="T57" s="1" t="s">
        <v>156</v>
      </c>
      <c r="U57" s="2">
        <f>(0.7362*0.45*0.03681)/2</f>
        <v>6.09739245E-3</v>
      </c>
      <c r="V57" s="2"/>
    </row>
    <row r="58" spans="20:23">
      <c r="T58" s="1" t="s">
        <v>157</v>
      </c>
      <c r="U58" s="2">
        <f>(1.4725*0.45*0.073625)</f>
        <v>4.8785765624999998E-2</v>
      </c>
      <c r="V58" s="2"/>
    </row>
    <row r="59" spans="20:23">
      <c r="T59" s="1" t="s">
        <v>158</v>
      </c>
      <c r="U59" s="13">
        <f>U57+U58</f>
        <v>5.4883158075000001E-2</v>
      </c>
      <c r="V59" s="2"/>
      <c r="W59" t="s">
        <v>58</v>
      </c>
    </row>
    <row r="60" spans="20:23">
      <c r="T60" s="9"/>
    </row>
    <row r="61" spans="20:23">
      <c r="T61" s="9"/>
    </row>
    <row r="62" spans="20:23">
      <c r="T62" s="9"/>
    </row>
    <row r="63" spans="20:23">
      <c r="T63" s="9"/>
    </row>
  </sheetData>
  <mergeCells count="42">
    <mergeCell ref="N17:O17"/>
    <mergeCell ref="A12:C12"/>
    <mergeCell ref="E15:H15"/>
    <mergeCell ref="E14:F14"/>
    <mergeCell ref="E16:F16"/>
    <mergeCell ref="N13:Q13"/>
    <mergeCell ref="N15:O15"/>
    <mergeCell ref="N14:O14"/>
    <mergeCell ref="J12:L12"/>
    <mergeCell ref="N16:O16"/>
    <mergeCell ref="I8:K8"/>
    <mergeCell ref="N21:Q21"/>
    <mergeCell ref="N28:Q28"/>
    <mergeCell ref="E18:F18"/>
    <mergeCell ref="N34:Q34"/>
    <mergeCell ref="E20:F20"/>
    <mergeCell ref="E19:F19"/>
    <mergeCell ref="E17:F17"/>
    <mergeCell ref="N24:O24"/>
    <mergeCell ref="N25:O25"/>
    <mergeCell ref="N26:O26"/>
    <mergeCell ref="N27:O27"/>
    <mergeCell ref="J19:L19"/>
    <mergeCell ref="N20:O20"/>
    <mergeCell ref="N22:O22"/>
    <mergeCell ref="N18:O18"/>
    <mergeCell ref="T13:V13"/>
    <mergeCell ref="T14:V14"/>
    <mergeCell ref="T21:V21"/>
    <mergeCell ref="T32:V32"/>
    <mergeCell ref="A1:D1"/>
    <mergeCell ref="A7:D7"/>
    <mergeCell ref="A8:D8"/>
    <mergeCell ref="N12:Q12"/>
    <mergeCell ref="E12:H12"/>
    <mergeCell ref="M1:O1"/>
    <mergeCell ref="E13:F13"/>
    <mergeCell ref="F1:G1"/>
    <mergeCell ref="I1:K1"/>
    <mergeCell ref="I2:K2"/>
    <mergeCell ref="I4:K4"/>
    <mergeCell ref="I6:K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20"/>
  <sheetViews>
    <sheetView zoomScaleNormal="100" workbookViewId="0">
      <selection activeCell="D20" sqref="D20"/>
    </sheetView>
  </sheetViews>
  <sheetFormatPr defaultColWidth="11.42578125" defaultRowHeight="15"/>
  <cols>
    <col min="1" max="1" width="11.42578125" style="18"/>
    <col min="2" max="2" width="8.7109375" style="18" customWidth="1"/>
    <col min="3" max="3" width="14.140625" style="18" customWidth="1"/>
    <col min="4" max="4" width="15.42578125" style="18" customWidth="1"/>
    <col min="5" max="5" width="11.42578125" style="18"/>
    <col min="6" max="6" width="15.5703125" style="18" customWidth="1"/>
    <col min="7" max="7" width="15.28515625" style="18" customWidth="1"/>
    <col min="8" max="9" width="11.42578125" style="18"/>
    <col min="10" max="10" width="13.7109375" style="18" customWidth="1"/>
    <col min="11" max="11" width="14" style="18" customWidth="1"/>
    <col min="12" max="12" width="14.140625" style="18" customWidth="1"/>
    <col min="13" max="16384" width="11.42578125" style="18"/>
  </cols>
  <sheetData>
    <row r="2" spans="1:24">
      <c r="C2" s="57" t="s">
        <v>27</v>
      </c>
      <c r="D2" s="57"/>
      <c r="F2" s="33" t="s">
        <v>159</v>
      </c>
      <c r="H2" s="57" t="s">
        <v>160</v>
      </c>
      <c r="I2" s="57"/>
      <c r="K2" s="57" t="s">
        <v>161</v>
      </c>
      <c r="L2" s="57"/>
    </row>
    <row r="3" spans="1:24" ht="30">
      <c r="C3" s="11" t="s">
        <v>24</v>
      </c>
      <c r="D3" s="19">
        <v>0.82899999999999996</v>
      </c>
      <c r="E3" s="20"/>
      <c r="F3" s="32" t="s">
        <v>162</v>
      </c>
      <c r="H3" s="10" t="s">
        <v>163</v>
      </c>
      <c r="I3" s="10">
        <v>2.5</v>
      </c>
      <c r="K3" s="21" t="s">
        <v>164</v>
      </c>
      <c r="L3" s="10">
        <v>50</v>
      </c>
    </row>
    <row r="4" spans="1:24" ht="34.5" customHeight="1">
      <c r="H4" s="10" t="s">
        <v>165</v>
      </c>
      <c r="I4" s="10">
        <v>0.4</v>
      </c>
      <c r="K4" s="21" t="s">
        <v>166</v>
      </c>
      <c r="L4" s="10">
        <v>10</v>
      </c>
    </row>
    <row r="5" spans="1:24">
      <c r="H5" s="20"/>
      <c r="I5" s="20"/>
    </row>
    <row r="6" spans="1:24">
      <c r="C6" s="57" t="s">
        <v>167</v>
      </c>
      <c r="D6" s="57"/>
      <c r="E6" s="57"/>
      <c r="F6" s="22"/>
      <c r="G6" s="23" t="s">
        <v>24</v>
      </c>
      <c r="H6" s="10">
        <v>0.82899999999999996</v>
      </c>
    </row>
    <row r="7" spans="1:24" ht="30">
      <c r="C7" s="35" t="s">
        <v>168</v>
      </c>
      <c r="D7" s="24" t="s">
        <v>38</v>
      </c>
      <c r="E7" s="24" t="s">
        <v>169</v>
      </c>
      <c r="G7" s="23" t="s">
        <v>170</v>
      </c>
      <c r="H7" s="10">
        <v>145</v>
      </c>
      <c r="J7" s="28" t="s">
        <v>171</v>
      </c>
      <c r="K7" s="10">
        <v>140</v>
      </c>
    </row>
    <row r="8" spans="1:24">
      <c r="C8" s="25">
        <v>1.5</v>
      </c>
      <c r="D8" s="10">
        <v>3.8100000000000002E-2</v>
      </c>
      <c r="E8" s="10">
        <f>D8/1000</f>
        <v>3.8100000000000005E-5</v>
      </c>
    </row>
    <row r="9" spans="1:24">
      <c r="C9" s="26"/>
      <c r="D9" s="20"/>
      <c r="E9" s="20"/>
    </row>
    <row r="11" spans="1:24" ht="18.75">
      <c r="A11" s="56" t="s">
        <v>172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29"/>
    </row>
    <row r="12" spans="1:24">
      <c r="A12" s="55" t="s">
        <v>173</v>
      </c>
      <c r="B12" s="59" t="s">
        <v>174</v>
      </c>
      <c r="C12" s="59"/>
      <c r="D12" s="59" t="s">
        <v>175</v>
      </c>
      <c r="E12" s="59"/>
      <c r="F12" s="59" t="s">
        <v>176</v>
      </c>
      <c r="G12" s="59" t="s">
        <v>177</v>
      </c>
      <c r="H12" s="59"/>
      <c r="I12" s="59"/>
      <c r="J12" s="59"/>
      <c r="K12" s="59" t="s">
        <v>178</v>
      </c>
      <c r="L12" s="59"/>
      <c r="M12" s="59"/>
      <c r="N12" s="34" t="s">
        <v>179</v>
      </c>
      <c r="O12" s="59" t="s">
        <v>180</v>
      </c>
      <c r="P12" s="59"/>
      <c r="Q12" s="59" t="s">
        <v>181</v>
      </c>
      <c r="R12" s="59"/>
      <c r="S12" s="59" t="s">
        <v>18</v>
      </c>
      <c r="T12" s="59"/>
      <c r="U12" s="59" t="s">
        <v>182</v>
      </c>
      <c r="V12" s="59"/>
      <c r="W12" s="34" t="s">
        <v>183</v>
      </c>
      <c r="X12" s="58"/>
    </row>
    <row r="13" spans="1:24">
      <c r="A13" s="55"/>
      <c r="B13" s="27" t="s">
        <v>184</v>
      </c>
      <c r="C13" s="27" t="s">
        <v>185</v>
      </c>
      <c r="D13" s="27" t="s">
        <v>186</v>
      </c>
      <c r="E13" s="27" t="s">
        <v>187</v>
      </c>
      <c r="F13" s="59"/>
      <c r="G13" s="27" t="s">
        <v>174</v>
      </c>
      <c r="H13" s="27" t="s">
        <v>184</v>
      </c>
      <c r="I13" s="27" t="s">
        <v>185</v>
      </c>
      <c r="J13" s="27" t="s">
        <v>188</v>
      </c>
      <c r="K13" s="27" t="s">
        <v>189</v>
      </c>
      <c r="L13" s="27" t="s">
        <v>190</v>
      </c>
      <c r="M13" s="27" t="s">
        <v>191</v>
      </c>
      <c r="N13" s="27" t="s">
        <v>86</v>
      </c>
      <c r="O13" s="27" t="s">
        <v>184</v>
      </c>
      <c r="P13" s="27" t="s">
        <v>185</v>
      </c>
      <c r="Q13" s="27" t="s">
        <v>184</v>
      </c>
      <c r="R13" s="27" t="s">
        <v>185</v>
      </c>
      <c r="S13" s="27" t="s">
        <v>192</v>
      </c>
      <c r="T13" s="27" t="s">
        <v>193</v>
      </c>
      <c r="U13" s="27" t="s">
        <v>184</v>
      </c>
      <c r="V13" s="27" t="s">
        <v>185</v>
      </c>
      <c r="W13" s="27" t="s">
        <v>187</v>
      </c>
      <c r="X13" s="58"/>
    </row>
    <row r="14" spans="1:24" ht="18.75">
      <c r="A14" s="56" t="s">
        <v>194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29"/>
    </row>
    <row r="15" spans="1:24">
      <c r="A15" s="10"/>
      <c r="B15" s="32" t="s">
        <v>195</v>
      </c>
      <c r="C15" s="32"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4">
      <c r="A16" s="10"/>
      <c r="B16" s="32">
        <v>1</v>
      </c>
      <c r="C16" s="32">
        <v>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>
      <c r="A17" s="10"/>
      <c r="B17" s="32">
        <v>2</v>
      </c>
      <c r="C17" s="32">
        <v>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>
      <c r="A18" s="10"/>
      <c r="B18" s="32">
        <v>3</v>
      </c>
      <c r="C18" s="32">
        <v>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20" spans="1:23">
      <c r="G20" s="20"/>
    </row>
  </sheetData>
  <mergeCells count="17">
    <mergeCell ref="X12:X13"/>
    <mergeCell ref="C2:D2"/>
    <mergeCell ref="H2:I2"/>
    <mergeCell ref="O12:P12"/>
    <mergeCell ref="Q12:R12"/>
    <mergeCell ref="S12:T12"/>
    <mergeCell ref="U12:V12"/>
    <mergeCell ref="B12:C12"/>
    <mergeCell ref="D12:E12"/>
    <mergeCell ref="F12:F13"/>
    <mergeCell ref="G12:J12"/>
    <mergeCell ref="K12:M12"/>
    <mergeCell ref="A12:A13"/>
    <mergeCell ref="A11:W11"/>
    <mergeCell ref="A14:W14"/>
    <mergeCell ref="K2:L2"/>
    <mergeCell ref="C6:E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1"/>
  <sheetViews>
    <sheetView tabSelected="1" workbookViewId="0">
      <selection activeCell="B2" sqref="B2:C9"/>
    </sheetView>
  </sheetViews>
  <sheetFormatPr defaultColWidth="11.42578125" defaultRowHeight="15"/>
  <cols>
    <col min="1" max="1" width="11.42578125" style="30"/>
    <col min="2" max="2" width="19.7109375" style="30" customWidth="1"/>
    <col min="3" max="16384" width="11.42578125" style="30"/>
  </cols>
  <sheetData>
    <row r="2" spans="2:5" ht="15.75">
      <c r="B2" s="60" t="s">
        <v>196</v>
      </c>
      <c r="C2" s="60"/>
    </row>
    <row r="3" spans="2:5" ht="31.5">
      <c r="B3" s="36" t="s">
        <v>197</v>
      </c>
      <c r="C3" s="37">
        <v>20</v>
      </c>
    </row>
    <row r="4" spans="2:5" ht="15.75">
      <c r="B4" s="37" t="s">
        <v>198</v>
      </c>
      <c r="C4" s="37">
        <v>1</v>
      </c>
    </row>
    <row r="5" spans="2:5" ht="15.75">
      <c r="B5" s="37" t="s">
        <v>24</v>
      </c>
      <c r="C5" s="38">
        <v>0.82911111111111124</v>
      </c>
    </row>
    <row r="6" spans="2:5" ht="31.5">
      <c r="B6" s="36" t="s">
        <v>199</v>
      </c>
      <c r="C6" s="37">
        <f>(0.5*6*0.43301)/2</f>
        <v>0.64951500000000006</v>
      </c>
    </row>
    <row r="7" spans="2:5" ht="31.5">
      <c r="B7" s="36" t="s">
        <v>200</v>
      </c>
      <c r="C7" s="37">
        <f>C5/C6</f>
        <v>1.2765080269294953</v>
      </c>
    </row>
    <row r="8" spans="2:5" ht="31.5">
      <c r="B8" s="36" t="s">
        <v>201</v>
      </c>
      <c r="C8" s="37">
        <f>(1/3)*C7</f>
        <v>0.42550267564316507</v>
      </c>
    </row>
    <row r="9" spans="2:5" ht="15.75">
      <c r="B9" s="39" t="s">
        <v>202</v>
      </c>
      <c r="C9" s="39">
        <f>C8/C6</f>
        <v>0.65510831257656099</v>
      </c>
    </row>
    <row r="11" spans="2:5">
      <c r="E11" s="31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invitado</cp:lastModifiedBy>
  <cp:revision/>
  <dcterms:created xsi:type="dcterms:W3CDTF">2016-09-06T12:28:30Z</dcterms:created>
  <dcterms:modified xsi:type="dcterms:W3CDTF">2019-08-16T19:51:56Z</dcterms:modified>
  <cp:category/>
  <cp:contentStatus/>
</cp:coreProperties>
</file>