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9240" activeTab="2"/>
  </bookViews>
  <sheets>
    <sheet name="COSTOS APLICADOS" sheetId="1" r:id="rId1"/>
    <sheet name="PUNTO EQUILIBRIO" sheetId="2" r:id="rId2"/>
    <sheet name="PROYECC 1 PROD" sheetId="3" r:id="rId3"/>
    <sheet name="PROYECC 15 PROD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4" l="1"/>
  <c r="H25" i="4" s="1"/>
  <c r="I25" i="4" s="1"/>
  <c r="J25" i="4" s="1"/>
  <c r="K25" i="4" s="1"/>
  <c r="L25" i="4" s="1"/>
  <c r="M25" i="4" s="1"/>
  <c r="N25" i="4" s="1"/>
  <c r="O25" i="4" s="1"/>
  <c r="P25" i="4" s="1"/>
  <c r="F25" i="4"/>
  <c r="E36" i="4" l="1"/>
  <c r="D33" i="4"/>
  <c r="D32" i="4"/>
  <c r="Q32" i="4" s="1"/>
  <c r="E20" i="4"/>
  <c r="E18" i="4"/>
  <c r="F18" i="4" s="1"/>
  <c r="E10" i="4"/>
  <c r="F6" i="4"/>
  <c r="H6" i="4" s="1"/>
  <c r="E9" i="4"/>
  <c r="Q13" i="4"/>
  <c r="F9" i="4"/>
  <c r="Q33" i="4"/>
  <c r="D49" i="4"/>
  <c r="D51" i="4" s="1"/>
  <c r="D48" i="4"/>
  <c r="I39" i="4"/>
  <c r="P50" i="4" s="1"/>
  <c r="F36" i="4"/>
  <c r="G36" i="4" s="1"/>
  <c r="H36" i="4" s="1"/>
  <c r="I36" i="4" s="1"/>
  <c r="J36" i="4" s="1"/>
  <c r="K36" i="4" s="1"/>
  <c r="L36" i="4" s="1"/>
  <c r="M36" i="4" s="1"/>
  <c r="N36" i="4" s="1"/>
  <c r="O36" i="4" s="1"/>
  <c r="P36" i="4" s="1"/>
  <c r="P35" i="4"/>
  <c r="O35" i="4"/>
  <c r="N35" i="4"/>
  <c r="M35" i="4"/>
  <c r="L35" i="4"/>
  <c r="K35" i="4"/>
  <c r="J35" i="4"/>
  <c r="I35" i="4"/>
  <c r="H35" i="4"/>
  <c r="G35" i="4"/>
  <c r="F35" i="4"/>
  <c r="E35" i="4"/>
  <c r="Q35" i="4" s="1"/>
  <c r="Q34" i="4"/>
  <c r="P31" i="4"/>
  <c r="P52" i="4" s="1"/>
  <c r="O31" i="4"/>
  <c r="O52" i="4" s="1"/>
  <c r="N31" i="4"/>
  <c r="N52" i="4" s="1"/>
  <c r="M31" i="4"/>
  <c r="M52" i="4" s="1"/>
  <c r="L31" i="4"/>
  <c r="L52" i="4" s="1"/>
  <c r="K31" i="4"/>
  <c r="K52" i="4" s="1"/>
  <c r="J31" i="4"/>
  <c r="J52" i="4" s="1"/>
  <c r="I31" i="4"/>
  <c r="I52" i="4" s="1"/>
  <c r="H31" i="4"/>
  <c r="H52" i="4" s="1"/>
  <c r="G31" i="4"/>
  <c r="G52" i="4" s="1"/>
  <c r="F31" i="4"/>
  <c r="F52" i="4" s="1"/>
  <c r="E31" i="4"/>
  <c r="E52" i="4" s="1"/>
  <c r="D31" i="4"/>
  <c r="Q29" i="4"/>
  <c r="Q27" i="4"/>
  <c r="Q25" i="4"/>
  <c r="Q23" i="4"/>
  <c r="Q22" i="4"/>
  <c r="Q21" i="4"/>
  <c r="P19" i="4"/>
  <c r="N19" i="4"/>
  <c r="L19" i="4"/>
  <c r="J19" i="4"/>
  <c r="H19" i="4"/>
  <c r="F19" i="4"/>
  <c r="E19" i="4"/>
  <c r="Q17" i="4"/>
  <c r="Q16" i="4"/>
  <c r="Q15" i="4"/>
  <c r="E14" i="4"/>
  <c r="Q12" i="4"/>
  <c r="P9" i="4"/>
  <c r="N9" i="4"/>
  <c r="L9" i="4"/>
  <c r="J9" i="4"/>
  <c r="H9" i="4"/>
  <c r="Q7" i="4"/>
  <c r="Q5" i="4"/>
  <c r="Q4" i="4"/>
  <c r="O3" i="4"/>
  <c r="O48" i="4" s="1"/>
  <c r="M3" i="4"/>
  <c r="M48" i="4" s="1"/>
  <c r="K3" i="4"/>
  <c r="K48" i="4" s="1"/>
  <c r="I3" i="4"/>
  <c r="I48" i="4" s="1"/>
  <c r="G3" i="4"/>
  <c r="G48" i="4" s="1"/>
  <c r="F3" i="4"/>
  <c r="F48" i="4" s="1"/>
  <c r="E3" i="4"/>
  <c r="E48" i="4" s="1"/>
  <c r="G29" i="2"/>
  <c r="D27" i="2"/>
  <c r="F27" i="2"/>
  <c r="F66" i="1"/>
  <c r="E8" i="4" l="1"/>
  <c r="E49" i="4" s="1"/>
  <c r="Q11" i="4"/>
  <c r="J6" i="4"/>
  <c r="H3" i="4"/>
  <c r="G10" i="4"/>
  <c r="G20" i="4"/>
  <c r="D52" i="4"/>
  <c r="Q52" i="4" s="1"/>
  <c r="D37" i="4"/>
  <c r="Q31" i="4"/>
  <c r="Q36" i="4"/>
  <c r="E50" i="4"/>
  <c r="G50" i="4"/>
  <c r="I50" i="4"/>
  <c r="K50" i="4"/>
  <c r="M50" i="4"/>
  <c r="O50" i="4"/>
  <c r="F50" i="4"/>
  <c r="H50" i="4"/>
  <c r="J50" i="4"/>
  <c r="L50" i="4"/>
  <c r="N50" i="4"/>
  <c r="G27" i="2"/>
  <c r="F6" i="3"/>
  <c r="E24" i="4" l="1"/>
  <c r="E26" i="4" s="1"/>
  <c r="D53" i="4"/>
  <c r="D55" i="4" s="1"/>
  <c r="Q50" i="4"/>
  <c r="I20" i="4"/>
  <c r="G19" i="4"/>
  <c r="I10" i="4"/>
  <c r="G9" i="4"/>
  <c r="E51" i="4"/>
  <c r="H48" i="4"/>
  <c r="G18" i="4"/>
  <c r="F14" i="4"/>
  <c r="L6" i="4"/>
  <c r="J3" i="4"/>
  <c r="P52" i="3"/>
  <c r="E52" i="3"/>
  <c r="F52" i="3"/>
  <c r="G52" i="3"/>
  <c r="H52" i="3"/>
  <c r="I52" i="3"/>
  <c r="J52" i="3"/>
  <c r="K52" i="3"/>
  <c r="L52" i="3"/>
  <c r="M52" i="3"/>
  <c r="N52" i="3"/>
  <c r="O52" i="3"/>
  <c r="D49" i="3"/>
  <c r="D51" i="3" s="1"/>
  <c r="I39" i="3"/>
  <c r="O50" i="3" s="1"/>
  <c r="D48" i="3"/>
  <c r="E31" i="3"/>
  <c r="F31" i="3"/>
  <c r="G31" i="3"/>
  <c r="H31" i="3"/>
  <c r="I31" i="3"/>
  <c r="J31" i="3"/>
  <c r="K31" i="3"/>
  <c r="L31" i="3"/>
  <c r="M31" i="3"/>
  <c r="N31" i="3"/>
  <c r="O31" i="3"/>
  <c r="P31" i="3"/>
  <c r="F35" i="3"/>
  <c r="G35" i="3"/>
  <c r="H35" i="3"/>
  <c r="I35" i="3"/>
  <c r="J35" i="3"/>
  <c r="K35" i="3"/>
  <c r="L35" i="3"/>
  <c r="M35" i="3"/>
  <c r="N35" i="3"/>
  <c r="O35" i="3"/>
  <c r="P35" i="3"/>
  <c r="E35" i="3"/>
  <c r="Q35" i="3" s="1"/>
  <c r="Q27" i="3"/>
  <c r="Q29" i="3"/>
  <c r="Q34" i="3"/>
  <c r="Q25" i="3"/>
  <c r="N6" i="4" l="1"/>
  <c r="L3" i="4"/>
  <c r="G14" i="4"/>
  <c r="G8" i="4" s="1"/>
  <c r="H18" i="4"/>
  <c r="E53" i="4"/>
  <c r="E55" i="4" s="1"/>
  <c r="K10" i="4"/>
  <c r="I9" i="4"/>
  <c r="K20" i="4"/>
  <c r="I19" i="4"/>
  <c r="J48" i="4"/>
  <c r="F8" i="4"/>
  <c r="E28" i="4"/>
  <c r="F50" i="3"/>
  <c r="J50" i="3"/>
  <c r="N50" i="3"/>
  <c r="H50" i="3"/>
  <c r="L50" i="3"/>
  <c r="P50" i="3"/>
  <c r="E50" i="3"/>
  <c r="G50" i="3"/>
  <c r="I50" i="3"/>
  <c r="K50" i="3"/>
  <c r="M50" i="3"/>
  <c r="Q50" i="3" s="1"/>
  <c r="P19" i="3"/>
  <c r="N19" i="3"/>
  <c r="L19" i="3"/>
  <c r="J19" i="3"/>
  <c r="H19" i="3"/>
  <c r="F19" i="3"/>
  <c r="Q5" i="3"/>
  <c r="Q7" i="3"/>
  <c r="Q11" i="3"/>
  <c r="Q12" i="3"/>
  <c r="Q13" i="3"/>
  <c r="Q15" i="3"/>
  <c r="Q16" i="3"/>
  <c r="Q17" i="3"/>
  <c r="Q21" i="3"/>
  <c r="Q22" i="3"/>
  <c r="Q23" i="3"/>
  <c r="Q4" i="3"/>
  <c r="F9" i="3"/>
  <c r="H9" i="3"/>
  <c r="J9" i="3"/>
  <c r="L9" i="3"/>
  <c r="N9" i="3"/>
  <c r="P9" i="3"/>
  <c r="G3" i="3"/>
  <c r="G48" i="3" s="1"/>
  <c r="I3" i="3"/>
  <c r="I48" i="3" s="1"/>
  <c r="K3" i="3"/>
  <c r="K48" i="3" s="1"/>
  <c r="M3" i="3"/>
  <c r="M48" i="3" s="1"/>
  <c r="O3" i="3"/>
  <c r="O48" i="3" s="1"/>
  <c r="E3" i="3"/>
  <c r="E48" i="3" s="1"/>
  <c r="F3" i="3"/>
  <c r="F48" i="3" s="1"/>
  <c r="G49" i="4" l="1"/>
  <c r="G51" i="4" s="1"/>
  <c r="G53" i="4" s="1"/>
  <c r="G24" i="4"/>
  <c r="G26" i="4" s="1"/>
  <c r="G28" i="4" s="1"/>
  <c r="G30" i="4" s="1"/>
  <c r="G37" i="4" s="1"/>
  <c r="E30" i="4"/>
  <c r="M20" i="4"/>
  <c r="K19" i="4"/>
  <c r="M10" i="4"/>
  <c r="K9" i="4"/>
  <c r="L48" i="4"/>
  <c r="F49" i="4"/>
  <c r="F24" i="4"/>
  <c r="I18" i="4"/>
  <c r="H14" i="4"/>
  <c r="P6" i="4"/>
  <c r="N3" i="4"/>
  <c r="H6" i="3"/>
  <c r="F56" i="2"/>
  <c r="F72" i="1"/>
  <c r="F71" i="1"/>
  <c r="G19" i="2"/>
  <c r="G20" i="2"/>
  <c r="C8" i="2"/>
  <c r="D8" i="2"/>
  <c r="E8" i="2"/>
  <c r="F8" i="2"/>
  <c r="C9" i="2"/>
  <c r="D9" i="2"/>
  <c r="E9" i="2"/>
  <c r="F9" i="2"/>
  <c r="C10" i="2"/>
  <c r="D10" i="2"/>
  <c r="E10" i="2"/>
  <c r="F10" i="2"/>
  <c r="C16" i="2"/>
  <c r="D16" i="2"/>
  <c r="E16" i="2"/>
  <c r="F16" i="2"/>
  <c r="C17" i="2"/>
  <c r="D17" i="2"/>
  <c r="E17" i="2"/>
  <c r="F17" i="2"/>
  <c r="C18" i="2"/>
  <c r="D18" i="2"/>
  <c r="E18" i="2"/>
  <c r="F18" i="2"/>
  <c r="D7" i="2"/>
  <c r="E7" i="2"/>
  <c r="F7" i="2"/>
  <c r="C7" i="2"/>
  <c r="F49" i="1"/>
  <c r="F48" i="1"/>
  <c r="F11" i="2"/>
  <c r="E11" i="2"/>
  <c r="C11" i="2"/>
  <c r="C13" i="2"/>
  <c r="E13" i="2"/>
  <c r="F13" i="2"/>
  <c r="E12" i="2"/>
  <c r="F12" i="2"/>
  <c r="C12" i="2"/>
  <c r="C15" i="2"/>
  <c r="E15" i="2"/>
  <c r="F15" i="2"/>
  <c r="F14" i="2"/>
  <c r="E14" i="2"/>
  <c r="C14" i="2"/>
  <c r="G14" i="2" s="1"/>
  <c r="E53" i="1"/>
  <c r="F53" i="1" s="1"/>
  <c r="E52" i="1"/>
  <c r="F52" i="1" s="1"/>
  <c r="E50" i="1"/>
  <c r="F50" i="1" s="1"/>
  <c r="E51" i="1"/>
  <c r="F60" i="1"/>
  <c r="F61" i="1"/>
  <c r="F62" i="1"/>
  <c r="F63" i="1"/>
  <c r="F64" i="1"/>
  <c r="F65" i="1"/>
  <c r="F59" i="1"/>
  <c r="F40" i="1"/>
  <c r="F39" i="1"/>
  <c r="F38" i="1"/>
  <c r="F43" i="1" s="1"/>
  <c r="F26" i="1"/>
  <c r="F27" i="1"/>
  <c r="F28" i="1"/>
  <c r="F29" i="1"/>
  <c r="F30" i="1"/>
  <c r="F31" i="1"/>
  <c r="F32" i="1"/>
  <c r="F25" i="1"/>
  <c r="F7" i="1"/>
  <c r="F8" i="1"/>
  <c r="F9" i="1"/>
  <c r="F10" i="1"/>
  <c r="F11" i="1"/>
  <c r="F12" i="1"/>
  <c r="F13" i="1"/>
  <c r="F14" i="1"/>
  <c r="F15" i="1"/>
  <c r="F16" i="1"/>
  <c r="F17" i="1"/>
  <c r="F18" i="1"/>
  <c r="F6" i="1"/>
  <c r="N48" i="4" l="1"/>
  <c r="I14" i="4"/>
  <c r="I8" i="4" s="1"/>
  <c r="J18" i="4"/>
  <c r="O20" i="4"/>
  <c r="M19" i="4"/>
  <c r="P3" i="4"/>
  <c r="Q6" i="4"/>
  <c r="H8" i="4"/>
  <c r="F26" i="4"/>
  <c r="F51" i="4"/>
  <c r="O10" i="4"/>
  <c r="M9" i="4"/>
  <c r="E37" i="4"/>
  <c r="F67" i="1"/>
  <c r="J6" i="3"/>
  <c r="H3" i="3"/>
  <c r="H48" i="3" s="1"/>
  <c r="E10" i="3"/>
  <c r="E9" i="3" s="1"/>
  <c r="F73" i="1"/>
  <c r="E84" i="1"/>
  <c r="E54" i="1"/>
  <c r="F51" i="1"/>
  <c r="F54" i="1" s="1"/>
  <c r="E85" i="1" s="1"/>
  <c r="G15" i="2"/>
  <c r="G18" i="2"/>
  <c r="G16" i="2"/>
  <c r="G9" i="2"/>
  <c r="G7" i="2"/>
  <c r="G12" i="2"/>
  <c r="G13" i="2"/>
  <c r="G17" i="2"/>
  <c r="G10" i="2"/>
  <c r="G8" i="2"/>
  <c r="G11" i="2"/>
  <c r="F19" i="1"/>
  <c r="F33" i="1"/>
  <c r="F53" i="4" l="1"/>
  <c r="F55" i="4" s="1"/>
  <c r="G55" i="4" s="1"/>
  <c r="F28" i="4"/>
  <c r="H49" i="4"/>
  <c r="H24" i="4"/>
  <c r="P48" i="4"/>
  <c r="O19" i="4"/>
  <c r="Q19" i="4" s="1"/>
  <c r="Q20" i="4"/>
  <c r="I49" i="4"/>
  <c r="I51" i="4" s="1"/>
  <c r="I53" i="4" s="1"/>
  <c r="I24" i="4"/>
  <c r="I26" i="4" s="1"/>
  <c r="I28" i="4" s="1"/>
  <c r="I30" i="4" s="1"/>
  <c r="I37" i="4" s="1"/>
  <c r="O9" i="4"/>
  <c r="Q10" i="4"/>
  <c r="K18" i="4"/>
  <c r="J14" i="4"/>
  <c r="J8" i="4" s="1"/>
  <c r="Q3" i="4"/>
  <c r="Q48" i="4"/>
  <c r="E78" i="1"/>
  <c r="F78" i="1" s="1"/>
  <c r="D33" i="3"/>
  <c r="Q33" i="3" s="1"/>
  <c r="E77" i="1"/>
  <c r="F77" i="1" s="1"/>
  <c r="F79" i="1" s="1"/>
  <c r="E36" i="3" s="1"/>
  <c r="D32" i="3"/>
  <c r="G10" i="3"/>
  <c r="G9" i="3" s="1"/>
  <c r="L6" i="3"/>
  <c r="J3" i="3"/>
  <c r="J48" i="3" s="1"/>
  <c r="F28" i="2"/>
  <c r="G28" i="2" s="1"/>
  <c r="E18" i="3"/>
  <c r="G21" i="2"/>
  <c r="K14" i="4" l="1"/>
  <c r="K8" i="4" s="1"/>
  <c r="L18" i="4"/>
  <c r="H51" i="4"/>
  <c r="F30" i="4"/>
  <c r="J49" i="4"/>
  <c r="J51" i="4" s="1"/>
  <c r="J53" i="4" s="1"/>
  <c r="J24" i="4"/>
  <c r="J26" i="4" s="1"/>
  <c r="J28" i="4" s="1"/>
  <c r="J30" i="4" s="1"/>
  <c r="J37" i="4" s="1"/>
  <c r="Q9" i="4"/>
  <c r="H26" i="4"/>
  <c r="E86" i="1"/>
  <c r="I10" i="3"/>
  <c r="I9" i="3" s="1"/>
  <c r="F36" i="3"/>
  <c r="G36" i="3" s="1"/>
  <c r="H36" i="3" s="1"/>
  <c r="I36" i="3" s="1"/>
  <c r="J36" i="3" s="1"/>
  <c r="K36" i="3" s="1"/>
  <c r="L36" i="3" s="1"/>
  <c r="M36" i="3" s="1"/>
  <c r="N36" i="3" s="1"/>
  <c r="O36" i="3" s="1"/>
  <c r="P36" i="3" s="1"/>
  <c r="Q32" i="3"/>
  <c r="D31" i="3"/>
  <c r="N6" i="3"/>
  <c r="L3" i="3"/>
  <c r="L48" i="3" s="1"/>
  <c r="K10" i="3"/>
  <c r="F18" i="3"/>
  <c r="E14" i="3"/>
  <c r="F34" i="2"/>
  <c r="F42" i="2"/>
  <c r="F43" i="2" s="1"/>
  <c r="F49" i="2" s="1"/>
  <c r="F26" i="2"/>
  <c r="G26" i="2" s="1"/>
  <c r="E20" i="3"/>
  <c r="F37" i="4" l="1"/>
  <c r="H53" i="4"/>
  <c r="H55" i="4" s="1"/>
  <c r="I55" i="4" s="1"/>
  <c r="J55" i="4" s="1"/>
  <c r="M18" i="4"/>
  <c r="L14" i="4"/>
  <c r="L8" i="4" s="1"/>
  <c r="H28" i="4"/>
  <c r="K49" i="4"/>
  <c r="K51" i="4" s="1"/>
  <c r="K53" i="4" s="1"/>
  <c r="K24" i="4"/>
  <c r="Q36" i="3"/>
  <c r="D52" i="3"/>
  <c r="Q31" i="3"/>
  <c r="D37" i="3"/>
  <c r="P6" i="3"/>
  <c r="N3" i="3"/>
  <c r="N48" i="3" s="1"/>
  <c r="G20" i="3"/>
  <c r="E19" i="3"/>
  <c r="E8" i="3" s="1"/>
  <c r="E49" i="3" s="1"/>
  <c r="E87" i="1"/>
  <c r="G18" i="3"/>
  <c r="F14" i="3"/>
  <c r="F8" i="3" s="1"/>
  <c r="F49" i="3" s="1"/>
  <c r="K9" i="3"/>
  <c r="M10" i="3"/>
  <c r="F33" i="2"/>
  <c r="F35" i="2" s="1"/>
  <c r="F48" i="2"/>
  <c r="L49" i="4" l="1"/>
  <c r="L51" i="4" s="1"/>
  <c r="L53" i="4" s="1"/>
  <c r="L24" i="4"/>
  <c r="L26" i="4" s="1"/>
  <c r="L28" i="4" s="1"/>
  <c r="L30" i="4" s="1"/>
  <c r="L37" i="4" s="1"/>
  <c r="K26" i="4"/>
  <c r="H30" i="4"/>
  <c r="M14" i="4"/>
  <c r="M8" i="4" s="1"/>
  <c r="N18" i="4"/>
  <c r="K55" i="4"/>
  <c r="L55" i="4" s="1"/>
  <c r="D53" i="3"/>
  <c r="D55" i="3" s="1"/>
  <c r="Q52" i="3"/>
  <c r="F24" i="3"/>
  <c r="F26" i="3" s="1"/>
  <c r="F28" i="3" s="1"/>
  <c r="F30" i="3" s="1"/>
  <c r="F37" i="3" s="1"/>
  <c r="F51" i="3"/>
  <c r="F53" i="3" s="1"/>
  <c r="E24" i="3"/>
  <c r="E26" i="3" s="1"/>
  <c r="E28" i="3" s="1"/>
  <c r="E30" i="3" s="1"/>
  <c r="E37" i="3" s="1"/>
  <c r="P3" i="3"/>
  <c r="P48" i="3" s="1"/>
  <c r="Q6" i="3"/>
  <c r="G14" i="3"/>
  <c r="H18" i="3"/>
  <c r="O10" i="3"/>
  <c r="O9" i="3" s="1"/>
  <c r="M9" i="3"/>
  <c r="I20" i="3"/>
  <c r="G19" i="3"/>
  <c r="F50" i="2"/>
  <c r="F55" i="2" s="1"/>
  <c r="F64" i="2"/>
  <c r="M49" i="4" l="1"/>
  <c r="M51" i="4" s="1"/>
  <c r="M53" i="4" s="1"/>
  <c r="M55" i="4" s="1"/>
  <c r="M24" i="4"/>
  <c r="H37" i="4"/>
  <c r="O18" i="4"/>
  <c r="N14" i="4"/>
  <c r="N8" i="4" s="1"/>
  <c r="K28" i="4"/>
  <c r="Q48" i="3"/>
  <c r="E51" i="3"/>
  <c r="E53" i="3" s="1"/>
  <c r="E55" i="3" s="1"/>
  <c r="F55" i="3" s="1"/>
  <c r="Q3" i="3"/>
  <c r="Q9" i="3"/>
  <c r="H14" i="3"/>
  <c r="H8" i="3" s="1"/>
  <c r="H49" i="3" s="1"/>
  <c r="I18" i="3"/>
  <c r="K20" i="3"/>
  <c r="I19" i="3"/>
  <c r="Q10" i="3"/>
  <c r="G8" i="3"/>
  <c r="G49" i="3" s="1"/>
  <c r="F62" i="2"/>
  <c r="F57" i="2"/>
  <c r="F61" i="2" s="1"/>
  <c r="N49" i="4" l="1"/>
  <c r="N51" i="4" s="1"/>
  <c r="N53" i="4" s="1"/>
  <c r="N55" i="4" s="1"/>
  <c r="N24" i="4"/>
  <c r="N26" i="4" s="1"/>
  <c r="N28" i="4" s="1"/>
  <c r="N30" i="4" s="1"/>
  <c r="N37" i="4" s="1"/>
  <c r="K30" i="4"/>
  <c r="O14" i="4"/>
  <c r="O8" i="4" s="1"/>
  <c r="P18" i="4"/>
  <c r="M26" i="4"/>
  <c r="H24" i="3"/>
  <c r="H26" i="3" s="1"/>
  <c r="H28" i="3" s="1"/>
  <c r="H30" i="3" s="1"/>
  <c r="H37" i="3" s="1"/>
  <c r="H51" i="3"/>
  <c r="H53" i="3" s="1"/>
  <c r="G24" i="3"/>
  <c r="G26" i="3" s="1"/>
  <c r="G28" i="3" s="1"/>
  <c r="G30" i="3" s="1"/>
  <c r="G37" i="3" s="1"/>
  <c r="M20" i="3"/>
  <c r="K19" i="3"/>
  <c r="J18" i="3"/>
  <c r="I14" i="3"/>
  <c r="I8" i="3" s="1"/>
  <c r="I49" i="3" s="1"/>
  <c r="F63" i="2"/>
  <c r="F65" i="2" s="1"/>
  <c r="O49" i="4" l="1"/>
  <c r="O51" i="4" s="1"/>
  <c r="O53" i="4" s="1"/>
  <c r="O55" i="4" s="1"/>
  <c r="O24" i="4"/>
  <c r="O26" i="4" s="1"/>
  <c r="O28" i="4" s="1"/>
  <c r="O30" i="4" s="1"/>
  <c r="O37" i="4" s="1"/>
  <c r="K37" i="4"/>
  <c r="M28" i="4"/>
  <c r="P14" i="4"/>
  <c r="Q18" i="4"/>
  <c r="G51" i="3"/>
  <c r="G53" i="3" s="1"/>
  <c r="G55" i="3" s="1"/>
  <c r="H55" i="3" s="1"/>
  <c r="I24" i="3"/>
  <c r="I26" i="3" s="1"/>
  <c r="I28" i="3" s="1"/>
  <c r="I30" i="3" s="1"/>
  <c r="I37" i="3" s="1"/>
  <c r="I51" i="3"/>
  <c r="I53" i="3" s="1"/>
  <c r="K18" i="3"/>
  <c r="J14" i="3"/>
  <c r="J8" i="3" s="1"/>
  <c r="J49" i="3" s="1"/>
  <c r="O20" i="3"/>
  <c r="O19" i="3" s="1"/>
  <c r="M19" i="3"/>
  <c r="Q20" i="3"/>
  <c r="P8" i="4" l="1"/>
  <c r="Q14" i="4"/>
  <c r="M30" i="4"/>
  <c r="I55" i="3"/>
  <c r="J24" i="3"/>
  <c r="J26" i="3" s="1"/>
  <c r="J28" i="3" s="1"/>
  <c r="J30" i="3" s="1"/>
  <c r="J37" i="3" s="1"/>
  <c r="J51" i="3"/>
  <c r="J53" i="3" s="1"/>
  <c r="Q19" i="3"/>
  <c r="K14" i="3"/>
  <c r="K8" i="3" s="1"/>
  <c r="K49" i="3" s="1"/>
  <c r="L18" i="3"/>
  <c r="M37" i="4" l="1"/>
  <c r="P49" i="4"/>
  <c r="P24" i="4"/>
  <c r="Q8" i="4"/>
  <c r="R8" i="4" s="1"/>
  <c r="J55" i="3"/>
  <c r="K24" i="3"/>
  <c r="K26" i="3" s="1"/>
  <c r="K28" i="3" s="1"/>
  <c r="K30" i="3" s="1"/>
  <c r="K37" i="3" s="1"/>
  <c r="L14" i="3"/>
  <c r="L8" i="3" s="1"/>
  <c r="L49" i="3" s="1"/>
  <c r="M18" i="3"/>
  <c r="P26" i="4" l="1"/>
  <c r="Q24" i="4"/>
  <c r="R24" i="4" s="1"/>
  <c r="P51" i="4"/>
  <c r="Q49" i="4"/>
  <c r="L24" i="3"/>
  <c r="L26" i="3" s="1"/>
  <c r="L28" i="3" s="1"/>
  <c r="L30" i="3" s="1"/>
  <c r="L37" i="3" s="1"/>
  <c r="L51" i="3"/>
  <c r="L53" i="3" s="1"/>
  <c r="K51" i="3"/>
  <c r="K53" i="3" s="1"/>
  <c r="K55" i="3" s="1"/>
  <c r="M14" i="3"/>
  <c r="M8" i="3" s="1"/>
  <c r="M49" i="3" s="1"/>
  <c r="N18" i="3"/>
  <c r="P53" i="4" l="1"/>
  <c r="P55" i="4" s="1"/>
  <c r="Q51" i="4"/>
  <c r="P28" i="4"/>
  <c r="Q26" i="4"/>
  <c r="L55" i="3"/>
  <c r="M24" i="3"/>
  <c r="M26" i="3" s="1"/>
  <c r="M28" i="3" s="1"/>
  <c r="M30" i="3" s="1"/>
  <c r="M37" i="3" s="1"/>
  <c r="N14" i="3"/>
  <c r="N8" i="3" s="1"/>
  <c r="N49" i="3" s="1"/>
  <c r="O18" i="3"/>
  <c r="G43" i="4" l="1"/>
  <c r="Q53" i="4"/>
  <c r="P30" i="4"/>
  <c r="Q28" i="4"/>
  <c r="N24" i="3"/>
  <c r="N26" i="3" s="1"/>
  <c r="N28" i="3" s="1"/>
  <c r="N30" i="3" s="1"/>
  <c r="N37" i="3" s="1"/>
  <c r="N51" i="3"/>
  <c r="N53" i="3" s="1"/>
  <c r="M51" i="3"/>
  <c r="M53" i="3" s="1"/>
  <c r="M55" i="3" s="1"/>
  <c r="P18" i="3"/>
  <c r="P14" i="3" s="1"/>
  <c r="P8" i="3" s="1"/>
  <c r="P49" i="3" s="1"/>
  <c r="O14" i="3"/>
  <c r="P37" i="4" l="1"/>
  <c r="Q30" i="4"/>
  <c r="N55" i="3"/>
  <c r="P24" i="3"/>
  <c r="P26" i="3" s="1"/>
  <c r="P28" i="3" s="1"/>
  <c r="P30" i="3" s="1"/>
  <c r="P37" i="3" s="1"/>
  <c r="Q18" i="3"/>
  <c r="O8" i="3"/>
  <c r="Q14" i="3"/>
  <c r="E41" i="4" l="1"/>
  <c r="Q37" i="4"/>
  <c r="R37" i="4" s="1"/>
  <c r="H41" i="4"/>
  <c r="O49" i="3"/>
  <c r="O51" i="3" s="1"/>
  <c r="O53" i="3" s="1"/>
  <c r="O55" i="3" s="1"/>
  <c r="P51" i="3"/>
  <c r="O24" i="3"/>
  <c r="Q8" i="3"/>
  <c r="R8" i="3" s="1"/>
  <c r="Q49" i="3" l="1"/>
  <c r="Q51" i="3"/>
  <c r="P53" i="3"/>
  <c r="P55" i="3" s="1"/>
  <c r="Q24" i="3"/>
  <c r="R24" i="3" s="1"/>
  <c r="O26" i="3"/>
  <c r="Q53" i="3" l="1"/>
  <c r="G43" i="3"/>
  <c r="Q26" i="3"/>
  <c r="O28" i="3"/>
  <c r="O30" i="3" l="1"/>
  <c r="Q28" i="3"/>
  <c r="Q30" i="3" l="1"/>
  <c r="O37" i="3"/>
  <c r="Q37" i="3" l="1"/>
  <c r="R37" i="3" s="1"/>
  <c r="E41" i="3"/>
  <c r="H41" i="3"/>
</calcChain>
</file>

<file path=xl/sharedStrings.xml><?xml version="1.0" encoding="utf-8"?>
<sst xmlns="http://schemas.openxmlformats.org/spreadsheetml/2006/main" count="330" uniqueCount="161">
  <si>
    <t>Mampostería</t>
  </si>
  <si>
    <t>CANTIDAD</t>
  </si>
  <si>
    <t>VR. UNITARIO</t>
  </si>
  <si>
    <t>Unidad</t>
  </si>
  <si>
    <t>Bultos</t>
  </si>
  <si>
    <t>UNIDAD MEDIDA</t>
  </si>
  <si>
    <t>CANT.</t>
  </si>
  <si>
    <t>DESCRIPCION</t>
  </si>
  <si>
    <t>VALOR TOTAL</t>
  </si>
  <si>
    <t xml:space="preserve">Metros </t>
  </si>
  <si>
    <t>Piso de galpón</t>
  </si>
  <si>
    <t>Metros</t>
  </si>
  <si>
    <t>Columnas</t>
  </si>
  <si>
    <t>Perfiles metálicos</t>
  </si>
  <si>
    <t xml:space="preserve">Caballetes </t>
  </si>
  <si>
    <t>Tejas</t>
  </si>
  <si>
    <t>Amarres</t>
  </si>
  <si>
    <t>Mano de obra – galpón</t>
  </si>
  <si>
    <t>Pintura estructura y mampostería</t>
  </si>
  <si>
    <t>Malla gallinero</t>
  </si>
  <si>
    <t xml:space="preserve">Tanque elevado de 1.000 lts </t>
  </si>
  <si>
    <t xml:space="preserve">Unidad </t>
  </si>
  <si>
    <t>Mano de obra, materiales e instalación de tanque</t>
  </si>
  <si>
    <t>Poceta para entrada a galpón</t>
  </si>
  <si>
    <t>TOTAL</t>
  </si>
  <si>
    <t>VR. TOTAL</t>
  </si>
  <si>
    <t>Comedero manual</t>
  </si>
  <si>
    <t>Bebederos automáticos</t>
  </si>
  <si>
    <t>Criadora de gas</t>
  </si>
  <si>
    <t>Guarda criadora (5.7 metros)</t>
  </si>
  <si>
    <t>Pipeta de gas llena</t>
  </si>
  <si>
    <t>Termómetro</t>
  </si>
  <si>
    <t xml:space="preserve">Bascula </t>
  </si>
  <si>
    <t>Fumigadora</t>
  </si>
  <si>
    <t>Elementos directos para la producción</t>
  </si>
  <si>
    <t>Concentrado levante</t>
  </si>
  <si>
    <t xml:space="preserve">Concentrado engorde </t>
  </si>
  <si>
    <t>Gumboro frasco 1.000 dosis</t>
  </si>
  <si>
    <t>New Castel por 500 dosis</t>
  </si>
  <si>
    <t>INSUMOS DESINFECCIÓN</t>
  </si>
  <si>
    <t>Yodo</t>
  </si>
  <si>
    <t>Cm</t>
  </si>
  <si>
    <t xml:space="preserve">Cal </t>
  </si>
  <si>
    <t>Bulto</t>
  </si>
  <si>
    <t>Formol</t>
  </si>
  <si>
    <t>Lorsban (Insecticida)</t>
  </si>
  <si>
    <t xml:space="preserve">Cc </t>
  </si>
  <si>
    <t>Implementos de aseo</t>
  </si>
  <si>
    <t xml:space="preserve">Cascarilla de arroz </t>
  </si>
  <si>
    <t xml:space="preserve">Viaje </t>
  </si>
  <si>
    <t>Cortina en lona</t>
  </si>
  <si>
    <t>ACTIVO DEPRECIABLE</t>
  </si>
  <si>
    <t>VIDA ÚTIL</t>
  </si>
  <si>
    <t>Galpón</t>
  </si>
  <si>
    <t>20 años</t>
  </si>
  <si>
    <t xml:space="preserve">Elementos </t>
  </si>
  <si>
    <t>5 años</t>
  </si>
  <si>
    <t>Parafiscales</t>
  </si>
  <si>
    <t>Seguridad social</t>
  </si>
  <si>
    <t>RESUMEN DE COSTOS</t>
  </si>
  <si>
    <t>DESCRIPCIÓN</t>
  </si>
  <si>
    <t>VALOR</t>
  </si>
  <si>
    <t>Materia prima</t>
  </si>
  <si>
    <t>Costos indirectos de fabricación</t>
  </si>
  <si>
    <t>Mano de obra</t>
  </si>
  <si>
    <t>Costos Variables</t>
  </si>
  <si>
    <t>PUNTO DE EQUILIBRIO</t>
  </si>
  <si>
    <t xml:space="preserve">TOTAL COSTOS VARIABLES </t>
  </si>
  <si>
    <t>Costos fijos</t>
  </si>
  <si>
    <t>Depreciación total</t>
  </si>
  <si>
    <t>TOTAL COSTOS FIJOS</t>
  </si>
  <si>
    <t>Utilidad</t>
  </si>
  <si>
    <t xml:space="preserve">Visita veterinario </t>
  </si>
  <si>
    <t>Ross x Cobb raza pollo</t>
  </si>
  <si>
    <t>DETALLE</t>
  </si>
  <si>
    <t>VALOR ACTIVO</t>
  </si>
  <si>
    <t>Sueldo empleado</t>
  </si>
  <si>
    <t>Auxilio de transporte</t>
  </si>
  <si>
    <t>Prestaciones sociales</t>
  </si>
  <si>
    <t>Vacaciones</t>
  </si>
  <si>
    <t>MANO DE OBRA MENSUAL</t>
  </si>
  <si>
    <t>MATERIA PRIMA</t>
  </si>
  <si>
    <t>MES</t>
  </si>
  <si>
    <t>CANT</t>
  </si>
  <si>
    <t>Visita</t>
  </si>
  <si>
    <t>Asistencia veterinario</t>
  </si>
  <si>
    <t>Factura</t>
  </si>
  <si>
    <t>Acueducto y alcantarillado</t>
  </si>
  <si>
    <t>Energía eléctrica</t>
  </si>
  <si>
    <t>Costos variables</t>
  </si>
  <si>
    <t>RESUMEN COSTOS</t>
  </si>
  <si>
    <t>Precio de venta unitario</t>
  </si>
  <si>
    <t>Costo variable unitario</t>
  </si>
  <si>
    <t>Margen de contribución</t>
  </si>
  <si>
    <t>Margen de contribucion</t>
  </si>
  <si>
    <t>unidades</t>
  </si>
  <si>
    <t>Costos totales = costos fijos + costos variables</t>
  </si>
  <si>
    <t>Contribución Marginal = precio de venta unitario - costo variable unitario</t>
  </si>
  <si>
    <t>Punto de equilibrio en cantidades = Costos fijos / Margen de contribuición unitario</t>
  </si>
  <si>
    <t>Punto de equilibrio en pesos = Cantidades de equilibrio * precio de venta unitario</t>
  </si>
  <si>
    <t>Punto de equilibrio</t>
  </si>
  <si>
    <t>Cantidades de equilibrio</t>
  </si>
  <si>
    <t>Comprobanción punto de equilibrio</t>
  </si>
  <si>
    <t>Ventas</t>
  </si>
  <si>
    <t>Mes 0</t>
  </si>
  <si>
    <t>Semana 1</t>
  </si>
  <si>
    <t>Semana 2</t>
  </si>
  <si>
    <t>Semana 3</t>
  </si>
  <si>
    <t>Semana 4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</si>
  <si>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</si>
  <si>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</si>
  <si>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</si>
  <si>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</si>
  <si>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</si>
  <si>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</si>
  <si>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</si>
  <si>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</si>
  <si>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</si>
  <si>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</si>
  <si>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Mes 11</t>
  </si>
  <si>
    <t>Mes 12</t>
  </si>
  <si>
    <t>Materias primas</t>
  </si>
  <si>
    <t>Mano de obra directa</t>
  </si>
  <si>
    <t>CIF</t>
  </si>
  <si>
    <t>Por las siete semanas</t>
  </si>
  <si>
    <t>MARGEN BRUTO</t>
  </si>
  <si>
    <t xml:space="preserve">COSTOS </t>
  </si>
  <si>
    <t>INGRESOS</t>
  </si>
  <si>
    <t>CONCEPTO</t>
  </si>
  <si>
    <t>INVERSION INICIAL</t>
  </si>
  <si>
    <t>Galpon</t>
  </si>
  <si>
    <t>Elementos</t>
  </si>
  <si>
    <t>FNC para inversionista</t>
  </si>
  <si>
    <t>AMORTIZACIONES</t>
  </si>
  <si>
    <t>DEPRECIACIONES</t>
  </si>
  <si>
    <t>INTERESES</t>
  </si>
  <si>
    <t>Gastos operativos</t>
  </si>
  <si>
    <t>MARGEN OPERATIVO</t>
  </si>
  <si>
    <t>Intereses</t>
  </si>
  <si>
    <t>Impuestos</t>
  </si>
  <si>
    <t xml:space="preserve">MARGEN NETO </t>
  </si>
  <si>
    <t>V.P.N. INGRESOS</t>
  </si>
  <si>
    <t>TIO</t>
  </si>
  <si>
    <t>TIO MENSUAL</t>
  </si>
  <si>
    <t>VPN</t>
  </si>
  <si>
    <t>V.P.N. COSTOS DE PRODUCCIÓN</t>
  </si>
  <si>
    <t>V.P.N. GASTOS</t>
  </si>
  <si>
    <t>VALOR PRESENTE NETO</t>
  </si>
  <si>
    <t>V.P.N. INVERSIÓN INICIAL</t>
  </si>
  <si>
    <t>V.P.N.</t>
  </si>
  <si>
    <t>V.P.N. COSTOS Y GASTOS</t>
  </si>
  <si>
    <t>TIR</t>
  </si>
  <si>
    <t>V.P.N. ACUMULADO</t>
  </si>
  <si>
    <t>Relación Beneficio Costo</t>
  </si>
  <si>
    <t>MARGEN ANTES DE IMPTOS</t>
  </si>
  <si>
    <t>CONSTRUCCIÓN DEL GALPÓN</t>
  </si>
  <si>
    <t>Servicios (2 meses)</t>
  </si>
  <si>
    <t>Depreciaciones (línea recta, 2 meses)</t>
  </si>
  <si>
    <t>Materiales indirectos y Mano de obra indirecta</t>
  </si>
  <si>
    <t>Dosis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</si>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</sst>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\ * #,##0.00_);_(&quot;$&quot;\ * \(#,##0.00\);_(&quot;$&quot;\ * &quot;-&quot;??_);_(@_)"/>
    <numFmt numFmtId="164" formatCode="&quot;$&quot;#,##0;[Red]\-&quot;$&quot;#,##0"/>
    <numFmt numFmtId="165" formatCode="_-* #,##0.00_-;\-* #,##0.00_-;_-* &quot;-&quot;??_-;_-@_-"/>
    <numFmt numFmtId="166" formatCode="_-* #,##0_-;\-* #,##0_-;_-* &quot;-&quot;??_-;_-@_-"/>
    <numFmt numFmtId="167" formatCode="#,##0;[Red]#,##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Trebuchet MS"/>
      <family val="2"/>
    </font>
    <font>
      <sz val="11"/>
      <color theme="1"/>
      <name val="Trebuchet MS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Trebuchet MS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0" xfId="0" applyNumberFormat="1" applyFont="1"/>
    <xf numFmtId="0" fontId="3" fillId="0" borderId="1" xfId="0" applyFont="1" applyBorder="1" applyAlignment="1">
      <alignment horizontal="center"/>
    </xf>
    <xf numFmtId="3" fontId="3" fillId="0" borderId="1" xfId="0" applyNumberFormat="1" applyFont="1" applyBorder="1"/>
    <xf numFmtId="0" fontId="6" fillId="2" borderId="1" xfId="0" applyFont="1" applyFill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/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8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0" fontId="8" fillId="0" borderId="0" xfId="0" applyFont="1" applyAlignment="1">
      <alignment horizontal="left" vertical="center"/>
    </xf>
    <xf numFmtId="3" fontId="8" fillId="0" borderId="0" xfId="0" applyNumberFormat="1" applyFont="1" applyAlignment="1">
      <alignment horizontal="left" vertical="center"/>
    </xf>
    <xf numFmtId="166" fontId="6" fillId="0" borderId="0" xfId="0" applyNumberFormat="1" applyFont="1"/>
    <xf numFmtId="3" fontId="6" fillId="0" borderId="6" xfId="1" applyNumberFormat="1" applyFont="1" applyBorder="1"/>
    <xf numFmtId="3" fontId="5" fillId="0" borderId="1" xfId="0" applyNumberFormat="1" applyFont="1" applyBorder="1" applyAlignment="1">
      <alignment vertical="center" wrapText="1"/>
    </xf>
    <xf numFmtId="37" fontId="4" fillId="0" borderId="1" xfId="2" applyNumberFormat="1" applyFont="1" applyBorder="1" applyAlignment="1">
      <alignment horizontal="right" vertical="center" wrapText="1"/>
    </xf>
    <xf numFmtId="3" fontId="4" fillId="0" borderId="0" xfId="0" applyNumberFormat="1" applyFont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3" fontId="6" fillId="0" borderId="0" xfId="1" applyNumberFormat="1" applyFont="1" applyBorder="1"/>
    <xf numFmtId="0" fontId="3" fillId="0" borderId="1" xfId="0" applyFont="1" applyBorder="1" applyAlignment="1"/>
    <xf numFmtId="3" fontId="3" fillId="0" borderId="1" xfId="0" applyNumberFormat="1" applyFont="1" applyBorder="1" applyAlignment="1"/>
    <xf numFmtId="164" fontId="3" fillId="0" borderId="1" xfId="0" applyNumberFormat="1" applyFont="1" applyBorder="1" applyAlignment="1"/>
    <xf numFmtId="3" fontId="3" fillId="0" borderId="2" xfId="0" applyNumberFormat="1" applyFont="1" applyBorder="1" applyAlignment="1"/>
    <xf numFmtId="3" fontId="6" fillId="0" borderId="6" xfId="0" applyNumberFormat="1" applyFont="1" applyBorder="1" applyAlignment="1"/>
    <xf numFmtId="167" fontId="4" fillId="0" borderId="1" xfId="0" applyNumberFormat="1" applyFont="1" applyBorder="1" applyAlignment="1">
      <alignment horizontal="right" vertical="center" wrapText="1"/>
    </xf>
    <xf numFmtId="3" fontId="6" fillId="3" borderId="6" xfId="1" applyNumberFormat="1" applyFont="1" applyFill="1" applyBorder="1"/>
    <xf numFmtId="3" fontId="4" fillId="3" borderId="1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/>
    <xf numFmtId="0" fontId="6" fillId="0" borderId="1" xfId="0" applyFont="1" applyBorder="1"/>
    <xf numFmtId="3" fontId="6" fillId="0" borderId="1" xfId="0" applyNumberFormat="1" applyFont="1" applyBorder="1"/>
    <xf numFmtId="0" fontId="5" fillId="0" borderId="0" xfId="0" applyFont="1"/>
    <xf numFmtId="3" fontId="5" fillId="0" borderId="0" xfId="0" applyNumberFormat="1" applyFont="1"/>
    <xf numFmtId="0" fontId="4" fillId="0" borderId="0" xfId="0" applyFont="1"/>
    <xf numFmtId="0" fontId="9" fillId="0" borderId="0" xfId="0" applyFont="1"/>
    <xf numFmtId="0" fontId="8" fillId="0" borderId="0" xfId="0" applyFont="1"/>
    <xf numFmtId="0" fontId="7" fillId="0" borderId="0" xfId="0" applyFont="1"/>
    <xf numFmtId="3" fontId="9" fillId="0" borderId="1" xfId="0" applyNumberFormat="1" applyFont="1" applyBorder="1"/>
    <xf numFmtId="3" fontId="9" fillId="4" borderId="1" xfId="0" applyNumberFormat="1" applyFont="1" applyFill="1" applyBorder="1"/>
    <xf numFmtId="3" fontId="5" fillId="0" borderId="1" xfId="0" applyNumberFormat="1" applyFont="1" applyBorder="1"/>
    <xf numFmtId="0" fontId="10" fillId="0" borderId="8" xfId="0" applyFont="1" applyBorder="1" applyAlignment="1">
      <alignment horizontal="center"/>
    </xf>
    <xf numFmtId="0" fontId="7" fillId="0" borderId="10" xfId="0" applyFont="1" applyBorder="1"/>
    <xf numFmtId="0" fontId="7" fillId="0" borderId="11" xfId="0" applyFont="1" applyBorder="1"/>
    <xf numFmtId="3" fontId="7" fillId="0" borderId="11" xfId="0" applyNumberFormat="1" applyFont="1" applyBorder="1"/>
    <xf numFmtId="3" fontId="9" fillId="0" borderId="12" xfId="0" applyNumberFormat="1" applyFont="1" applyBorder="1"/>
    <xf numFmtId="3" fontId="9" fillId="4" borderId="12" xfId="0" applyNumberFormat="1" applyFont="1" applyFill="1" applyBorder="1"/>
    <xf numFmtId="3" fontId="8" fillId="0" borderId="11" xfId="0" applyNumberFormat="1" applyFont="1" applyBorder="1"/>
    <xf numFmtId="3" fontId="4" fillId="0" borderId="1" xfId="0" applyNumberFormat="1" applyFont="1" applyBorder="1"/>
    <xf numFmtId="0" fontId="9" fillId="0" borderId="4" xfId="0" applyFont="1" applyBorder="1"/>
    <xf numFmtId="0" fontId="9" fillId="0" borderId="15" xfId="0" applyFont="1" applyBorder="1"/>
    <xf numFmtId="0" fontId="8" fillId="0" borderId="16" xfId="0" applyFont="1" applyBorder="1"/>
    <xf numFmtId="0" fontId="4" fillId="0" borderId="4" xfId="0" applyFont="1" applyBorder="1"/>
    <xf numFmtId="0" fontId="9" fillId="0" borderId="17" xfId="0" applyFont="1" applyBorder="1"/>
    <xf numFmtId="0" fontId="9" fillId="0" borderId="5" xfId="0" applyFont="1" applyBorder="1"/>
    <xf numFmtId="0" fontId="9" fillId="0" borderId="14" xfId="0" applyFont="1" applyBorder="1"/>
    <xf numFmtId="0" fontId="9" fillId="0" borderId="18" xfId="0" applyFont="1" applyBorder="1"/>
    <xf numFmtId="0" fontId="7" fillId="0" borderId="19" xfId="0" applyFont="1" applyBorder="1"/>
    <xf numFmtId="0" fontId="8" fillId="0" borderId="20" xfId="0" applyFont="1" applyBorder="1"/>
    <xf numFmtId="0" fontId="4" fillId="0" borderId="17" xfId="0" applyFont="1" applyBorder="1"/>
    <xf numFmtId="0" fontId="4" fillId="0" borderId="5" xfId="0" applyFont="1" applyBorder="1"/>
    <xf numFmtId="0" fontId="10" fillId="0" borderId="23" xfId="0" applyFont="1" applyBorder="1" applyAlignment="1">
      <alignment horizontal="center"/>
    </xf>
    <xf numFmtId="3" fontId="7" fillId="0" borderId="8" xfId="0" applyNumberFormat="1" applyFont="1" applyBorder="1"/>
    <xf numFmtId="0" fontId="5" fillId="0" borderId="4" xfId="0" applyFont="1" applyBorder="1"/>
    <xf numFmtId="0" fontId="5" fillId="0" borderId="5" xfId="0" applyFont="1" applyBorder="1"/>
    <xf numFmtId="0" fontId="7" fillId="0" borderId="24" xfId="0" applyFont="1" applyBorder="1"/>
    <xf numFmtId="3" fontId="8" fillId="0" borderId="1" xfId="0" applyNumberFormat="1" applyFont="1" applyBorder="1"/>
    <xf numFmtId="0" fontId="4" fillId="0" borderId="26" xfId="0" applyFont="1" applyBorder="1"/>
    <xf numFmtId="0" fontId="4" fillId="0" borderId="12" xfId="0" applyFont="1" applyBorder="1"/>
    <xf numFmtId="3" fontId="4" fillId="0" borderId="12" xfId="0" applyNumberFormat="1" applyFont="1" applyBorder="1"/>
    <xf numFmtId="0" fontId="5" fillId="0" borderId="26" xfId="0" applyFont="1" applyBorder="1"/>
    <xf numFmtId="0" fontId="5" fillId="0" borderId="12" xfId="0" applyFont="1" applyBorder="1"/>
    <xf numFmtId="3" fontId="5" fillId="0" borderId="12" xfId="0" applyNumberFormat="1" applyFont="1" applyBorder="1"/>
    <xf numFmtId="0" fontId="7" fillId="0" borderId="20" xfId="0" applyFont="1" applyBorder="1"/>
    <xf numFmtId="0" fontId="7" fillId="0" borderId="16" xfId="0" applyFont="1" applyBorder="1"/>
    <xf numFmtId="0" fontId="8" fillId="0" borderId="14" xfId="0" applyFont="1" applyBorder="1"/>
    <xf numFmtId="0" fontId="8" fillId="0" borderId="18" xfId="0" applyFont="1" applyBorder="1"/>
    <xf numFmtId="0" fontId="8" fillId="0" borderId="15" xfId="0" applyFont="1" applyBorder="1"/>
    <xf numFmtId="3" fontId="8" fillId="0" borderId="12" xfId="0" applyNumberFormat="1" applyFont="1" applyBorder="1"/>
    <xf numFmtId="0" fontId="7" fillId="0" borderId="21" xfId="0" applyFont="1" applyBorder="1"/>
    <xf numFmtId="0" fontId="7" fillId="0" borderId="23" xfId="0" applyFont="1" applyBorder="1"/>
    <xf numFmtId="0" fontId="7" fillId="0" borderId="27" xfId="0" applyFont="1" applyBorder="1"/>
    <xf numFmtId="0" fontId="7" fillId="0" borderId="28" xfId="0" applyFont="1" applyBorder="1"/>
    <xf numFmtId="3" fontId="7" fillId="0" borderId="29" xfId="0" applyNumberFormat="1" applyFont="1" applyBorder="1"/>
    <xf numFmtId="0" fontId="5" fillId="0" borderId="17" xfId="0" applyFont="1" applyBorder="1"/>
    <xf numFmtId="0" fontId="4" fillId="0" borderId="14" xfId="0" applyFont="1" applyBorder="1"/>
    <xf numFmtId="0" fontId="5" fillId="0" borderId="18" xfId="0" applyFont="1" applyBorder="1"/>
    <xf numFmtId="0" fontId="5" fillId="0" borderId="15" xfId="0" applyFont="1" applyBorder="1"/>
    <xf numFmtId="0" fontId="7" fillId="0" borderId="22" xfId="0" applyFont="1" applyBorder="1"/>
    <xf numFmtId="0" fontId="10" fillId="0" borderId="0" xfId="0" applyFont="1"/>
    <xf numFmtId="3" fontId="5" fillId="0" borderId="4" xfId="0" applyNumberFormat="1" applyFont="1" applyBorder="1"/>
    <xf numFmtId="3" fontId="8" fillId="0" borderId="3" xfId="0" applyNumberFormat="1" applyFont="1" applyBorder="1"/>
    <xf numFmtId="3" fontId="8" fillId="0" borderId="30" xfId="0" applyNumberFormat="1" applyFont="1" applyBorder="1"/>
    <xf numFmtId="0" fontId="10" fillId="0" borderId="32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3" fontId="7" fillId="0" borderId="32" xfId="0" applyNumberFormat="1" applyFont="1" applyBorder="1"/>
    <xf numFmtId="3" fontId="7" fillId="0" borderId="6" xfId="0" applyNumberFormat="1" applyFont="1" applyBorder="1"/>
    <xf numFmtId="0" fontId="5" fillId="0" borderId="19" xfId="0" applyFont="1" applyBorder="1"/>
    <xf numFmtId="0" fontId="5" fillId="0" borderId="20" xfId="0" applyFont="1" applyBorder="1"/>
    <xf numFmtId="3" fontId="8" fillId="0" borderId="25" xfId="0" applyNumberFormat="1" applyFont="1" applyBorder="1"/>
    <xf numFmtId="0" fontId="7" fillId="0" borderId="26" xfId="0" applyFont="1" applyBorder="1"/>
    <xf numFmtId="0" fontId="7" fillId="0" borderId="12" xfId="0" applyFont="1" applyBorder="1"/>
    <xf numFmtId="3" fontId="7" fillId="0" borderId="12" xfId="0" applyNumberFormat="1" applyFont="1" applyBorder="1"/>
    <xf numFmtId="3" fontId="7" fillId="0" borderId="33" xfId="0" applyNumberFormat="1" applyFont="1" applyBorder="1"/>
    <xf numFmtId="3" fontId="7" fillId="0" borderId="31" xfId="0" applyNumberFormat="1" applyFont="1" applyBorder="1"/>
    <xf numFmtId="0" fontId="10" fillId="0" borderId="7" xfId="0" applyFont="1" applyBorder="1"/>
    <xf numFmtId="0" fontId="11" fillId="0" borderId="8" xfId="0" applyFont="1" applyBorder="1"/>
    <xf numFmtId="3" fontId="10" fillId="0" borderId="8" xfId="0" applyNumberFormat="1" applyFont="1" applyBorder="1"/>
    <xf numFmtId="3" fontId="10" fillId="0" borderId="32" xfId="0" applyNumberFormat="1" applyFont="1" applyBorder="1"/>
    <xf numFmtId="3" fontId="10" fillId="0" borderId="6" xfId="0" applyNumberFormat="1" applyFont="1" applyBorder="1"/>
    <xf numFmtId="3" fontId="7" fillId="0" borderId="23" xfId="0" applyNumberFormat="1" applyFont="1" applyBorder="1"/>
    <xf numFmtId="3" fontId="5" fillId="0" borderId="16" xfId="0" applyNumberFormat="1" applyFont="1" applyBorder="1"/>
    <xf numFmtId="3" fontId="7" fillId="0" borderId="15" xfId="0" applyNumberFormat="1" applyFont="1" applyBorder="1"/>
    <xf numFmtId="3" fontId="10" fillId="0" borderId="23" xfId="0" applyNumberFormat="1" applyFont="1" applyBorder="1"/>
    <xf numFmtId="0" fontId="7" fillId="0" borderId="34" xfId="0" applyFont="1" applyBorder="1"/>
    <xf numFmtId="0" fontId="5" fillId="0" borderId="35" xfId="0" applyFont="1" applyBorder="1"/>
    <xf numFmtId="0" fontId="5" fillId="0" borderId="36" xfId="0" applyFont="1" applyBorder="1"/>
    <xf numFmtId="0" fontId="7" fillId="0" borderId="13" xfId="0" applyFont="1" applyBorder="1"/>
    <xf numFmtId="0" fontId="11" fillId="0" borderId="9" xfId="0" applyFont="1" applyBorder="1"/>
    <xf numFmtId="0" fontId="7" fillId="0" borderId="37" xfId="0" applyFont="1" applyBorder="1"/>
    <xf numFmtId="0" fontId="7" fillId="0" borderId="38" xfId="0" applyFont="1" applyBorder="1"/>
    <xf numFmtId="0" fontId="7" fillId="0" borderId="39" xfId="0" applyFont="1" applyBorder="1"/>
    <xf numFmtId="3" fontId="7" fillId="0" borderId="40" xfId="0" applyNumberFormat="1" applyFont="1" applyBorder="1"/>
    <xf numFmtId="3" fontId="7" fillId="0" borderId="7" xfId="0" applyNumberFormat="1" applyFont="1" applyBorder="1"/>
    <xf numFmtId="3" fontId="7" fillId="0" borderId="41" xfId="0" applyNumberFormat="1" applyFont="1" applyBorder="1"/>
    <xf numFmtId="3" fontId="9" fillId="0" borderId="3" xfId="0" applyNumberFormat="1" applyFont="1" applyBorder="1"/>
    <xf numFmtId="3" fontId="9" fillId="4" borderId="33" xfId="0" applyNumberFormat="1" applyFont="1" applyFill="1" applyBorder="1"/>
    <xf numFmtId="3" fontId="4" fillId="0" borderId="3" xfId="0" applyNumberFormat="1" applyFont="1" applyBorder="1"/>
    <xf numFmtId="3" fontId="9" fillId="4" borderId="3" xfId="0" applyNumberFormat="1" applyFont="1" applyFill="1" applyBorder="1"/>
    <xf numFmtId="3" fontId="9" fillId="0" borderId="33" xfId="0" applyNumberFormat="1" applyFont="1" applyBorder="1"/>
    <xf numFmtId="3" fontId="4" fillId="0" borderId="33" xfId="0" applyNumberFormat="1" applyFont="1" applyBorder="1"/>
    <xf numFmtId="3" fontId="5" fillId="0" borderId="33" xfId="0" applyNumberFormat="1" applyFont="1" applyBorder="1"/>
    <xf numFmtId="3" fontId="8" fillId="0" borderId="33" xfId="0" applyNumberFormat="1" applyFont="1" applyBorder="1"/>
    <xf numFmtId="3" fontId="7" fillId="0" borderId="42" xfId="0" applyNumberFormat="1" applyFont="1" applyBorder="1"/>
    <xf numFmtId="3" fontId="5" fillId="0" borderId="3" xfId="0" applyNumberFormat="1" applyFont="1" applyBorder="1"/>
    <xf numFmtId="3" fontId="7" fillId="0" borderId="25" xfId="0" applyNumberFormat="1" applyFont="1" applyBorder="1"/>
    <xf numFmtId="3" fontId="9" fillId="0" borderId="30" xfId="0" applyNumberFormat="1" applyFont="1" applyBorder="1"/>
    <xf numFmtId="3" fontId="9" fillId="0" borderId="31" xfId="0" applyNumberFormat="1" applyFont="1" applyBorder="1"/>
    <xf numFmtId="3" fontId="4" fillId="0" borderId="30" xfId="0" applyNumberFormat="1" applyFont="1" applyBorder="1"/>
    <xf numFmtId="3" fontId="4" fillId="0" borderId="31" xfId="0" applyNumberFormat="1" applyFont="1" applyBorder="1"/>
    <xf numFmtId="3" fontId="4" fillId="0" borderId="25" xfId="0" applyNumberFormat="1" applyFont="1" applyBorder="1"/>
    <xf numFmtId="3" fontId="4" fillId="0" borderId="43" xfId="0" applyNumberFormat="1" applyFont="1" applyBorder="1"/>
    <xf numFmtId="3" fontId="12" fillId="3" borderId="0" xfId="0" applyNumberFormat="1" applyFont="1" applyFill="1" applyAlignment="1">
      <alignment horizontal="center"/>
    </xf>
    <xf numFmtId="10" fontId="12" fillId="3" borderId="0" xfId="0" applyNumberFormat="1" applyFont="1" applyFill="1"/>
    <xf numFmtId="3" fontId="5" fillId="3" borderId="0" xfId="0" applyNumberFormat="1" applyFont="1" applyFill="1"/>
    <xf numFmtId="10" fontId="10" fillId="3" borderId="0" xfId="0" applyNumberFormat="1" applyFont="1" applyFill="1" applyAlignment="1">
      <alignment horizontal="center"/>
    </xf>
    <xf numFmtId="3" fontId="10" fillId="3" borderId="3" xfId="0" applyNumberFormat="1" applyFont="1" applyFill="1" applyBorder="1" applyAlignment="1">
      <alignment horizontal="center"/>
    </xf>
    <xf numFmtId="3" fontId="10" fillId="3" borderId="6" xfId="0" applyNumberFormat="1" applyFont="1" applyFill="1" applyBorder="1"/>
    <xf numFmtId="10" fontId="10" fillId="3" borderId="6" xfId="0" applyNumberFormat="1" applyFont="1" applyFill="1" applyBorder="1" applyAlignment="1">
      <alignment horizontal="center"/>
    </xf>
    <xf numFmtId="3" fontId="10" fillId="3" borderId="3" xfId="0" applyNumberFormat="1" applyFont="1" applyFill="1" applyBorder="1"/>
    <xf numFmtId="3" fontId="4" fillId="3" borderId="5" xfId="0" applyNumberFormat="1" applyFont="1" applyFill="1" applyBorder="1"/>
    <xf numFmtId="0" fontId="4" fillId="3" borderId="4" xfId="0" applyFont="1" applyFill="1" applyBorder="1"/>
    <xf numFmtId="4" fontId="10" fillId="3" borderId="34" xfId="0" applyNumberFormat="1" applyFont="1" applyFill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3" fontId="10" fillId="3" borderId="5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4" fillId="0" borderId="4" xfId="0" applyFont="1" applyBorder="1" applyAlignment="1">
      <alignment horizontal="right" vertical="center" wrapText="1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3" fontId="10" fillId="3" borderId="0" xfId="0" applyNumberFormat="1" applyFont="1" applyFill="1" applyAlignment="1">
      <alignment horizontal="center"/>
    </xf>
    <xf numFmtId="3" fontId="10" fillId="3" borderId="21" xfId="0" applyNumberFormat="1" applyFont="1" applyFill="1" applyBorder="1" applyAlignment="1">
      <alignment horizontal="center"/>
    </xf>
    <xf numFmtId="3" fontId="10" fillId="3" borderId="34" xfId="0" applyNumberFormat="1" applyFont="1" applyFill="1" applyBorder="1" applyAlignment="1">
      <alignment horizontal="center"/>
    </xf>
    <xf numFmtId="10" fontId="12" fillId="3" borderId="0" xfId="0" applyNumberFormat="1" applyFont="1" applyFill="1" applyAlignment="1">
      <alignment horizontal="center"/>
    </xf>
    <xf numFmtId="10" fontId="10" fillId="3" borderId="0" xfId="0" applyNumberFormat="1" applyFont="1" applyFill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224117</xdr:colOff>
      <xdr:row>38</xdr:row>
      <xdr:rowOff>78441</xdr:rowOff>
    </xdr:from>
    <xdr:to>
      <xdr:col>6</xdr:col>
      <xdr:colOff>235323</xdr:colOff>
      <xdr:row>38</xdr:row>
      <xdr:rowOff>246530</xdr:rowOff>
    </xdr:to>
    <xdr:sp macro="" textlink="">
      <xdr:nvSpPr>
        <xdr:cNvPr id="2" name="1 Flecha derecha"/>
        <xdr:cNvSpPr/>
      </xdr:nvSpPr>
      <xdr:spPr>
        <a:xfrm>
          <a:off x="4740088" y="7003676"/>
          <a:ext cx="997323" cy="16808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224117</xdr:colOff>
      <xdr:row>38</xdr:row>
      <xdr:rowOff>78441</xdr:rowOff>
    </xdr:from>
    <xdr:to>
      <xdr:col>6</xdr:col>
      <xdr:colOff>235323</xdr:colOff>
      <xdr:row>38</xdr:row>
      <xdr:rowOff>246530</xdr:rowOff>
    </xdr:to>
    <xdr:sp macro="" textlink="">
      <xdr:nvSpPr>
        <xdr:cNvPr id="2" name="1 Flecha derecha"/>
        <xdr:cNvSpPr/>
      </xdr:nvSpPr>
      <xdr:spPr>
        <a:xfrm>
          <a:off x="4405592" y="7060266"/>
          <a:ext cx="992281" cy="16808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87"/>
  <sheetViews>
    <sheetView showGridLines="0" topLeftCell="A81" workbookViewId="0">
      <selection activeCell="D93" sqref="D93"/>
    </sheetView>
  </sheetViews>
  <sheetFormatPr baseColWidth="10" defaultRowHeight="16.5" x14ac:dyDescent="0.3"/>
  <cols>
    <col min="1" max="1" width="11.42578125" style="2"/>
    <col min="2" max="2" width="11.5703125" style="2" bestFit="1" customWidth="1"/>
    <col min="3" max="3" width="11.85546875" style="2" bestFit="1" customWidth="1"/>
    <col min="4" max="4" width="31.140625" style="2" customWidth="1"/>
    <col min="5" max="5" width="15.5703125" style="2" customWidth="1"/>
    <col min="6" max="6" width="16.5703125" style="2" customWidth="1"/>
    <col min="7" max="16384" width="11.42578125" style="2"/>
  </cols>
  <sheetData>
    <row r="3" spans="2:6" x14ac:dyDescent="0.3">
      <c r="B3" s="2" t="s">
        <v>155</v>
      </c>
    </row>
    <row r="4" spans="2:6" x14ac:dyDescent="0.3">
      <c r="B4" s="173" t="s">
        <v>6</v>
      </c>
      <c r="C4" s="173" t="s">
        <v>5</v>
      </c>
      <c r="D4" s="173" t="s">
        <v>7</v>
      </c>
      <c r="E4" s="173" t="s">
        <v>2</v>
      </c>
      <c r="F4" s="173" t="s">
        <v>8</v>
      </c>
    </row>
    <row r="5" spans="2:6" x14ac:dyDescent="0.3">
      <c r="B5" s="173"/>
      <c r="C5" s="173"/>
      <c r="D5" s="173"/>
      <c r="E5" s="173"/>
      <c r="F5" s="173"/>
    </row>
    <row r="6" spans="2:6" x14ac:dyDescent="0.3">
      <c r="B6" s="5">
        <v>116.45</v>
      </c>
      <c r="C6" s="3" t="s">
        <v>9</v>
      </c>
      <c r="D6" s="3" t="s">
        <v>10</v>
      </c>
      <c r="E6" s="6">
        <v>20000</v>
      </c>
      <c r="F6" s="6">
        <f>B6*E6</f>
        <v>2329000</v>
      </c>
    </row>
    <row r="7" spans="2:6" x14ac:dyDescent="0.3">
      <c r="B7" s="5">
        <v>1</v>
      </c>
      <c r="C7" s="3" t="s">
        <v>11</v>
      </c>
      <c r="D7" s="3" t="s">
        <v>0</v>
      </c>
      <c r="E7" s="6">
        <v>1119100</v>
      </c>
      <c r="F7" s="6">
        <f t="shared" ref="F7:F18" si="0">B7*E7</f>
        <v>1119100</v>
      </c>
    </row>
    <row r="8" spans="2:6" x14ac:dyDescent="0.3">
      <c r="B8" s="5">
        <v>8</v>
      </c>
      <c r="C8" s="3" t="s">
        <v>3</v>
      </c>
      <c r="D8" s="3" t="s">
        <v>12</v>
      </c>
      <c r="E8" s="6">
        <v>100000</v>
      </c>
      <c r="F8" s="6">
        <f t="shared" si="0"/>
        <v>800000</v>
      </c>
    </row>
    <row r="9" spans="2:6" x14ac:dyDescent="0.3">
      <c r="B9" s="5">
        <v>19</v>
      </c>
      <c r="C9" s="3" t="s">
        <v>3</v>
      </c>
      <c r="D9" s="3" t="s">
        <v>13</v>
      </c>
      <c r="E9" s="6">
        <v>34800</v>
      </c>
      <c r="F9" s="6">
        <f t="shared" si="0"/>
        <v>661200</v>
      </c>
    </row>
    <row r="10" spans="2:6" x14ac:dyDescent="0.3">
      <c r="B10" s="5">
        <v>19</v>
      </c>
      <c r="C10" s="3" t="s">
        <v>11</v>
      </c>
      <c r="D10" s="3" t="s">
        <v>14</v>
      </c>
      <c r="E10" s="6">
        <v>10000</v>
      </c>
      <c r="F10" s="6">
        <f t="shared" si="0"/>
        <v>190000</v>
      </c>
    </row>
    <row r="11" spans="2:6" x14ac:dyDescent="0.3">
      <c r="B11" s="5">
        <v>73</v>
      </c>
      <c r="C11" s="3" t="s">
        <v>3</v>
      </c>
      <c r="D11" s="3" t="s">
        <v>15</v>
      </c>
      <c r="E11" s="6">
        <v>14000</v>
      </c>
      <c r="F11" s="6">
        <f t="shared" si="0"/>
        <v>1022000</v>
      </c>
    </row>
    <row r="12" spans="2:6" x14ac:dyDescent="0.3">
      <c r="B12" s="5">
        <v>438</v>
      </c>
      <c r="C12" s="3" t="s">
        <v>3</v>
      </c>
      <c r="D12" s="3" t="s">
        <v>16</v>
      </c>
      <c r="E12" s="3">
        <v>70</v>
      </c>
      <c r="F12" s="6">
        <f t="shared" si="0"/>
        <v>30660</v>
      </c>
    </row>
    <row r="13" spans="2:6" x14ac:dyDescent="0.3">
      <c r="B13" s="5">
        <v>1</v>
      </c>
      <c r="C13" s="3" t="s">
        <v>3</v>
      </c>
      <c r="D13" s="3" t="s">
        <v>17</v>
      </c>
      <c r="E13" s="6">
        <v>750000</v>
      </c>
      <c r="F13" s="6">
        <f t="shared" si="0"/>
        <v>750000</v>
      </c>
    </row>
    <row r="14" spans="2:6" x14ac:dyDescent="0.3">
      <c r="B14" s="5">
        <v>1</v>
      </c>
      <c r="C14" s="3" t="s">
        <v>3</v>
      </c>
      <c r="D14" s="3" t="s">
        <v>18</v>
      </c>
      <c r="E14" s="6">
        <v>220000</v>
      </c>
      <c r="F14" s="6">
        <f t="shared" si="0"/>
        <v>220000</v>
      </c>
    </row>
    <row r="15" spans="2:6" x14ac:dyDescent="0.3">
      <c r="B15" s="5">
        <v>50</v>
      </c>
      <c r="C15" s="3" t="s">
        <v>11</v>
      </c>
      <c r="D15" s="3" t="s">
        <v>19</v>
      </c>
      <c r="E15" s="6">
        <v>1990</v>
      </c>
      <c r="F15" s="6">
        <f t="shared" si="0"/>
        <v>99500</v>
      </c>
    </row>
    <row r="16" spans="2:6" x14ac:dyDescent="0.3">
      <c r="B16" s="5">
        <v>1</v>
      </c>
      <c r="C16" s="3" t="s">
        <v>3</v>
      </c>
      <c r="D16" s="3" t="s">
        <v>20</v>
      </c>
      <c r="E16" s="6">
        <v>229000</v>
      </c>
      <c r="F16" s="6">
        <f t="shared" si="0"/>
        <v>229000</v>
      </c>
    </row>
    <row r="17" spans="2:6" x14ac:dyDescent="0.3">
      <c r="B17" s="5">
        <v>1</v>
      </c>
      <c r="C17" s="3" t="s">
        <v>21</v>
      </c>
      <c r="D17" s="3" t="s">
        <v>22</v>
      </c>
      <c r="E17" s="6">
        <v>150000</v>
      </c>
      <c r="F17" s="6">
        <f t="shared" si="0"/>
        <v>150000</v>
      </c>
    </row>
    <row r="18" spans="2:6" ht="17.25" thickBot="1" x14ac:dyDescent="0.35">
      <c r="B18" s="5">
        <v>1</v>
      </c>
      <c r="C18" s="3" t="s">
        <v>21</v>
      </c>
      <c r="D18" s="3" t="s">
        <v>23</v>
      </c>
      <c r="E18" s="6">
        <v>80000</v>
      </c>
      <c r="F18" s="6">
        <f t="shared" si="0"/>
        <v>80000</v>
      </c>
    </row>
    <row r="19" spans="2:6" ht="17.25" thickBot="1" x14ac:dyDescent="0.35">
      <c r="E19" s="28" t="s">
        <v>24</v>
      </c>
      <c r="F19" s="29">
        <f>SUM(F6:F18)</f>
        <v>7680460</v>
      </c>
    </row>
    <row r="20" spans="2:6" x14ac:dyDescent="0.3">
      <c r="F20" s="4"/>
    </row>
    <row r="22" spans="2:6" x14ac:dyDescent="0.3">
      <c r="B22" s="1" t="s">
        <v>34</v>
      </c>
    </row>
    <row r="24" spans="2:6" x14ac:dyDescent="0.3">
      <c r="C24" s="7" t="s">
        <v>1</v>
      </c>
      <c r="D24" s="7" t="s">
        <v>74</v>
      </c>
      <c r="E24" s="7" t="s">
        <v>2</v>
      </c>
      <c r="F24" s="7" t="s">
        <v>25</v>
      </c>
    </row>
    <row r="25" spans="2:6" x14ac:dyDescent="0.3">
      <c r="C25" s="5">
        <v>10</v>
      </c>
      <c r="D25" s="3" t="s">
        <v>26</v>
      </c>
      <c r="E25" s="6">
        <v>11000</v>
      </c>
      <c r="F25" s="6">
        <f>C25*E25</f>
        <v>110000</v>
      </c>
    </row>
    <row r="26" spans="2:6" x14ac:dyDescent="0.3">
      <c r="C26" s="5">
        <v>10</v>
      </c>
      <c r="D26" s="3" t="s">
        <v>27</v>
      </c>
      <c r="E26" s="6">
        <v>19500</v>
      </c>
      <c r="F26" s="6">
        <f t="shared" ref="F26:F32" si="1">C26*E26</f>
        <v>195000</v>
      </c>
    </row>
    <row r="27" spans="2:6" x14ac:dyDescent="0.3">
      <c r="C27" s="5">
        <v>1</v>
      </c>
      <c r="D27" s="3" t="s">
        <v>28</v>
      </c>
      <c r="E27" s="6">
        <v>150000</v>
      </c>
      <c r="F27" s="6">
        <f t="shared" si="1"/>
        <v>150000</v>
      </c>
    </row>
    <row r="28" spans="2:6" x14ac:dyDescent="0.3">
      <c r="C28" s="5">
        <v>1</v>
      </c>
      <c r="D28" s="3" t="s">
        <v>29</v>
      </c>
      <c r="E28" s="6">
        <v>100000</v>
      </c>
      <c r="F28" s="6">
        <f t="shared" si="1"/>
        <v>100000</v>
      </c>
    </row>
    <row r="29" spans="2:6" x14ac:dyDescent="0.3">
      <c r="C29" s="5">
        <v>1</v>
      </c>
      <c r="D29" s="3" t="s">
        <v>30</v>
      </c>
      <c r="E29" s="6">
        <v>35000</v>
      </c>
      <c r="F29" s="6">
        <f t="shared" si="1"/>
        <v>35000</v>
      </c>
    </row>
    <row r="30" spans="2:6" x14ac:dyDescent="0.3">
      <c r="C30" s="5">
        <v>1</v>
      </c>
      <c r="D30" s="3" t="s">
        <v>31</v>
      </c>
      <c r="E30" s="6">
        <v>25000</v>
      </c>
      <c r="F30" s="6">
        <f t="shared" si="1"/>
        <v>25000</v>
      </c>
    </row>
    <row r="31" spans="2:6" x14ac:dyDescent="0.3">
      <c r="C31" s="5">
        <v>1</v>
      </c>
      <c r="D31" s="3" t="s">
        <v>32</v>
      </c>
      <c r="E31" s="6">
        <v>60000</v>
      </c>
      <c r="F31" s="6">
        <f t="shared" si="1"/>
        <v>60000</v>
      </c>
    </row>
    <row r="32" spans="2:6" ht="17.25" thickBot="1" x14ac:dyDescent="0.35">
      <c r="C32" s="5">
        <v>1</v>
      </c>
      <c r="D32" s="3" t="s">
        <v>33</v>
      </c>
      <c r="E32" s="6">
        <v>300000</v>
      </c>
      <c r="F32" s="6">
        <f t="shared" si="1"/>
        <v>300000</v>
      </c>
    </row>
    <row r="33" spans="2:6" ht="17.25" thickBot="1" x14ac:dyDescent="0.35">
      <c r="E33" s="28" t="s">
        <v>24</v>
      </c>
      <c r="F33" s="29">
        <f>SUM(F25:F32)</f>
        <v>975000</v>
      </c>
    </row>
    <row r="35" spans="2:6" x14ac:dyDescent="0.3">
      <c r="B35" s="1" t="s">
        <v>81</v>
      </c>
    </row>
    <row r="37" spans="2:6" x14ac:dyDescent="0.3">
      <c r="C37" s="13" t="s">
        <v>1</v>
      </c>
      <c r="D37" s="15" t="s">
        <v>74</v>
      </c>
      <c r="E37" s="13" t="s">
        <v>2</v>
      </c>
      <c r="F37" s="13" t="s">
        <v>25</v>
      </c>
    </row>
    <row r="38" spans="2:6" x14ac:dyDescent="0.3">
      <c r="C38" s="8">
        <v>1000</v>
      </c>
      <c r="D38" s="9" t="s">
        <v>73</v>
      </c>
      <c r="E38" s="10">
        <v>1000</v>
      </c>
      <c r="F38" s="6">
        <f t="shared" ref="F38" si="2">C38*E38</f>
        <v>1000000</v>
      </c>
    </row>
    <row r="39" spans="2:6" x14ac:dyDescent="0.3">
      <c r="C39" s="11">
        <v>40</v>
      </c>
      <c r="D39" s="12" t="s">
        <v>35</v>
      </c>
      <c r="E39" s="10">
        <v>51000</v>
      </c>
      <c r="F39" s="6">
        <f t="shared" ref="F39:F40" si="3">C39*E39</f>
        <v>2040000</v>
      </c>
    </row>
    <row r="40" spans="2:6" x14ac:dyDescent="0.3">
      <c r="C40" s="11">
        <v>60</v>
      </c>
      <c r="D40" s="12" t="s">
        <v>36</v>
      </c>
      <c r="E40" s="10">
        <v>50000</v>
      </c>
      <c r="F40" s="6">
        <f t="shared" si="3"/>
        <v>3000000</v>
      </c>
    </row>
    <row r="41" spans="2:6" ht="16.5" customHeight="1" x14ac:dyDescent="0.3">
      <c r="C41" s="11">
        <v>2</v>
      </c>
      <c r="D41" s="12" t="s">
        <v>37</v>
      </c>
      <c r="E41" s="10">
        <v>17000</v>
      </c>
      <c r="F41" s="10">
        <v>34000</v>
      </c>
    </row>
    <row r="42" spans="2:6" ht="16.5" customHeight="1" thickBot="1" x14ac:dyDescent="0.35">
      <c r="C42" s="11">
        <v>2</v>
      </c>
      <c r="D42" s="12" t="s">
        <v>38</v>
      </c>
      <c r="E42" s="10">
        <v>6500</v>
      </c>
      <c r="F42" s="10">
        <v>13000</v>
      </c>
    </row>
    <row r="43" spans="2:6" ht="17.25" thickBot="1" x14ac:dyDescent="0.35">
      <c r="E43" s="28" t="s">
        <v>24</v>
      </c>
      <c r="F43" s="43">
        <f>SUM(F38:F42)</f>
        <v>6087000</v>
      </c>
    </row>
    <row r="45" spans="2:6" x14ac:dyDescent="0.3">
      <c r="B45" s="16" t="s">
        <v>80</v>
      </c>
    </row>
    <row r="47" spans="2:6" ht="16.5" customHeight="1" x14ac:dyDescent="0.3">
      <c r="C47" s="19" t="s">
        <v>83</v>
      </c>
      <c r="D47" s="19" t="s">
        <v>74</v>
      </c>
      <c r="E47" s="19" t="s">
        <v>82</v>
      </c>
      <c r="F47" s="19" t="s">
        <v>24</v>
      </c>
    </row>
    <row r="48" spans="2:6" x14ac:dyDescent="0.3">
      <c r="C48" s="5">
        <v>2</v>
      </c>
      <c r="D48" s="12" t="s">
        <v>76</v>
      </c>
      <c r="E48" s="10">
        <v>616000</v>
      </c>
      <c r="F48" s="6">
        <f>C48*E48</f>
        <v>1232000</v>
      </c>
    </row>
    <row r="49" spans="2:6" x14ac:dyDescent="0.3">
      <c r="C49" s="5">
        <v>2</v>
      </c>
      <c r="D49" s="12" t="s">
        <v>77</v>
      </c>
      <c r="E49" s="10">
        <v>72000</v>
      </c>
      <c r="F49" s="6">
        <f t="shared" ref="F49:F53" si="4">C49*E49</f>
        <v>144000</v>
      </c>
    </row>
    <row r="50" spans="2:6" x14ac:dyDescent="0.3">
      <c r="C50" s="5">
        <v>2</v>
      </c>
      <c r="D50" s="12" t="s">
        <v>58</v>
      </c>
      <c r="E50" s="10">
        <f>E48*(0.085+0.12+0.01044)</f>
        <v>132711.04000000001</v>
      </c>
      <c r="F50" s="6">
        <f t="shared" si="4"/>
        <v>265422.08000000002</v>
      </c>
    </row>
    <row r="51" spans="2:6" x14ac:dyDescent="0.3">
      <c r="C51" s="5">
        <v>2</v>
      </c>
      <c r="D51" s="12" t="s">
        <v>57</v>
      </c>
      <c r="E51" s="10">
        <f>E48*0.09</f>
        <v>55440</v>
      </c>
      <c r="F51" s="6">
        <f>C51*E51</f>
        <v>110880</v>
      </c>
    </row>
    <row r="52" spans="2:6" x14ac:dyDescent="0.3">
      <c r="C52" s="5">
        <v>2</v>
      </c>
      <c r="D52" s="12" t="s">
        <v>78</v>
      </c>
      <c r="E52" s="10">
        <f>(E48+E49)*2.01/12</f>
        <v>115239.99999999999</v>
      </c>
      <c r="F52" s="6">
        <f t="shared" si="4"/>
        <v>230479.99999999997</v>
      </c>
    </row>
    <row r="53" spans="2:6" x14ac:dyDescent="0.3">
      <c r="C53" s="5">
        <v>2</v>
      </c>
      <c r="D53" s="12" t="s">
        <v>79</v>
      </c>
      <c r="E53" s="10">
        <f>E48/24</f>
        <v>25666.666666666668</v>
      </c>
      <c r="F53" s="6">
        <f t="shared" si="4"/>
        <v>51333.333333333336</v>
      </c>
    </row>
    <row r="54" spans="2:6" x14ac:dyDescent="0.3">
      <c r="D54" s="28" t="s">
        <v>24</v>
      </c>
      <c r="E54" s="18">
        <f>SUM(E48:E53)</f>
        <v>1017057.7066666667</v>
      </c>
      <c r="F54" s="44">
        <f>SUM(F48:F53)</f>
        <v>2034115.4133333333</v>
      </c>
    </row>
    <row r="55" spans="2:6" x14ac:dyDescent="0.3">
      <c r="D55" s="28"/>
      <c r="E55" s="32"/>
    </row>
    <row r="57" spans="2:6" x14ac:dyDescent="0.3">
      <c r="B57" s="16" t="s">
        <v>158</v>
      </c>
    </row>
    <row r="58" spans="2:6" ht="30" x14ac:dyDescent="0.3">
      <c r="B58" s="13" t="s">
        <v>1</v>
      </c>
      <c r="C58" s="13" t="s">
        <v>5</v>
      </c>
      <c r="D58" s="13" t="s">
        <v>39</v>
      </c>
      <c r="E58" s="13" t="s">
        <v>2</v>
      </c>
      <c r="F58" s="13" t="s">
        <v>25</v>
      </c>
    </row>
    <row r="59" spans="2:6" x14ac:dyDescent="0.3">
      <c r="B59" s="8">
        <v>5300</v>
      </c>
      <c r="C59" s="11" t="s">
        <v>41</v>
      </c>
      <c r="D59" s="12" t="s">
        <v>40</v>
      </c>
      <c r="E59" s="14">
        <v>16</v>
      </c>
      <c r="F59" s="10">
        <f>B59*E59</f>
        <v>84800</v>
      </c>
    </row>
    <row r="60" spans="2:6" x14ac:dyDescent="0.3">
      <c r="B60" s="11">
        <v>0.5</v>
      </c>
      <c r="C60" s="11" t="s">
        <v>43</v>
      </c>
      <c r="D60" s="12" t="s">
        <v>42</v>
      </c>
      <c r="E60" s="10">
        <v>12500</v>
      </c>
      <c r="F60" s="10">
        <f t="shared" ref="F60:F66" si="5">B60*E60</f>
        <v>6250</v>
      </c>
    </row>
    <row r="61" spans="2:6" x14ac:dyDescent="0.3">
      <c r="B61" s="11">
        <v>250</v>
      </c>
      <c r="C61" s="11" t="s">
        <v>41</v>
      </c>
      <c r="D61" s="12" t="s">
        <v>44</v>
      </c>
      <c r="E61" s="14">
        <v>6</v>
      </c>
      <c r="F61" s="10">
        <f t="shared" si="5"/>
        <v>1500</v>
      </c>
    </row>
    <row r="62" spans="2:6" x14ac:dyDescent="0.3">
      <c r="B62" s="11">
        <v>40</v>
      </c>
      <c r="C62" s="11" t="s">
        <v>46</v>
      </c>
      <c r="D62" s="12" t="s">
        <v>45</v>
      </c>
      <c r="E62" s="14">
        <v>43</v>
      </c>
      <c r="F62" s="10">
        <f t="shared" si="5"/>
        <v>1720</v>
      </c>
    </row>
    <row r="63" spans="2:6" x14ac:dyDescent="0.3">
      <c r="B63" s="11">
        <v>1</v>
      </c>
      <c r="C63" s="11" t="s">
        <v>21</v>
      </c>
      <c r="D63" s="12" t="s">
        <v>47</v>
      </c>
      <c r="E63" s="10">
        <v>12000</v>
      </c>
      <c r="F63" s="10">
        <f t="shared" si="5"/>
        <v>12000</v>
      </c>
    </row>
    <row r="64" spans="2:6" x14ac:dyDescent="0.3">
      <c r="B64" s="11">
        <v>1</v>
      </c>
      <c r="C64" s="11" t="s">
        <v>49</v>
      </c>
      <c r="D64" s="12" t="s">
        <v>48</v>
      </c>
      <c r="E64" s="10">
        <v>80000</v>
      </c>
      <c r="F64" s="10">
        <f t="shared" si="5"/>
        <v>80000</v>
      </c>
    </row>
    <row r="65" spans="2:6" x14ac:dyDescent="0.3">
      <c r="B65" s="11">
        <v>50</v>
      </c>
      <c r="C65" s="11" t="s">
        <v>3</v>
      </c>
      <c r="D65" s="12" t="s">
        <v>50</v>
      </c>
      <c r="E65" s="10">
        <v>1900</v>
      </c>
      <c r="F65" s="10">
        <f t="shared" si="5"/>
        <v>95000</v>
      </c>
    </row>
    <row r="66" spans="2:6" ht="17.25" thickBot="1" x14ac:dyDescent="0.35">
      <c r="B66" s="11">
        <v>1</v>
      </c>
      <c r="C66" s="11" t="s">
        <v>84</v>
      </c>
      <c r="D66" s="12" t="s">
        <v>72</v>
      </c>
      <c r="E66" s="10">
        <v>200000</v>
      </c>
      <c r="F66" s="10">
        <f t="shared" si="5"/>
        <v>200000</v>
      </c>
    </row>
    <row r="67" spans="2:6" ht="17.25" thickBot="1" x14ac:dyDescent="0.35">
      <c r="C67" s="35"/>
      <c r="E67" s="28" t="s">
        <v>24</v>
      </c>
      <c r="F67" s="29">
        <f>SUM(F59:F66)</f>
        <v>481270</v>
      </c>
    </row>
    <row r="68" spans="2:6" x14ac:dyDescent="0.3">
      <c r="C68" s="35"/>
      <c r="E68" s="28"/>
      <c r="F68" s="36"/>
    </row>
    <row r="69" spans="2:6" x14ac:dyDescent="0.3">
      <c r="B69" s="16" t="s">
        <v>156</v>
      </c>
      <c r="C69" s="35"/>
      <c r="E69" s="28"/>
      <c r="F69" s="36"/>
    </row>
    <row r="70" spans="2:6" x14ac:dyDescent="0.3">
      <c r="C70" s="13" t="s">
        <v>1</v>
      </c>
      <c r="D70" s="13" t="s">
        <v>74</v>
      </c>
      <c r="E70" s="13" t="s">
        <v>2</v>
      </c>
      <c r="F70" s="13" t="s">
        <v>25</v>
      </c>
    </row>
    <row r="71" spans="2:6" x14ac:dyDescent="0.3">
      <c r="C71" s="11">
        <v>2</v>
      </c>
      <c r="D71" s="12" t="s">
        <v>88</v>
      </c>
      <c r="E71" s="10">
        <v>30000</v>
      </c>
      <c r="F71" s="10">
        <f>C71*E71</f>
        <v>60000</v>
      </c>
    </row>
    <row r="72" spans="2:6" ht="17.25" thickBot="1" x14ac:dyDescent="0.35">
      <c r="C72" s="11">
        <v>2</v>
      </c>
      <c r="D72" s="12" t="s">
        <v>87</v>
      </c>
      <c r="E72" s="10">
        <v>25500</v>
      </c>
      <c r="F72" s="10">
        <f>C72*E72</f>
        <v>51000</v>
      </c>
    </row>
    <row r="73" spans="2:6" ht="17.25" thickBot="1" x14ac:dyDescent="0.35">
      <c r="B73" s="33"/>
      <c r="C73" s="33"/>
      <c r="D73" s="34"/>
      <c r="E73" s="28" t="s">
        <v>24</v>
      </c>
      <c r="F73" s="29">
        <f>SUM(F71:F72)</f>
        <v>111000</v>
      </c>
    </row>
    <row r="75" spans="2:6" x14ac:dyDescent="0.3">
      <c r="B75" s="16" t="s">
        <v>157</v>
      </c>
    </row>
    <row r="76" spans="2:6" ht="30" x14ac:dyDescent="0.3">
      <c r="C76" s="13" t="s">
        <v>52</v>
      </c>
      <c r="D76" s="13" t="s">
        <v>51</v>
      </c>
      <c r="E76" s="13" t="s">
        <v>75</v>
      </c>
      <c r="F76" s="13" t="s">
        <v>25</v>
      </c>
    </row>
    <row r="77" spans="2:6" x14ac:dyDescent="0.3">
      <c r="C77" s="11" t="s">
        <v>54</v>
      </c>
      <c r="D77" s="12" t="s">
        <v>53</v>
      </c>
      <c r="E77" s="30">
        <f>F19</f>
        <v>7680460</v>
      </c>
      <c r="F77" s="10">
        <f>E77/240*2</f>
        <v>64003.833333333336</v>
      </c>
    </row>
    <row r="78" spans="2:6" ht="17.25" thickBot="1" x14ac:dyDescent="0.35">
      <c r="C78" s="11" t="s">
        <v>56</v>
      </c>
      <c r="D78" s="12" t="s">
        <v>55</v>
      </c>
      <c r="E78" s="30">
        <f>F33</f>
        <v>975000</v>
      </c>
      <c r="F78" s="10">
        <f>E78/60*2</f>
        <v>32500</v>
      </c>
    </row>
    <row r="79" spans="2:6" ht="17.25" customHeight="1" thickBot="1" x14ac:dyDescent="0.35">
      <c r="E79" s="28" t="s">
        <v>24</v>
      </c>
      <c r="F79" s="43">
        <f>SUM(F67:F78)</f>
        <v>799773.83333333337</v>
      </c>
    </row>
    <row r="81" spans="2:5" x14ac:dyDescent="0.3">
      <c r="B81" s="16" t="s">
        <v>59</v>
      </c>
    </row>
    <row r="82" spans="2:5" x14ac:dyDescent="0.3">
      <c r="D82" s="2" t="s">
        <v>124</v>
      </c>
    </row>
    <row r="83" spans="2:5" x14ac:dyDescent="0.3">
      <c r="D83" s="13" t="s">
        <v>60</v>
      </c>
      <c r="E83" s="13" t="s">
        <v>61</v>
      </c>
    </row>
    <row r="84" spans="2:5" x14ac:dyDescent="0.3">
      <c r="D84" s="12" t="s">
        <v>62</v>
      </c>
      <c r="E84" s="10">
        <f>F43</f>
        <v>6087000</v>
      </c>
    </row>
    <row r="85" spans="2:5" x14ac:dyDescent="0.3">
      <c r="D85" s="12" t="s">
        <v>64</v>
      </c>
      <c r="E85" s="10">
        <f>F54</f>
        <v>2034115.4133333333</v>
      </c>
    </row>
    <row r="86" spans="2:5" ht="18.75" customHeight="1" x14ac:dyDescent="0.3">
      <c r="D86" s="12" t="s">
        <v>63</v>
      </c>
      <c r="E86" s="10">
        <f>F67+F79+F73</f>
        <v>1392043.8333333335</v>
      </c>
    </row>
    <row r="87" spans="2:5" x14ac:dyDescent="0.3">
      <c r="D87" s="17" t="s">
        <v>24</v>
      </c>
      <c r="E87" s="18">
        <f>SUM(E82:E86)</f>
        <v>9513159.2466666661</v>
      </c>
    </row>
  </sheetData>
  <mergeCells count="5">
    <mergeCell ref="B4:B5"/>
    <mergeCell ref="C4:C5"/>
    <mergeCell ref="D4:D5"/>
    <mergeCell ref="E4:E5"/>
    <mergeCell ref="F4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5"/>
  <sheetViews>
    <sheetView showGridLines="0" topLeftCell="A56" workbookViewId="0">
      <selection activeCell="E61" sqref="E61:F65"/>
    </sheetView>
  </sheetViews>
  <sheetFormatPr baseColWidth="10" defaultRowHeight="16.5" x14ac:dyDescent="0.3"/>
  <cols>
    <col min="1" max="2" width="11.42578125" style="2"/>
    <col min="3" max="3" width="12.7109375" style="2" customWidth="1"/>
    <col min="4" max="4" width="12.5703125" style="2" customWidth="1"/>
    <col min="5" max="5" width="28.5703125" style="2" customWidth="1"/>
    <col min="6" max="6" width="14.28515625" style="2" customWidth="1"/>
    <col min="7" max="7" width="13.7109375" style="2" customWidth="1"/>
    <col min="8" max="16384" width="11.42578125" style="2"/>
  </cols>
  <sheetData>
    <row r="2" spans="2:7" x14ac:dyDescent="0.3">
      <c r="B2" s="1" t="s">
        <v>66</v>
      </c>
    </row>
    <row r="4" spans="2:7" x14ac:dyDescent="0.3">
      <c r="B4" s="16" t="s">
        <v>65</v>
      </c>
    </row>
    <row r="6" spans="2:7" ht="30" x14ac:dyDescent="0.3">
      <c r="C6" s="13" t="s">
        <v>1</v>
      </c>
      <c r="D6" s="13" t="s">
        <v>5</v>
      </c>
      <c r="E6" s="13" t="s">
        <v>74</v>
      </c>
      <c r="F6" s="13" t="s">
        <v>2</v>
      </c>
      <c r="G6" s="13" t="s">
        <v>25</v>
      </c>
    </row>
    <row r="7" spans="2:7" x14ac:dyDescent="0.3">
      <c r="C7" s="8">
        <f>'COSTOS APLICADOS'!B59</f>
        <v>5300</v>
      </c>
      <c r="D7" s="8" t="str">
        <f>'COSTOS APLICADOS'!C59</f>
        <v>Cm</v>
      </c>
      <c r="E7" s="30" t="str">
        <f>'COSTOS APLICADOS'!D59</f>
        <v>Yodo</v>
      </c>
      <c r="F7" s="30">
        <f>'COSTOS APLICADOS'!E59</f>
        <v>16</v>
      </c>
      <c r="G7" s="10">
        <f>C7*F7</f>
        <v>84800</v>
      </c>
    </row>
    <row r="8" spans="2:7" x14ac:dyDescent="0.3">
      <c r="C8" s="8">
        <f>'COSTOS APLICADOS'!B60</f>
        <v>0.5</v>
      </c>
      <c r="D8" s="8" t="str">
        <f>'COSTOS APLICADOS'!C60</f>
        <v>Bulto</v>
      </c>
      <c r="E8" s="30" t="str">
        <f>'COSTOS APLICADOS'!D60</f>
        <v xml:space="preserve">Cal </v>
      </c>
      <c r="F8" s="30">
        <f>'COSTOS APLICADOS'!E60</f>
        <v>12500</v>
      </c>
      <c r="G8" s="10">
        <f t="shared" ref="G8:G20" si="0">C8*F8</f>
        <v>6250</v>
      </c>
    </row>
    <row r="9" spans="2:7" x14ac:dyDescent="0.3">
      <c r="C9" s="8">
        <f>'COSTOS APLICADOS'!B61</f>
        <v>250</v>
      </c>
      <c r="D9" s="8" t="str">
        <f>'COSTOS APLICADOS'!C61</f>
        <v>Cm</v>
      </c>
      <c r="E9" s="30" t="str">
        <f>'COSTOS APLICADOS'!D61</f>
        <v>Formol</v>
      </c>
      <c r="F9" s="30">
        <f>'COSTOS APLICADOS'!E61</f>
        <v>6</v>
      </c>
      <c r="G9" s="10">
        <f t="shared" si="0"/>
        <v>1500</v>
      </c>
    </row>
    <row r="10" spans="2:7" x14ac:dyDescent="0.3">
      <c r="C10" s="8">
        <f>'COSTOS APLICADOS'!B62</f>
        <v>40</v>
      </c>
      <c r="D10" s="8" t="str">
        <f>'COSTOS APLICADOS'!C62</f>
        <v xml:space="preserve">Cc </v>
      </c>
      <c r="E10" s="30" t="str">
        <f>'COSTOS APLICADOS'!D62</f>
        <v>Lorsban (Insecticida)</v>
      </c>
      <c r="F10" s="30">
        <f>'COSTOS APLICADOS'!E62</f>
        <v>43</v>
      </c>
      <c r="G10" s="10">
        <f t="shared" si="0"/>
        <v>1720</v>
      </c>
    </row>
    <row r="11" spans="2:7" x14ac:dyDescent="0.3">
      <c r="C11" s="8">
        <f>'COSTOS APLICADOS'!C38</f>
        <v>1000</v>
      </c>
      <c r="D11" s="8" t="s">
        <v>160</v>
      </c>
      <c r="E11" s="12" t="str">
        <f>'COSTOS APLICADOS'!D38</f>
        <v>Ross x Cobb raza pollo</v>
      </c>
      <c r="F11" s="10">
        <f>'COSTOS APLICADOS'!E38</f>
        <v>1000</v>
      </c>
      <c r="G11" s="10">
        <f>C11*F11</f>
        <v>1000000</v>
      </c>
    </row>
    <row r="12" spans="2:7" x14ac:dyDescent="0.3">
      <c r="C12" s="11">
        <f>'COSTOS APLICADOS'!C39</f>
        <v>40</v>
      </c>
      <c r="D12" s="8" t="s">
        <v>4</v>
      </c>
      <c r="E12" s="12" t="str">
        <f>'COSTOS APLICADOS'!D39</f>
        <v>Concentrado levante</v>
      </c>
      <c r="F12" s="30">
        <f>'COSTOS APLICADOS'!E39</f>
        <v>51000</v>
      </c>
      <c r="G12" s="10">
        <f>C12*F12</f>
        <v>2040000</v>
      </c>
    </row>
    <row r="13" spans="2:7" x14ac:dyDescent="0.3">
      <c r="C13" s="11">
        <f>'COSTOS APLICADOS'!C40</f>
        <v>60</v>
      </c>
      <c r="D13" s="8" t="s">
        <v>4</v>
      </c>
      <c r="E13" s="12" t="str">
        <f>'COSTOS APLICADOS'!D40</f>
        <v xml:space="preserve">Concentrado engorde </v>
      </c>
      <c r="F13" s="30">
        <f>'COSTOS APLICADOS'!E40</f>
        <v>50000</v>
      </c>
      <c r="G13" s="10">
        <f>C13*F13</f>
        <v>3000000</v>
      </c>
    </row>
    <row r="14" spans="2:7" x14ac:dyDescent="0.3">
      <c r="C14" s="11">
        <f>'COSTOS APLICADOS'!C41</f>
        <v>2</v>
      </c>
      <c r="D14" s="8" t="s">
        <v>159</v>
      </c>
      <c r="E14" s="12" t="str">
        <f>'COSTOS APLICADOS'!D41</f>
        <v>Gumboro frasco 1.000 dosis</v>
      </c>
      <c r="F14" s="10">
        <f>'COSTOS APLICADOS'!E41</f>
        <v>17000</v>
      </c>
      <c r="G14" s="10">
        <f>C14*F14</f>
        <v>34000</v>
      </c>
    </row>
    <row r="15" spans="2:7" x14ac:dyDescent="0.3">
      <c r="C15" s="11">
        <f>'COSTOS APLICADOS'!C42</f>
        <v>2</v>
      </c>
      <c r="D15" s="8" t="s">
        <v>159</v>
      </c>
      <c r="E15" s="12" t="str">
        <f>'COSTOS APLICADOS'!D42</f>
        <v>New Castel por 500 dosis</v>
      </c>
      <c r="F15" s="10">
        <f>'COSTOS APLICADOS'!E42</f>
        <v>6500</v>
      </c>
      <c r="G15" s="10">
        <f>C15*F15</f>
        <v>13000</v>
      </c>
    </row>
    <row r="16" spans="2:7" x14ac:dyDescent="0.3">
      <c r="C16" s="8">
        <f>'COSTOS APLICADOS'!B63</f>
        <v>1</v>
      </c>
      <c r="D16" s="8" t="str">
        <f>'COSTOS APLICADOS'!C63</f>
        <v xml:space="preserve">Unidad </v>
      </c>
      <c r="E16" s="30" t="str">
        <f>'COSTOS APLICADOS'!D63</f>
        <v>Implementos de aseo</v>
      </c>
      <c r="F16" s="30">
        <f>'COSTOS APLICADOS'!E63</f>
        <v>12000</v>
      </c>
      <c r="G16" s="10">
        <f t="shared" si="0"/>
        <v>12000</v>
      </c>
    </row>
    <row r="17" spans="2:7" x14ac:dyDescent="0.3">
      <c r="C17" s="8">
        <f>'COSTOS APLICADOS'!B64</f>
        <v>1</v>
      </c>
      <c r="D17" s="8" t="str">
        <f>'COSTOS APLICADOS'!C64</f>
        <v xml:space="preserve">Viaje </v>
      </c>
      <c r="E17" s="30" t="str">
        <f>'COSTOS APLICADOS'!D64</f>
        <v xml:space="preserve">Cascarilla de arroz </v>
      </c>
      <c r="F17" s="30">
        <f>'COSTOS APLICADOS'!E64</f>
        <v>80000</v>
      </c>
      <c r="G17" s="10">
        <f t="shared" si="0"/>
        <v>80000</v>
      </c>
    </row>
    <row r="18" spans="2:7" x14ac:dyDescent="0.3">
      <c r="C18" s="8">
        <f>'COSTOS APLICADOS'!B65</f>
        <v>50</v>
      </c>
      <c r="D18" s="8" t="str">
        <f>'COSTOS APLICADOS'!C65</f>
        <v>Unidad</v>
      </c>
      <c r="E18" s="30" t="str">
        <f>'COSTOS APLICADOS'!D65</f>
        <v>Cortina en lona</v>
      </c>
      <c r="F18" s="30">
        <f>'COSTOS APLICADOS'!E65</f>
        <v>1900</v>
      </c>
      <c r="G18" s="10">
        <f t="shared" si="0"/>
        <v>95000</v>
      </c>
    </row>
    <row r="19" spans="2:7" x14ac:dyDescent="0.3">
      <c r="C19" s="11">
        <v>2</v>
      </c>
      <c r="D19" s="11" t="s">
        <v>86</v>
      </c>
      <c r="E19" s="12" t="s">
        <v>88</v>
      </c>
      <c r="F19" s="10">
        <v>30000</v>
      </c>
      <c r="G19" s="10">
        <f t="shared" si="0"/>
        <v>60000</v>
      </c>
    </row>
    <row r="20" spans="2:7" x14ac:dyDescent="0.3">
      <c r="C20" s="11">
        <v>2</v>
      </c>
      <c r="D20" s="11" t="s">
        <v>86</v>
      </c>
      <c r="E20" s="12" t="s">
        <v>87</v>
      </c>
      <c r="F20" s="10">
        <v>25500</v>
      </c>
      <c r="G20" s="10">
        <f t="shared" si="0"/>
        <v>51000</v>
      </c>
    </row>
    <row r="21" spans="2:7" ht="16.5" customHeight="1" x14ac:dyDescent="0.3">
      <c r="C21" s="174" t="s">
        <v>67</v>
      </c>
      <c r="D21" s="175"/>
      <c r="E21" s="175"/>
      <c r="F21" s="176"/>
      <c r="G21" s="31">
        <f>SUM(G7:G20)</f>
        <v>6479270</v>
      </c>
    </row>
    <row r="23" spans="2:7" x14ac:dyDescent="0.3">
      <c r="C23" s="16" t="s">
        <v>68</v>
      </c>
    </row>
    <row r="24" spans="2:7" x14ac:dyDescent="0.3">
      <c r="C24" s="16"/>
    </row>
    <row r="25" spans="2:7" ht="30" x14ac:dyDescent="0.3">
      <c r="D25" s="13" t="s">
        <v>1</v>
      </c>
      <c r="E25" s="13" t="s">
        <v>7</v>
      </c>
      <c r="F25" s="13" t="s">
        <v>2</v>
      </c>
      <c r="G25" s="13" t="s">
        <v>25</v>
      </c>
    </row>
    <row r="26" spans="2:7" x14ac:dyDescent="0.3">
      <c r="D26" s="11">
        <v>1</v>
      </c>
      <c r="E26" s="12" t="s">
        <v>69</v>
      </c>
      <c r="F26" s="10">
        <f>'COSTOS APLICADOS'!F79</f>
        <v>799773.83333333337</v>
      </c>
      <c r="G26" s="10">
        <f t="shared" ref="G26:G28" si="1">D26*F26</f>
        <v>799773.83333333337</v>
      </c>
    </row>
    <row r="27" spans="2:7" x14ac:dyDescent="0.3">
      <c r="D27" s="11">
        <f>'COSTOS APLICADOS'!B66</f>
        <v>1</v>
      </c>
      <c r="E27" s="12" t="s">
        <v>85</v>
      </c>
      <c r="F27" s="10">
        <f>'COSTOS APLICADOS'!E66</f>
        <v>200000</v>
      </c>
      <c r="G27" s="10">
        <f t="shared" si="1"/>
        <v>200000</v>
      </c>
    </row>
    <row r="28" spans="2:7" x14ac:dyDescent="0.3">
      <c r="D28" s="11">
        <v>2</v>
      </c>
      <c r="E28" s="12" t="s">
        <v>64</v>
      </c>
      <c r="F28" s="10">
        <f>'COSTOS APLICADOS'!E54</f>
        <v>1017057.7066666667</v>
      </c>
      <c r="G28" s="10">
        <f t="shared" si="1"/>
        <v>2034115.4133333333</v>
      </c>
    </row>
    <row r="29" spans="2:7" x14ac:dyDescent="0.3">
      <c r="D29" s="174" t="s">
        <v>70</v>
      </c>
      <c r="E29" s="175"/>
      <c r="F29" s="176"/>
      <c r="G29" s="42">
        <f>SUM(G26:G28)</f>
        <v>3033889.2466666666</v>
      </c>
    </row>
    <row r="31" spans="2:7" x14ac:dyDescent="0.3">
      <c r="B31" s="16" t="s">
        <v>96</v>
      </c>
    </row>
    <row r="32" spans="2:7" x14ac:dyDescent="0.3">
      <c r="E32" s="45" t="s">
        <v>90</v>
      </c>
      <c r="F32" s="45" t="s">
        <v>24</v>
      </c>
      <c r="G32" s="20"/>
    </row>
    <row r="33" spans="2:8" x14ac:dyDescent="0.3">
      <c r="E33" s="37" t="s">
        <v>68</v>
      </c>
      <c r="F33" s="38">
        <f>G29</f>
        <v>3033889.2466666666</v>
      </c>
    </row>
    <row r="34" spans="2:8" ht="17.25" thickBot="1" x14ac:dyDescent="0.35">
      <c r="E34" s="39" t="s">
        <v>89</v>
      </c>
      <c r="F34" s="40">
        <f>G21</f>
        <v>6479270</v>
      </c>
      <c r="G34" s="4"/>
    </row>
    <row r="35" spans="2:8" ht="17.25" thickBot="1" x14ac:dyDescent="0.35">
      <c r="E35" s="46" t="s">
        <v>24</v>
      </c>
      <c r="F35" s="41">
        <f>SUM(F33:F34)</f>
        <v>9513159.2466666661</v>
      </c>
    </row>
    <row r="36" spans="2:8" x14ac:dyDescent="0.3">
      <c r="E36" s="21"/>
    </row>
    <row r="37" spans="2:8" x14ac:dyDescent="0.3">
      <c r="E37" s="20"/>
    </row>
    <row r="38" spans="2:8" x14ac:dyDescent="0.3">
      <c r="B38" s="16" t="s">
        <v>97</v>
      </c>
    </row>
    <row r="40" spans="2:8" x14ac:dyDescent="0.3">
      <c r="C40" s="22"/>
      <c r="D40" s="23"/>
      <c r="E40" s="45" t="s">
        <v>93</v>
      </c>
      <c r="F40" s="45" t="s">
        <v>24</v>
      </c>
      <c r="G40" s="22"/>
    </row>
    <row r="41" spans="2:8" x14ac:dyDescent="0.3">
      <c r="C41" s="22"/>
      <c r="D41"/>
      <c r="E41" s="37" t="s">
        <v>91</v>
      </c>
      <c r="F41" s="38">
        <v>11500</v>
      </c>
      <c r="G41"/>
      <c r="H41"/>
    </row>
    <row r="42" spans="2:8" ht="17.25" thickBot="1" x14ac:dyDescent="0.35">
      <c r="C42" s="22"/>
      <c r="D42" s="23"/>
      <c r="E42" s="39" t="s">
        <v>92</v>
      </c>
      <c r="F42" s="40">
        <f>G21/1000</f>
        <v>6479.27</v>
      </c>
      <c r="G42" s="22"/>
      <c r="H42"/>
    </row>
    <row r="43" spans="2:8" ht="17.25" thickBot="1" x14ac:dyDescent="0.35">
      <c r="C43" s="22"/>
      <c r="D43"/>
      <c r="E43" s="46" t="s">
        <v>24</v>
      </c>
      <c r="F43" s="41">
        <f>F41-F42</f>
        <v>5020.7299999999996</v>
      </c>
      <c r="G43"/>
      <c r="H43"/>
    </row>
    <row r="45" spans="2:8" x14ac:dyDescent="0.3">
      <c r="B45" s="16" t="s">
        <v>98</v>
      </c>
    </row>
    <row r="47" spans="2:8" x14ac:dyDescent="0.3">
      <c r="C47" s="22"/>
      <c r="D47" s="23"/>
      <c r="E47" s="45" t="s">
        <v>100</v>
      </c>
      <c r="F47" s="45" t="s">
        <v>24</v>
      </c>
      <c r="G47" s="26"/>
      <c r="H47" s="22"/>
    </row>
    <row r="48" spans="2:8" x14ac:dyDescent="0.3">
      <c r="C48" s="22"/>
      <c r="D48"/>
      <c r="E48" s="37" t="s">
        <v>68</v>
      </c>
      <c r="F48" s="38">
        <f>G29</f>
        <v>3033889.2466666666</v>
      </c>
      <c r="G48" s="25"/>
      <c r="H48"/>
    </row>
    <row r="49" spans="2:8" ht="17.25" thickBot="1" x14ac:dyDescent="0.35">
      <c r="C49" s="22"/>
      <c r="D49" s="23"/>
      <c r="E49" s="39" t="s">
        <v>94</v>
      </c>
      <c r="F49" s="40">
        <f>F43</f>
        <v>5020.7299999999996</v>
      </c>
      <c r="G49" s="27"/>
      <c r="H49"/>
    </row>
    <row r="50" spans="2:8" ht="17.25" thickBot="1" x14ac:dyDescent="0.35">
      <c r="C50" s="22"/>
      <c r="D50"/>
      <c r="E50" s="46" t="s">
        <v>24</v>
      </c>
      <c r="F50" s="41">
        <f>F48/F49</f>
        <v>604.27253540155846</v>
      </c>
      <c r="G50" s="25" t="s">
        <v>95</v>
      </c>
      <c r="H50"/>
    </row>
    <row r="51" spans="2:8" x14ac:dyDescent="0.3">
      <c r="C51" s="22"/>
      <c r="D51" s="23"/>
      <c r="E51" s="26"/>
      <c r="F51"/>
      <c r="G51"/>
      <c r="H51"/>
    </row>
    <row r="52" spans="2:8" x14ac:dyDescent="0.3">
      <c r="B52" s="16" t="s">
        <v>99</v>
      </c>
    </row>
    <row r="54" spans="2:8" x14ac:dyDescent="0.3">
      <c r="C54" s="22"/>
      <c r="D54" s="23"/>
      <c r="E54" s="45" t="s">
        <v>100</v>
      </c>
      <c r="F54" s="45" t="s">
        <v>24</v>
      </c>
      <c r="G54" s="26"/>
    </row>
    <row r="55" spans="2:8" x14ac:dyDescent="0.3">
      <c r="C55" s="22"/>
      <c r="D55"/>
      <c r="E55" s="37" t="s">
        <v>101</v>
      </c>
      <c r="F55" s="38">
        <f>F50</f>
        <v>604.27253540155846</v>
      </c>
      <c r="G55" s="25"/>
    </row>
    <row r="56" spans="2:8" ht="17.25" thickBot="1" x14ac:dyDescent="0.35">
      <c r="C56" s="22"/>
      <c r="D56" s="23"/>
      <c r="E56" s="39" t="s">
        <v>91</v>
      </c>
      <c r="F56" s="40">
        <f>F41</f>
        <v>11500</v>
      </c>
      <c r="G56" s="24"/>
    </row>
    <row r="57" spans="2:8" ht="17.25" thickBot="1" x14ac:dyDescent="0.35">
      <c r="C57" s="22"/>
      <c r="D57"/>
      <c r="E57" s="46" t="s">
        <v>24</v>
      </c>
      <c r="F57" s="41">
        <f>F55*F56</f>
        <v>6949134.1571179219</v>
      </c>
      <c r="G57" s="25"/>
    </row>
    <row r="58" spans="2:8" x14ac:dyDescent="0.3">
      <c r="C58" s="22"/>
      <c r="D58" s="23"/>
      <c r="E58" s="24"/>
      <c r="F58"/>
      <c r="G58"/>
      <c r="H58"/>
    </row>
    <row r="59" spans="2:8" x14ac:dyDescent="0.3">
      <c r="B59" s="16" t="s">
        <v>102</v>
      </c>
    </row>
    <row r="60" spans="2:8" x14ac:dyDescent="0.3">
      <c r="B60" s="16"/>
    </row>
    <row r="61" spans="2:8" x14ac:dyDescent="0.3">
      <c r="E61" s="3" t="s">
        <v>103</v>
      </c>
      <c r="F61" s="6">
        <f>F57</f>
        <v>6949134.1571179219</v>
      </c>
    </row>
    <row r="62" spans="2:8" x14ac:dyDescent="0.3">
      <c r="E62" s="3" t="s">
        <v>89</v>
      </c>
      <c r="F62" s="6">
        <f>F55*F42</f>
        <v>3915244.9104512557</v>
      </c>
    </row>
    <row r="63" spans="2:8" x14ac:dyDescent="0.3">
      <c r="E63" s="47" t="s">
        <v>93</v>
      </c>
      <c r="F63" s="48">
        <f>F61-F62</f>
        <v>3033889.2466666661</v>
      </c>
    </row>
    <row r="64" spans="2:8" x14ac:dyDescent="0.3">
      <c r="E64" s="3" t="s">
        <v>68</v>
      </c>
      <c r="F64" s="6">
        <f>F48</f>
        <v>3033889.2466666666</v>
      </c>
    </row>
    <row r="65" spans="5:6" x14ac:dyDescent="0.3">
      <c r="E65" s="47" t="s">
        <v>71</v>
      </c>
      <c r="F65" s="48">
        <f>F63-F64</f>
        <v>0</v>
      </c>
    </row>
  </sheetData>
  <mergeCells count="2">
    <mergeCell ref="C21:F21"/>
    <mergeCell ref="D29:F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abSelected="1" topLeftCell="J37" zoomScale="85" zoomScaleNormal="85" workbookViewId="0">
      <selection activeCell="R44" sqref="R44"/>
    </sheetView>
  </sheetViews>
  <sheetFormatPr baseColWidth="10" defaultRowHeight="14.25" x14ac:dyDescent="0.2"/>
  <cols>
    <col min="1" max="1" width="1.85546875" style="49" customWidth="1"/>
    <col min="2" max="2" width="1.42578125" style="49" customWidth="1"/>
    <col min="3" max="3" width="30" style="49" customWidth="1"/>
    <col min="4" max="16" width="16.85546875" style="49" customWidth="1"/>
    <col min="17" max="17" width="18.7109375" style="49" customWidth="1"/>
    <col min="18" max="16384" width="11.42578125" style="49"/>
  </cols>
  <sheetData>
    <row r="1" spans="1:18" ht="15" thickBot="1" x14ac:dyDescent="0.25"/>
    <row r="2" spans="1:18" ht="18.75" thickBot="1" x14ac:dyDescent="0.3">
      <c r="A2" s="177" t="s">
        <v>128</v>
      </c>
      <c r="B2" s="178"/>
      <c r="C2" s="179"/>
      <c r="D2" s="58" t="s">
        <v>104</v>
      </c>
      <c r="E2" s="58" t="s">
        <v>109</v>
      </c>
      <c r="F2" s="58" t="s">
        <v>110</v>
      </c>
      <c r="G2" s="58" t="s">
        <v>111</v>
      </c>
      <c r="H2" s="58" t="s">
        <v>112</v>
      </c>
      <c r="I2" s="58" t="s">
        <v>113</v>
      </c>
      <c r="J2" s="58" t="s">
        <v>114</v>
      </c>
      <c r="K2" s="58" t="s">
        <v>115</v>
      </c>
      <c r="L2" s="58" t="s">
        <v>116</v>
      </c>
      <c r="M2" s="58" t="s">
        <v>117</v>
      </c>
      <c r="N2" s="58" t="s">
        <v>118</v>
      </c>
      <c r="O2" s="58" t="s">
        <v>119</v>
      </c>
      <c r="P2" s="110" t="s">
        <v>120</v>
      </c>
      <c r="Q2" s="111" t="s">
        <v>24</v>
      </c>
    </row>
    <row r="3" spans="1:18" s="54" customFormat="1" ht="15.75" x14ac:dyDescent="0.25">
      <c r="A3" s="59" t="s">
        <v>127</v>
      </c>
      <c r="B3" s="60"/>
      <c r="C3" s="60"/>
      <c r="D3" s="61"/>
      <c r="E3" s="61">
        <f>SUM(E4:E7)</f>
        <v>0</v>
      </c>
      <c r="F3" s="61">
        <f t="shared" ref="F3:P3" si="0">SUM(F4:F7)</f>
        <v>11500000</v>
      </c>
      <c r="G3" s="61">
        <f t="shared" si="0"/>
        <v>0</v>
      </c>
      <c r="H3" s="61">
        <f t="shared" si="0"/>
        <v>11500000</v>
      </c>
      <c r="I3" s="61">
        <f t="shared" si="0"/>
        <v>0</v>
      </c>
      <c r="J3" s="61">
        <f t="shared" si="0"/>
        <v>11500000</v>
      </c>
      <c r="K3" s="61">
        <f t="shared" si="0"/>
        <v>0</v>
      </c>
      <c r="L3" s="61">
        <f t="shared" si="0"/>
        <v>11500000</v>
      </c>
      <c r="M3" s="61">
        <f t="shared" si="0"/>
        <v>0</v>
      </c>
      <c r="N3" s="61">
        <f t="shared" si="0"/>
        <v>11500000</v>
      </c>
      <c r="O3" s="61">
        <f t="shared" si="0"/>
        <v>0</v>
      </c>
      <c r="P3" s="141">
        <f t="shared" si="0"/>
        <v>11500000</v>
      </c>
      <c r="Q3" s="152">
        <f>SUM(E3:P3)</f>
        <v>69000000</v>
      </c>
    </row>
    <row r="4" spans="1:18" s="52" customFormat="1" ht="12.75" x14ac:dyDescent="0.2">
      <c r="A4" s="70"/>
      <c r="B4" s="71"/>
      <c r="C4" s="66" t="s">
        <v>105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142"/>
      <c r="Q4" s="153">
        <f>SUM(E4:P4)</f>
        <v>0</v>
      </c>
    </row>
    <row r="5" spans="1:18" s="52" customFormat="1" ht="12.75" x14ac:dyDescent="0.2">
      <c r="A5" s="70"/>
      <c r="B5" s="71"/>
      <c r="C5" s="66" t="s">
        <v>106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142"/>
      <c r="Q5" s="153">
        <f t="shared" ref="Q5:Q24" si="1">SUM(E5:P5)</f>
        <v>0</v>
      </c>
    </row>
    <row r="6" spans="1:18" s="52" customFormat="1" ht="12.75" x14ac:dyDescent="0.2">
      <c r="A6" s="70"/>
      <c r="B6" s="71"/>
      <c r="C6" s="66" t="s">
        <v>107</v>
      </c>
      <c r="D6" s="55"/>
      <c r="E6" s="55"/>
      <c r="F6" s="55">
        <f>'PUNTO EQUILIBRIO'!F41*1000</f>
        <v>11500000</v>
      </c>
      <c r="G6" s="55"/>
      <c r="H6" s="55">
        <f>F6</f>
        <v>11500000</v>
      </c>
      <c r="I6" s="55"/>
      <c r="J6" s="55">
        <f>H6</f>
        <v>11500000</v>
      </c>
      <c r="K6" s="55"/>
      <c r="L6" s="55">
        <f>J6</f>
        <v>11500000</v>
      </c>
      <c r="M6" s="55"/>
      <c r="N6" s="55">
        <f>L6</f>
        <v>11500000</v>
      </c>
      <c r="O6" s="55"/>
      <c r="P6" s="142">
        <f>N6</f>
        <v>11500000</v>
      </c>
      <c r="Q6" s="153">
        <f t="shared" si="1"/>
        <v>69000000</v>
      </c>
    </row>
    <row r="7" spans="1:18" s="52" customFormat="1" ht="13.5" thickBot="1" x14ac:dyDescent="0.25">
      <c r="A7" s="72"/>
      <c r="B7" s="73"/>
      <c r="C7" s="67" t="s">
        <v>108</v>
      </c>
      <c r="D7" s="62"/>
      <c r="E7" s="62"/>
      <c r="F7" s="63"/>
      <c r="G7" s="62"/>
      <c r="H7" s="63"/>
      <c r="I7" s="62"/>
      <c r="J7" s="63"/>
      <c r="K7" s="62"/>
      <c r="L7" s="63"/>
      <c r="M7" s="62"/>
      <c r="N7" s="63"/>
      <c r="O7" s="62"/>
      <c r="P7" s="143"/>
      <c r="Q7" s="154">
        <f t="shared" si="1"/>
        <v>0</v>
      </c>
    </row>
    <row r="8" spans="1:18" s="53" customFormat="1" ht="15.75" x14ac:dyDescent="0.25">
      <c r="A8" s="74" t="s">
        <v>126</v>
      </c>
      <c r="B8" s="75"/>
      <c r="C8" s="68"/>
      <c r="D8" s="64"/>
      <c r="E8" s="61">
        <f>E9+E14+E19</f>
        <v>8496101.540000001</v>
      </c>
      <c r="F8" s="61">
        <f t="shared" ref="F8:P8" si="2">F9+F14+F19</f>
        <v>1017057.7066666667</v>
      </c>
      <c r="G8" s="61">
        <f t="shared" si="2"/>
        <v>8496101.540000001</v>
      </c>
      <c r="H8" s="61">
        <f t="shared" si="2"/>
        <v>1017057.7066666667</v>
      </c>
      <c r="I8" s="61">
        <f t="shared" si="2"/>
        <v>8496101.540000001</v>
      </c>
      <c r="J8" s="61">
        <f t="shared" si="2"/>
        <v>1017057.7066666667</v>
      </c>
      <c r="K8" s="61">
        <f t="shared" si="2"/>
        <v>8496101.540000001</v>
      </c>
      <c r="L8" s="61">
        <f t="shared" si="2"/>
        <v>1017057.7066666667</v>
      </c>
      <c r="M8" s="61">
        <f t="shared" si="2"/>
        <v>8496101.540000001</v>
      </c>
      <c r="N8" s="61">
        <f t="shared" si="2"/>
        <v>1017057.7066666667</v>
      </c>
      <c r="O8" s="61">
        <f t="shared" si="2"/>
        <v>8496101.540000001</v>
      </c>
      <c r="P8" s="141">
        <f t="shared" si="2"/>
        <v>1017057.7066666667</v>
      </c>
      <c r="Q8" s="152">
        <f t="shared" si="1"/>
        <v>57078955.479999997</v>
      </c>
      <c r="R8" s="53">
        <f>Q8/Q3</f>
        <v>0.8272312388405797</v>
      </c>
    </row>
    <row r="9" spans="1:18" s="51" customFormat="1" ht="15" x14ac:dyDescent="0.25">
      <c r="A9" s="76"/>
      <c r="B9" s="77" t="s">
        <v>121</v>
      </c>
      <c r="C9" s="69"/>
      <c r="D9" s="65"/>
      <c r="E9" s="65">
        <f>SUM(E10:E13)</f>
        <v>6087000</v>
      </c>
      <c r="F9" s="65">
        <f t="shared" ref="F9:P9" si="3">SUM(F10:F13)</f>
        <v>0</v>
      </c>
      <c r="G9" s="65">
        <f t="shared" si="3"/>
        <v>6087000</v>
      </c>
      <c r="H9" s="65">
        <f t="shared" si="3"/>
        <v>0</v>
      </c>
      <c r="I9" s="65">
        <f t="shared" si="3"/>
        <v>6087000</v>
      </c>
      <c r="J9" s="65">
        <f t="shared" si="3"/>
        <v>0</v>
      </c>
      <c r="K9" s="65">
        <f t="shared" si="3"/>
        <v>6087000</v>
      </c>
      <c r="L9" s="65">
        <f t="shared" si="3"/>
        <v>0</v>
      </c>
      <c r="M9" s="65">
        <f t="shared" si="3"/>
        <v>6087000</v>
      </c>
      <c r="N9" s="65">
        <f t="shared" si="3"/>
        <v>0</v>
      </c>
      <c r="O9" s="65">
        <f t="shared" si="3"/>
        <v>6087000</v>
      </c>
      <c r="P9" s="144">
        <f t="shared" si="3"/>
        <v>0</v>
      </c>
      <c r="Q9" s="155">
        <f t="shared" si="1"/>
        <v>36522000</v>
      </c>
    </row>
    <row r="10" spans="1:18" s="52" customFormat="1" ht="12.75" x14ac:dyDescent="0.2">
      <c r="A10" s="70"/>
      <c r="B10" s="71"/>
      <c r="C10" s="66" t="s">
        <v>105</v>
      </c>
      <c r="D10" s="55"/>
      <c r="E10" s="55">
        <f>'COSTOS APLICADOS'!F43</f>
        <v>6087000</v>
      </c>
      <c r="F10" s="55"/>
      <c r="G10" s="55">
        <f>E10</f>
        <v>6087000</v>
      </c>
      <c r="H10" s="55"/>
      <c r="I10" s="55">
        <f>G10</f>
        <v>6087000</v>
      </c>
      <c r="J10" s="55"/>
      <c r="K10" s="55">
        <f>I10</f>
        <v>6087000</v>
      </c>
      <c r="L10" s="55"/>
      <c r="M10" s="55">
        <f>K10</f>
        <v>6087000</v>
      </c>
      <c r="N10" s="55"/>
      <c r="O10" s="55">
        <f>M10</f>
        <v>6087000</v>
      </c>
      <c r="P10" s="142"/>
      <c r="Q10" s="153">
        <f t="shared" si="1"/>
        <v>36522000</v>
      </c>
    </row>
    <row r="11" spans="1:18" s="52" customFormat="1" ht="12.75" x14ac:dyDescent="0.2">
      <c r="A11" s="70"/>
      <c r="B11" s="71"/>
      <c r="C11" s="66" t="s">
        <v>106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142"/>
      <c r="Q11" s="153">
        <f t="shared" si="1"/>
        <v>0</v>
      </c>
    </row>
    <row r="12" spans="1:18" s="52" customFormat="1" ht="12.75" x14ac:dyDescent="0.2">
      <c r="A12" s="70"/>
      <c r="B12" s="71"/>
      <c r="C12" s="66" t="s">
        <v>107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142"/>
      <c r="Q12" s="153">
        <f t="shared" si="1"/>
        <v>0</v>
      </c>
    </row>
    <row r="13" spans="1:18" s="52" customFormat="1" ht="12.75" x14ac:dyDescent="0.2">
      <c r="A13" s="70"/>
      <c r="B13" s="71"/>
      <c r="C13" s="66" t="s">
        <v>108</v>
      </c>
      <c r="D13" s="55"/>
      <c r="E13" s="55"/>
      <c r="F13" s="56"/>
      <c r="G13" s="55"/>
      <c r="H13" s="56"/>
      <c r="I13" s="55"/>
      <c r="J13" s="56"/>
      <c r="K13" s="55"/>
      <c r="L13" s="56"/>
      <c r="M13" s="55"/>
      <c r="N13" s="56"/>
      <c r="O13" s="55"/>
      <c r="P13" s="145"/>
      <c r="Q13" s="153">
        <f t="shared" si="1"/>
        <v>0</v>
      </c>
    </row>
    <row r="14" spans="1:18" s="51" customFormat="1" ht="15" x14ac:dyDescent="0.25">
      <c r="A14" s="76"/>
      <c r="B14" s="77" t="s">
        <v>122</v>
      </c>
      <c r="C14" s="69"/>
      <c r="D14" s="65"/>
      <c r="E14" s="65">
        <f>SUM(E15:E18)</f>
        <v>1017057.7066666667</v>
      </c>
      <c r="F14" s="65">
        <f t="shared" ref="F14" si="4">SUM(F15:F18)</f>
        <v>1017057.7066666667</v>
      </c>
      <c r="G14" s="65">
        <f t="shared" ref="G14" si="5">SUM(G15:G18)</f>
        <v>1017057.7066666667</v>
      </c>
      <c r="H14" s="65">
        <f t="shared" ref="H14" si="6">SUM(H15:H18)</f>
        <v>1017057.7066666667</v>
      </c>
      <c r="I14" s="65">
        <f t="shared" ref="I14" si="7">SUM(I15:I18)</f>
        <v>1017057.7066666667</v>
      </c>
      <c r="J14" s="65">
        <f t="shared" ref="J14" si="8">SUM(J15:J18)</f>
        <v>1017057.7066666667</v>
      </c>
      <c r="K14" s="65">
        <f t="shared" ref="K14" si="9">SUM(K15:K18)</f>
        <v>1017057.7066666667</v>
      </c>
      <c r="L14" s="65">
        <f t="shared" ref="L14" si="10">SUM(L15:L18)</f>
        <v>1017057.7066666667</v>
      </c>
      <c r="M14" s="65">
        <f t="shared" ref="M14" si="11">SUM(M15:M18)</f>
        <v>1017057.7066666667</v>
      </c>
      <c r="N14" s="65">
        <f t="shared" ref="N14" si="12">SUM(N15:N18)</f>
        <v>1017057.7066666667</v>
      </c>
      <c r="O14" s="65">
        <f t="shared" ref="O14" si="13">SUM(O15:O18)</f>
        <v>1017057.7066666667</v>
      </c>
      <c r="P14" s="144">
        <f t="shared" ref="P14" si="14">SUM(P15:P18)</f>
        <v>1017057.7066666667</v>
      </c>
      <c r="Q14" s="155">
        <f t="shared" ref="Q14" si="15">SUM(E14:P14)</f>
        <v>12204692.480000002</v>
      </c>
    </row>
    <row r="15" spans="1:18" s="52" customFormat="1" ht="12.75" x14ac:dyDescent="0.2">
      <c r="A15" s="70"/>
      <c r="B15" s="71"/>
      <c r="C15" s="66" t="s">
        <v>105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142"/>
      <c r="Q15" s="153">
        <f t="shared" si="1"/>
        <v>0</v>
      </c>
    </row>
    <row r="16" spans="1:18" s="52" customFormat="1" ht="12.75" x14ac:dyDescent="0.2">
      <c r="A16" s="70"/>
      <c r="B16" s="71"/>
      <c r="C16" s="66" t="s">
        <v>106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142"/>
      <c r="Q16" s="153">
        <f t="shared" si="1"/>
        <v>0</v>
      </c>
    </row>
    <row r="17" spans="1:18" s="52" customFormat="1" ht="12.75" x14ac:dyDescent="0.2">
      <c r="A17" s="70"/>
      <c r="B17" s="71"/>
      <c r="C17" s="66" t="s">
        <v>107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142"/>
      <c r="Q17" s="153">
        <f t="shared" si="1"/>
        <v>0</v>
      </c>
    </row>
    <row r="18" spans="1:18" s="52" customFormat="1" ht="12.75" x14ac:dyDescent="0.2">
      <c r="A18" s="70"/>
      <c r="B18" s="71"/>
      <c r="C18" s="66" t="s">
        <v>108</v>
      </c>
      <c r="D18" s="55"/>
      <c r="E18" s="55">
        <f>'COSTOS APLICADOS'!E54</f>
        <v>1017057.7066666667</v>
      </c>
      <c r="F18" s="55">
        <f>E18</f>
        <v>1017057.7066666667</v>
      </c>
      <c r="G18" s="55">
        <f t="shared" ref="G18:P18" si="16">F18</f>
        <v>1017057.7066666667</v>
      </c>
      <c r="H18" s="55">
        <f t="shared" si="16"/>
        <v>1017057.7066666667</v>
      </c>
      <c r="I18" s="55">
        <f t="shared" si="16"/>
        <v>1017057.7066666667</v>
      </c>
      <c r="J18" s="55">
        <f t="shared" si="16"/>
        <v>1017057.7066666667</v>
      </c>
      <c r="K18" s="55">
        <f t="shared" si="16"/>
        <v>1017057.7066666667</v>
      </c>
      <c r="L18" s="55">
        <f t="shared" si="16"/>
        <v>1017057.7066666667</v>
      </c>
      <c r="M18" s="55">
        <f t="shared" si="16"/>
        <v>1017057.7066666667</v>
      </c>
      <c r="N18" s="55">
        <f t="shared" si="16"/>
        <v>1017057.7066666667</v>
      </c>
      <c r="O18" s="55">
        <f t="shared" si="16"/>
        <v>1017057.7066666667</v>
      </c>
      <c r="P18" s="142">
        <f t="shared" si="16"/>
        <v>1017057.7066666667</v>
      </c>
      <c r="Q18" s="153">
        <f t="shared" si="1"/>
        <v>12204692.480000002</v>
      </c>
    </row>
    <row r="19" spans="1:18" s="51" customFormat="1" ht="15" x14ac:dyDescent="0.25">
      <c r="A19" s="76"/>
      <c r="B19" s="77" t="s">
        <v>123</v>
      </c>
      <c r="C19" s="69"/>
      <c r="D19" s="65"/>
      <c r="E19" s="65">
        <f>SUM(E20:E23)</f>
        <v>1392043.8333333335</v>
      </c>
      <c r="F19" s="65">
        <f t="shared" ref="F19" si="17">SUM(F20:F23)</f>
        <v>0</v>
      </c>
      <c r="G19" s="65">
        <f t="shared" ref="G19" si="18">SUM(G20:G23)</f>
        <v>1392043.8333333335</v>
      </c>
      <c r="H19" s="65">
        <f t="shared" ref="H19" si="19">SUM(H20:H23)</f>
        <v>0</v>
      </c>
      <c r="I19" s="65">
        <f t="shared" ref="I19" si="20">SUM(I20:I23)</f>
        <v>1392043.8333333335</v>
      </c>
      <c r="J19" s="65">
        <f t="shared" ref="J19" si="21">SUM(J20:J23)</f>
        <v>0</v>
      </c>
      <c r="K19" s="65">
        <f t="shared" ref="K19" si="22">SUM(K20:K23)</f>
        <v>1392043.8333333335</v>
      </c>
      <c r="L19" s="65">
        <f t="shared" ref="L19" si="23">SUM(L20:L23)</f>
        <v>0</v>
      </c>
      <c r="M19" s="65">
        <f t="shared" ref="M19" si="24">SUM(M20:M23)</f>
        <v>1392043.8333333335</v>
      </c>
      <c r="N19" s="65">
        <f t="shared" ref="N19" si="25">SUM(N20:N23)</f>
        <v>0</v>
      </c>
      <c r="O19" s="65">
        <f t="shared" ref="O19" si="26">SUM(O20:O23)</f>
        <v>1392043.8333333335</v>
      </c>
      <c r="P19" s="144">
        <f t="shared" ref="P19" si="27">SUM(P20:P23)</f>
        <v>0</v>
      </c>
      <c r="Q19" s="155">
        <f t="shared" ref="Q19" si="28">SUM(E19:P19)</f>
        <v>8352263.0000000019</v>
      </c>
    </row>
    <row r="20" spans="1:18" s="52" customFormat="1" ht="12.75" x14ac:dyDescent="0.2">
      <c r="A20" s="70"/>
      <c r="B20" s="71"/>
      <c r="C20" s="66" t="s">
        <v>105</v>
      </c>
      <c r="D20" s="55"/>
      <c r="E20" s="55">
        <f>'COSTOS APLICADOS'!E86</f>
        <v>1392043.8333333335</v>
      </c>
      <c r="F20" s="55"/>
      <c r="G20" s="55">
        <f>E20</f>
        <v>1392043.8333333335</v>
      </c>
      <c r="H20" s="55"/>
      <c r="I20" s="55">
        <f>G20</f>
        <v>1392043.8333333335</v>
      </c>
      <c r="J20" s="55"/>
      <c r="K20" s="55">
        <f>I20</f>
        <v>1392043.8333333335</v>
      </c>
      <c r="L20" s="55"/>
      <c r="M20" s="55">
        <f>K20</f>
        <v>1392043.8333333335</v>
      </c>
      <c r="N20" s="55"/>
      <c r="O20" s="55">
        <f>M20</f>
        <v>1392043.8333333335</v>
      </c>
      <c r="P20" s="142"/>
      <c r="Q20" s="153">
        <f t="shared" si="1"/>
        <v>8352263.0000000019</v>
      </c>
    </row>
    <row r="21" spans="1:18" s="52" customFormat="1" ht="12.75" x14ac:dyDescent="0.2">
      <c r="A21" s="70"/>
      <c r="B21" s="71"/>
      <c r="C21" s="66" t="s">
        <v>106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142"/>
      <c r="Q21" s="153">
        <f t="shared" si="1"/>
        <v>0</v>
      </c>
    </row>
    <row r="22" spans="1:18" s="52" customFormat="1" ht="12.75" x14ac:dyDescent="0.2">
      <c r="A22" s="70"/>
      <c r="B22" s="71"/>
      <c r="C22" s="66" t="s">
        <v>107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142"/>
      <c r="Q22" s="153">
        <f t="shared" si="1"/>
        <v>0</v>
      </c>
    </row>
    <row r="23" spans="1:18" s="52" customFormat="1" ht="13.5" thickBot="1" x14ac:dyDescent="0.25">
      <c r="A23" s="72"/>
      <c r="B23" s="73"/>
      <c r="C23" s="67" t="s">
        <v>108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146"/>
      <c r="Q23" s="154">
        <f t="shared" si="1"/>
        <v>0</v>
      </c>
    </row>
    <row r="24" spans="1:18" s="54" customFormat="1" ht="15.75" x14ac:dyDescent="0.25">
      <c r="A24" s="59" t="s">
        <v>125</v>
      </c>
      <c r="B24" s="60"/>
      <c r="C24" s="60"/>
      <c r="D24" s="61"/>
      <c r="E24" s="61">
        <f>E3-E8</f>
        <v>-8496101.540000001</v>
      </c>
      <c r="F24" s="61">
        <f t="shared" ref="F24:P24" si="29">F3-F8</f>
        <v>10482942.293333333</v>
      </c>
      <c r="G24" s="61">
        <f t="shared" si="29"/>
        <v>-8496101.540000001</v>
      </c>
      <c r="H24" s="61">
        <f t="shared" si="29"/>
        <v>10482942.293333333</v>
      </c>
      <c r="I24" s="61">
        <f t="shared" si="29"/>
        <v>-8496101.540000001</v>
      </c>
      <c r="J24" s="61">
        <f t="shared" si="29"/>
        <v>10482942.293333333</v>
      </c>
      <c r="K24" s="61">
        <f t="shared" si="29"/>
        <v>-8496101.540000001</v>
      </c>
      <c r="L24" s="61">
        <f t="shared" si="29"/>
        <v>10482942.293333333</v>
      </c>
      <c r="M24" s="61">
        <f t="shared" si="29"/>
        <v>-8496101.540000001</v>
      </c>
      <c r="N24" s="61">
        <f t="shared" si="29"/>
        <v>10482942.293333333</v>
      </c>
      <c r="O24" s="61">
        <f t="shared" si="29"/>
        <v>-8496101.540000001</v>
      </c>
      <c r="P24" s="141">
        <f t="shared" si="29"/>
        <v>10482942.293333333</v>
      </c>
      <c r="Q24" s="152">
        <f t="shared" si="1"/>
        <v>11921044.519999992</v>
      </c>
      <c r="R24" s="54">
        <f>Q24/Q3</f>
        <v>0.17276876115942016</v>
      </c>
    </row>
    <row r="25" spans="1:18" s="51" customFormat="1" ht="15.75" thickBot="1" x14ac:dyDescent="0.3">
      <c r="A25" s="84" t="s">
        <v>136</v>
      </c>
      <c r="B25" s="85"/>
      <c r="C25" s="85"/>
      <c r="D25" s="86"/>
      <c r="E25" s="86">
        <v>300000</v>
      </c>
      <c r="F25" s="86">
        <v>300000</v>
      </c>
      <c r="G25" s="86">
        <v>300000</v>
      </c>
      <c r="H25" s="86">
        <v>300000</v>
      </c>
      <c r="I25" s="86">
        <v>300000</v>
      </c>
      <c r="J25" s="86">
        <v>300000</v>
      </c>
      <c r="K25" s="86">
        <v>300000</v>
      </c>
      <c r="L25" s="86">
        <v>300000</v>
      </c>
      <c r="M25" s="86">
        <v>300000</v>
      </c>
      <c r="N25" s="86">
        <v>300000</v>
      </c>
      <c r="O25" s="86">
        <v>300000</v>
      </c>
      <c r="P25" s="147">
        <v>300000</v>
      </c>
      <c r="Q25" s="156">
        <f>SUM(E25:P25)</f>
        <v>3600000</v>
      </c>
    </row>
    <row r="26" spans="1:18" s="54" customFormat="1" ht="15.75" x14ac:dyDescent="0.25">
      <c r="A26" s="59" t="s">
        <v>137</v>
      </c>
      <c r="B26" s="60"/>
      <c r="C26" s="60"/>
      <c r="D26" s="61"/>
      <c r="E26" s="61">
        <f>E24-E25</f>
        <v>-8796101.540000001</v>
      </c>
      <c r="F26" s="61">
        <f t="shared" ref="F26:P26" si="30">F24-F25</f>
        <v>10182942.293333333</v>
      </c>
      <c r="G26" s="61">
        <f t="shared" si="30"/>
        <v>-8796101.540000001</v>
      </c>
      <c r="H26" s="61">
        <f t="shared" si="30"/>
        <v>10182942.293333333</v>
      </c>
      <c r="I26" s="61">
        <f t="shared" si="30"/>
        <v>-8796101.540000001</v>
      </c>
      <c r="J26" s="61">
        <f t="shared" si="30"/>
        <v>10182942.293333333</v>
      </c>
      <c r="K26" s="61">
        <f t="shared" si="30"/>
        <v>-8796101.540000001</v>
      </c>
      <c r="L26" s="61">
        <f t="shared" si="30"/>
        <v>10182942.293333333</v>
      </c>
      <c r="M26" s="61">
        <f t="shared" si="30"/>
        <v>-8796101.540000001</v>
      </c>
      <c r="N26" s="61">
        <f t="shared" si="30"/>
        <v>10182942.293333333</v>
      </c>
      <c r="O26" s="61">
        <f t="shared" si="30"/>
        <v>-8796101.540000001</v>
      </c>
      <c r="P26" s="141">
        <f t="shared" si="30"/>
        <v>10182942.293333333</v>
      </c>
      <c r="Q26" s="157">
        <f>SUM(E26:P26)</f>
        <v>8321044.5199999921</v>
      </c>
    </row>
    <row r="27" spans="1:18" ht="15.75" thickBot="1" x14ac:dyDescent="0.3">
      <c r="A27" s="87" t="s">
        <v>138</v>
      </c>
      <c r="B27" s="88"/>
      <c r="C27" s="88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148"/>
      <c r="Q27" s="156">
        <f t="shared" ref="Q27:Q30" si="31">SUM(E27:P27)</f>
        <v>0</v>
      </c>
    </row>
    <row r="28" spans="1:18" s="54" customFormat="1" ht="15.75" x14ac:dyDescent="0.25">
      <c r="A28" s="74" t="s">
        <v>154</v>
      </c>
      <c r="B28" s="90"/>
      <c r="C28" s="91"/>
      <c r="D28" s="61"/>
      <c r="E28" s="61">
        <f>E26-E27</f>
        <v>-8796101.540000001</v>
      </c>
      <c r="F28" s="61">
        <f t="shared" ref="F28:P28" si="32">F26-F27</f>
        <v>10182942.293333333</v>
      </c>
      <c r="G28" s="61">
        <f t="shared" si="32"/>
        <v>-8796101.540000001</v>
      </c>
      <c r="H28" s="61">
        <f t="shared" si="32"/>
        <v>10182942.293333333</v>
      </c>
      <c r="I28" s="61">
        <f t="shared" si="32"/>
        <v>-8796101.540000001</v>
      </c>
      <c r="J28" s="61">
        <f t="shared" si="32"/>
        <v>10182942.293333333</v>
      </c>
      <c r="K28" s="61">
        <f t="shared" si="32"/>
        <v>-8796101.540000001</v>
      </c>
      <c r="L28" s="61">
        <f t="shared" si="32"/>
        <v>10182942.293333333</v>
      </c>
      <c r="M28" s="61">
        <f t="shared" si="32"/>
        <v>-8796101.540000001</v>
      </c>
      <c r="N28" s="61">
        <f t="shared" si="32"/>
        <v>10182942.293333333</v>
      </c>
      <c r="O28" s="61">
        <f t="shared" si="32"/>
        <v>-8796101.540000001</v>
      </c>
      <c r="P28" s="141">
        <f t="shared" si="32"/>
        <v>10182942.293333333</v>
      </c>
      <c r="Q28" s="157">
        <f t="shared" si="31"/>
        <v>8321044.5199999921</v>
      </c>
    </row>
    <row r="29" spans="1:18" s="53" customFormat="1" ht="16.5" thickBot="1" x14ac:dyDescent="0.3">
      <c r="A29" s="92" t="s">
        <v>139</v>
      </c>
      <c r="B29" s="93"/>
      <c r="C29" s="94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9"/>
      <c r="Q29" s="156">
        <f t="shared" si="31"/>
        <v>0</v>
      </c>
    </row>
    <row r="30" spans="1:18" s="54" customFormat="1" ht="16.5" thickBot="1" x14ac:dyDescent="0.3">
      <c r="A30" s="98" t="s">
        <v>140</v>
      </c>
      <c r="B30" s="99"/>
      <c r="C30" s="82"/>
      <c r="D30" s="100"/>
      <c r="E30" s="100">
        <f>E28-E29</f>
        <v>-8796101.540000001</v>
      </c>
      <c r="F30" s="100">
        <f t="shared" ref="F30:P30" si="33">F28-F29</f>
        <v>10182942.293333333</v>
      </c>
      <c r="G30" s="100">
        <f t="shared" si="33"/>
        <v>-8796101.540000001</v>
      </c>
      <c r="H30" s="100">
        <f t="shared" si="33"/>
        <v>10182942.293333333</v>
      </c>
      <c r="I30" s="100">
        <f t="shared" si="33"/>
        <v>-8796101.540000001</v>
      </c>
      <c r="J30" s="100">
        <f t="shared" si="33"/>
        <v>10182942.293333333</v>
      </c>
      <c r="K30" s="100">
        <f t="shared" si="33"/>
        <v>-8796101.540000001</v>
      </c>
      <c r="L30" s="100">
        <f t="shared" si="33"/>
        <v>10182942.293333333</v>
      </c>
      <c r="M30" s="100">
        <f t="shared" si="33"/>
        <v>-8796101.540000001</v>
      </c>
      <c r="N30" s="100">
        <f t="shared" si="33"/>
        <v>10182942.293333333</v>
      </c>
      <c r="O30" s="100">
        <f t="shared" si="33"/>
        <v>-8796101.540000001</v>
      </c>
      <c r="P30" s="150">
        <f t="shared" si="33"/>
        <v>10182942.293333333</v>
      </c>
      <c r="Q30" s="158">
        <f t="shared" si="31"/>
        <v>8321044.5199999921</v>
      </c>
    </row>
    <row r="31" spans="1:18" s="54" customFormat="1" ht="15.75" x14ac:dyDescent="0.25">
      <c r="A31" s="74" t="s">
        <v>129</v>
      </c>
      <c r="B31" s="90"/>
      <c r="C31" s="91"/>
      <c r="D31" s="61">
        <f>-D32-D33</f>
        <v>-8655460</v>
      </c>
      <c r="E31" s="61">
        <f t="shared" ref="E31:P31" si="34">-E32-E33</f>
        <v>0</v>
      </c>
      <c r="F31" s="61">
        <f t="shared" si="34"/>
        <v>0</v>
      </c>
      <c r="G31" s="61">
        <f t="shared" si="34"/>
        <v>0</v>
      </c>
      <c r="H31" s="61">
        <f t="shared" si="34"/>
        <v>0</v>
      </c>
      <c r="I31" s="61">
        <f t="shared" si="34"/>
        <v>0</v>
      </c>
      <c r="J31" s="61">
        <f t="shared" si="34"/>
        <v>0</v>
      </c>
      <c r="K31" s="61">
        <f t="shared" si="34"/>
        <v>0</v>
      </c>
      <c r="L31" s="61">
        <f t="shared" si="34"/>
        <v>0</v>
      </c>
      <c r="M31" s="61">
        <f t="shared" si="34"/>
        <v>0</v>
      </c>
      <c r="N31" s="61">
        <f t="shared" si="34"/>
        <v>0</v>
      </c>
      <c r="O31" s="61">
        <f t="shared" si="34"/>
        <v>0</v>
      </c>
      <c r="P31" s="141">
        <f t="shared" si="34"/>
        <v>0</v>
      </c>
      <c r="Q31" s="152">
        <f>SUM(D31:P31)</f>
        <v>-8655460</v>
      </c>
    </row>
    <row r="32" spans="1:18" ht="15" x14ac:dyDescent="0.25">
      <c r="A32" s="101"/>
      <c r="B32" s="81" t="s">
        <v>130</v>
      </c>
      <c r="C32" s="80"/>
      <c r="D32" s="57">
        <f>'COSTOS APLICADOS'!F19</f>
        <v>7680460</v>
      </c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151"/>
      <c r="Q32" s="155">
        <f t="shared" ref="Q32:Q37" si="35">SUM(D32:P32)</f>
        <v>7680460</v>
      </c>
    </row>
    <row r="33" spans="1:18" ht="15" x14ac:dyDescent="0.25">
      <c r="A33" s="101"/>
      <c r="B33" s="81" t="s">
        <v>131</v>
      </c>
      <c r="C33" s="80"/>
      <c r="D33" s="57">
        <f>'COSTOS APLICADOS'!F33</f>
        <v>975000</v>
      </c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151"/>
      <c r="Q33" s="155">
        <f t="shared" si="35"/>
        <v>975000</v>
      </c>
    </row>
    <row r="34" spans="1:18" ht="15" x14ac:dyDescent="0.25">
      <c r="A34" s="76" t="s">
        <v>133</v>
      </c>
      <c r="B34" s="81"/>
      <c r="C34" s="80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151"/>
      <c r="Q34" s="155">
        <f t="shared" si="35"/>
        <v>0</v>
      </c>
    </row>
    <row r="35" spans="1:18" ht="15" x14ac:dyDescent="0.25">
      <c r="A35" s="76" t="s">
        <v>135</v>
      </c>
      <c r="B35" s="81"/>
      <c r="C35" s="80"/>
      <c r="D35" s="57"/>
      <c r="E35" s="57">
        <f>E27</f>
        <v>0</v>
      </c>
      <c r="F35" s="57">
        <f t="shared" ref="F35:P35" si="36">F27</f>
        <v>0</v>
      </c>
      <c r="G35" s="57">
        <f t="shared" si="36"/>
        <v>0</v>
      </c>
      <c r="H35" s="57">
        <f t="shared" si="36"/>
        <v>0</v>
      </c>
      <c r="I35" s="57">
        <f t="shared" si="36"/>
        <v>0</v>
      </c>
      <c r="J35" s="57">
        <f t="shared" si="36"/>
        <v>0</v>
      </c>
      <c r="K35" s="57">
        <f t="shared" si="36"/>
        <v>0</v>
      </c>
      <c r="L35" s="57">
        <f t="shared" si="36"/>
        <v>0</v>
      </c>
      <c r="M35" s="57">
        <f t="shared" si="36"/>
        <v>0</v>
      </c>
      <c r="N35" s="57">
        <f t="shared" si="36"/>
        <v>0</v>
      </c>
      <c r="O35" s="57">
        <f t="shared" si="36"/>
        <v>0</v>
      </c>
      <c r="P35" s="151">
        <f t="shared" si="36"/>
        <v>0</v>
      </c>
      <c r="Q35" s="155">
        <f t="shared" si="35"/>
        <v>0</v>
      </c>
    </row>
    <row r="36" spans="1:18" ht="15.75" thickBot="1" x14ac:dyDescent="0.3">
      <c r="A36" s="102" t="s">
        <v>134</v>
      </c>
      <c r="B36" s="103"/>
      <c r="C36" s="104"/>
      <c r="D36" s="89"/>
      <c r="E36" s="89">
        <f>'COSTOS APLICADOS'!F79/2</f>
        <v>399886.91666666669</v>
      </c>
      <c r="F36" s="89">
        <f>E36</f>
        <v>399886.91666666669</v>
      </c>
      <c r="G36" s="89">
        <f t="shared" ref="G36:P36" si="37">F36</f>
        <v>399886.91666666669</v>
      </c>
      <c r="H36" s="89">
        <f t="shared" si="37"/>
        <v>399886.91666666669</v>
      </c>
      <c r="I36" s="89">
        <f t="shared" si="37"/>
        <v>399886.91666666669</v>
      </c>
      <c r="J36" s="89">
        <f t="shared" si="37"/>
        <v>399886.91666666669</v>
      </c>
      <c r="K36" s="89">
        <f t="shared" si="37"/>
        <v>399886.91666666669</v>
      </c>
      <c r="L36" s="89">
        <f t="shared" si="37"/>
        <v>399886.91666666669</v>
      </c>
      <c r="M36" s="89">
        <f t="shared" si="37"/>
        <v>399886.91666666669</v>
      </c>
      <c r="N36" s="89">
        <f t="shared" si="37"/>
        <v>399886.91666666669</v>
      </c>
      <c r="O36" s="89">
        <f t="shared" si="37"/>
        <v>399886.91666666669</v>
      </c>
      <c r="P36" s="148">
        <f t="shared" si="37"/>
        <v>399886.91666666669</v>
      </c>
      <c r="Q36" s="156">
        <f t="shared" si="35"/>
        <v>4798643</v>
      </c>
    </row>
    <row r="37" spans="1:18" s="54" customFormat="1" ht="16.5" thickBot="1" x14ac:dyDescent="0.3">
      <c r="A37" s="96" t="s">
        <v>132</v>
      </c>
      <c r="B37" s="105"/>
      <c r="C37" s="97"/>
      <c r="D37" s="79">
        <f>D31</f>
        <v>-8655460</v>
      </c>
      <c r="E37" s="79">
        <f>E30-E31-E34+E35+E36</f>
        <v>-8396214.6233333349</v>
      </c>
      <c r="F37" s="79">
        <f t="shared" ref="F37:P37" si="38">F30-F31-F34+F35+F36</f>
        <v>10582829.209999999</v>
      </c>
      <c r="G37" s="79">
        <f t="shared" si="38"/>
        <v>-8396214.6233333349</v>
      </c>
      <c r="H37" s="79">
        <f t="shared" si="38"/>
        <v>10582829.209999999</v>
      </c>
      <c r="I37" s="79">
        <f t="shared" si="38"/>
        <v>-8396214.6233333349</v>
      </c>
      <c r="J37" s="79">
        <f t="shared" si="38"/>
        <v>10582829.209999999</v>
      </c>
      <c r="K37" s="79">
        <f t="shared" si="38"/>
        <v>-8396214.6233333349</v>
      </c>
      <c r="L37" s="79">
        <f t="shared" si="38"/>
        <v>10582829.209999999</v>
      </c>
      <c r="M37" s="79">
        <f t="shared" si="38"/>
        <v>-8396214.6233333349</v>
      </c>
      <c r="N37" s="79">
        <f t="shared" si="38"/>
        <v>10582829.209999999</v>
      </c>
      <c r="O37" s="79">
        <f t="shared" si="38"/>
        <v>-8396214.6233333349</v>
      </c>
      <c r="P37" s="112">
        <f t="shared" si="38"/>
        <v>10582829.209999999</v>
      </c>
      <c r="Q37" s="113">
        <f t="shared" si="35"/>
        <v>4464227.5199999847</v>
      </c>
      <c r="R37" s="54">
        <f>Q37/Q3</f>
        <v>6.469894956521717E-2</v>
      </c>
    </row>
    <row r="38" spans="1:18" x14ac:dyDescent="0.2"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  <row r="39" spans="1:18" ht="20.25" x14ac:dyDescent="0.3">
      <c r="D39" s="159" t="s">
        <v>142</v>
      </c>
      <c r="E39" s="160">
        <v>0.15</v>
      </c>
      <c r="F39" s="161"/>
      <c r="G39" s="183" t="s">
        <v>143</v>
      </c>
      <c r="H39" s="183"/>
      <c r="I39" s="162">
        <f>POWER(1+E39,(1/12))-1</f>
        <v>1.171491691985338E-2</v>
      </c>
      <c r="J39" s="50"/>
      <c r="K39" s="50"/>
      <c r="L39" s="50"/>
      <c r="M39" s="50"/>
      <c r="N39" s="50"/>
      <c r="O39" s="50"/>
      <c r="P39" s="50"/>
    </row>
    <row r="40" spans="1:18" ht="15" thickBot="1" x14ac:dyDescent="0.25">
      <c r="D40" s="161"/>
      <c r="E40" s="161"/>
      <c r="F40" s="161"/>
      <c r="G40" s="161"/>
      <c r="H40" s="161"/>
      <c r="I40" s="161"/>
      <c r="J40" s="50"/>
      <c r="K40" s="50"/>
      <c r="L40" s="50"/>
      <c r="M40" s="50"/>
      <c r="N40" s="50"/>
      <c r="O40" s="50"/>
      <c r="P40" s="50"/>
    </row>
    <row r="41" spans="1:18" ht="18.75" thickBot="1" x14ac:dyDescent="0.3">
      <c r="D41" s="163" t="s">
        <v>149</v>
      </c>
      <c r="E41" s="164">
        <f>D37+NPV(I39,E37:P37)</f>
        <v>2902229.2762218881</v>
      </c>
      <c r="F41" s="161"/>
      <c r="G41" s="163" t="s">
        <v>151</v>
      </c>
      <c r="H41" s="165">
        <f>IRR(D37:P37)</f>
        <v>3.8483312427509242E-2</v>
      </c>
      <c r="I41" s="161"/>
      <c r="J41" s="50"/>
      <c r="K41" s="50"/>
      <c r="L41" s="50"/>
      <c r="M41" s="50"/>
      <c r="N41" s="50"/>
      <c r="O41" s="50"/>
      <c r="P41" s="50"/>
    </row>
    <row r="42" spans="1:18" ht="15" thickBot="1" x14ac:dyDescent="0.25">
      <c r="D42" s="161"/>
      <c r="E42" s="161"/>
      <c r="F42" s="161"/>
      <c r="G42" s="161"/>
      <c r="H42" s="161"/>
      <c r="I42" s="161"/>
      <c r="J42" s="50"/>
      <c r="K42" s="50"/>
      <c r="L42" s="50"/>
      <c r="M42" s="50"/>
      <c r="N42" s="50"/>
      <c r="O42" s="50"/>
      <c r="P42" s="50"/>
    </row>
    <row r="43" spans="1:18" ht="18.75" thickBot="1" x14ac:dyDescent="0.3">
      <c r="D43" s="166" t="s">
        <v>153</v>
      </c>
      <c r="E43" s="167"/>
      <c r="F43" s="168"/>
      <c r="G43" s="169">
        <f>Q48/Q51</f>
        <v>1.2218773804349516</v>
      </c>
      <c r="H43" s="161"/>
      <c r="I43" s="161"/>
      <c r="J43" s="50"/>
      <c r="K43" s="50"/>
      <c r="L43" s="50"/>
      <c r="M43" s="50"/>
      <c r="N43" s="50"/>
      <c r="O43" s="50"/>
      <c r="P43" s="50"/>
    </row>
    <row r="44" spans="1:18" x14ac:dyDescent="0.2"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</row>
    <row r="45" spans="1:18" x14ac:dyDescent="0.2"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</row>
    <row r="46" spans="1:18" ht="15" thickBot="1" x14ac:dyDescent="0.25"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</row>
    <row r="47" spans="1:18" ht="18.75" thickBot="1" x14ac:dyDescent="0.3">
      <c r="A47" s="180" t="s">
        <v>128</v>
      </c>
      <c r="B47" s="181"/>
      <c r="C47" s="182"/>
      <c r="D47" s="78" t="s">
        <v>104</v>
      </c>
      <c r="E47" s="58" t="s">
        <v>109</v>
      </c>
      <c r="F47" s="58" t="s">
        <v>110</v>
      </c>
      <c r="G47" s="58" t="s">
        <v>111</v>
      </c>
      <c r="H47" s="58" t="s">
        <v>112</v>
      </c>
      <c r="I47" s="58" t="s">
        <v>113</v>
      </c>
      <c r="J47" s="58" t="s">
        <v>114</v>
      </c>
      <c r="K47" s="58" t="s">
        <v>115</v>
      </c>
      <c r="L47" s="58" t="s">
        <v>116</v>
      </c>
      <c r="M47" s="58" t="s">
        <v>117</v>
      </c>
      <c r="N47" s="58" t="s">
        <v>118</v>
      </c>
      <c r="O47" s="58" t="s">
        <v>119</v>
      </c>
      <c r="P47" s="110" t="s">
        <v>120</v>
      </c>
      <c r="Q47" s="111" t="s">
        <v>144</v>
      </c>
    </row>
    <row r="48" spans="1:18" s="54" customFormat="1" ht="16.5" thickBot="1" x14ac:dyDescent="0.3">
      <c r="A48" s="96" t="s">
        <v>141</v>
      </c>
      <c r="B48" s="105"/>
      <c r="C48" s="131"/>
      <c r="D48" s="127">
        <f>D3</f>
        <v>0</v>
      </c>
      <c r="E48" s="79">
        <f>E3*POWER(1+$I$39,-1)</f>
        <v>0</v>
      </c>
      <c r="F48" s="79">
        <f>F3*POWER(1+$I$39,-2)</f>
        <v>11235218.777570628</v>
      </c>
      <c r="G48" s="79">
        <f>G3*POWER(1+$I$39,-3)</f>
        <v>0</v>
      </c>
      <c r="H48" s="79">
        <f>H3*POWER(1+$I$39,-4)</f>
        <v>10976533.998250056</v>
      </c>
      <c r="I48" s="79">
        <f>I3*POWER(1+$I$39,-5)</f>
        <v>0</v>
      </c>
      <c r="J48" s="79">
        <f>J3*POWER(1+$I$39,-6)</f>
        <v>10723805.2947636</v>
      </c>
      <c r="K48" s="79">
        <f>K3*POWER(1+$I$39,-7)</f>
        <v>0</v>
      </c>
      <c r="L48" s="79">
        <f>L3*POWER(1+$I$39,-8)</f>
        <v>10476895.531716464</v>
      </c>
      <c r="M48" s="79">
        <f>M3*POWER(1+$I$39,-9)</f>
        <v>0</v>
      </c>
      <c r="N48" s="79">
        <f>N3*POWER(1+$I$39,-10)</f>
        <v>10235670.731181446</v>
      </c>
      <c r="O48" s="79">
        <f>O3*POWER(1+$I$39,-11)</f>
        <v>0</v>
      </c>
      <c r="P48" s="112">
        <f>P3*POWER(1+$I$39,-12)</f>
        <v>9999999.999999987</v>
      </c>
      <c r="Q48" s="113">
        <f>SUM(D48:P48)</f>
        <v>63648124.333482176</v>
      </c>
    </row>
    <row r="49" spans="1:17" ht="15" x14ac:dyDescent="0.2">
      <c r="A49" s="114" t="s">
        <v>145</v>
      </c>
      <c r="B49" s="115"/>
      <c r="C49" s="132"/>
      <c r="D49" s="128">
        <f>D8</f>
        <v>0</v>
      </c>
      <c r="E49" s="64">
        <f>(E8-'COSTOS APLICADOS'!$F$79/2)*POWER(1+$I$39,-1)</f>
        <v>8002466.3943693778</v>
      </c>
      <c r="F49" s="64">
        <f>(F8-'COSTOS APLICADOS'!$F$79/2)*POWER(1+$I$39,-2)</f>
        <v>602960.76945879124</v>
      </c>
      <c r="G49" s="64">
        <f>(G8-'COSTOS APLICADOS'!$F$79/2)*POWER(1+$I$39,-3)</f>
        <v>7818213.9739910224</v>
      </c>
      <c r="H49" s="64">
        <f>(H8-'COSTOS APLICADOS'!$F$79/2)*POWER(1+$I$39,-4)</f>
        <v>589077.92688363872</v>
      </c>
      <c r="I49" s="64">
        <f>(I8-'COSTOS APLICADOS'!$F$79/2)*POWER(1+$I$39,-5)</f>
        <v>7638203.8650129577</v>
      </c>
      <c r="J49" s="64">
        <f>(J8-'COSTOS APLICADOS'!$F$79/2)*POWER(1+$I$39,-6)</f>
        <v>575514.72918047255</v>
      </c>
      <c r="K49" s="64">
        <f>(K8-'COSTOS APLICADOS'!$F$79/2)*POWER(1+$I$39,-7)</f>
        <v>7462338.390530969</v>
      </c>
      <c r="L49" s="64">
        <f>(L8-'COSTOS APLICADOS'!$F$79/2)*POWER(1+$I$39,-8)</f>
        <v>562263.81670060183</v>
      </c>
      <c r="M49" s="64">
        <f>(M8-'COSTOS APLICADOS'!$F$79/2)*POWER(1+$I$39,-9)</f>
        <v>7290522.1225982346</v>
      </c>
      <c r="N49" s="64">
        <f>(N8-'COSTOS APLICADOS'!$F$79/2)*POWER(1+$I$39,-10)</f>
        <v>549317.99924722884</v>
      </c>
      <c r="O49" s="64">
        <f>(O8-'COSTOS APLICADOS'!$F$79/2)*POWER(1+$I$39,-11)</f>
        <v>7122661.8304443266</v>
      </c>
      <c r="P49" s="64">
        <f>(P8-'COSTOS APLICADOS'!$F$79/2)*POWER(1+$I$39,-12)</f>
        <v>536670.25217391236</v>
      </c>
      <c r="Q49" s="116">
        <f>SUM(D49:P49)</f>
        <v>48750212.070591539</v>
      </c>
    </row>
    <row r="50" spans="1:17" ht="15" x14ac:dyDescent="0.2">
      <c r="A50" s="101" t="s">
        <v>146</v>
      </c>
      <c r="B50" s="81"/>
      <c r="C50" s="133"/>
      <c r="D50" s="107">
        <v>0</v>
      </c>
      <c r="E50" s="83">
        <f>E25*POWER(1+$I$39,-1)</f>
        <v>296526.21996851073</v>
      </c>
      <c r="F50" s="83">
        <f>F25*POWER(1+$I$39,-2)</f>
        <v>293092.66376271204</v>
      </c>
      <c r="G50" s="83">
        <f>G25*POWER(1+$I$39,-3)</f>
        <v>289698.86562019569</v>
      </c>
      <c r="H50" s="83">
        <f>H25*POWER(1+$I$39,-4)</f>
        <v>286344.36517174059</v>
      </c>
      <c r="I50" s="83">
        <f>I25*POWER(1+$I$39,-5)</f>
        <v>283028.70737886371</v>
      </c>
      <c r="J50" s="83">
        <f>J25*POWER(1+$I$39,-6)</f>
        <v>279751.44247209391</v>
      </c>
      <c r="K50" s="83">
        <f>K25*POWER(1+$I$39,-7)</f>
        <v>276512.12588996108</v>
      </c>
      <c r="L50" s="83">
        <f>L25*POWER(1+$I$39,-8)</f>
        <v>273310.3182186904</v>
      </c>
      <c r="M50" s="83">
        <f>M25*POWER(1+$I$39,-9)</f>
        <v>270145.58513259678</v>
      </c>
      <c r="N50" s="83">
        <f>N25*POWER(1+$I$39,-10)</f>
        <v>267017.49733516818</v>
      </c>
      <c r="O50" s="83">
        <f>O25*POWER(1+$I$39,-11)</f>
        <v>263925.630500831</v>
      </c>
      <c r="P50" s="108">
        <f>P25*POWER(1+$I$39,-12)</f>
        <v>260869.56521739098</v>
      </c>
      <c r="Q50" s="109">
        <f>SUM(D50:P50)</f>
        <v>3340222.9866687558</v>
      </c>
    </row>
    <row r="51" spans="1:17" s="54" customFormat="1" ht="16.5" thickBot="1" x14ac:dyDescent="0.3">
      <c r="A51" s="117" t="s">
        <v>150</v>
      </c>
      <c r="B51" s="118"/>
      <c r="C51" s="134"/>
      <c r="D51" s="129">
        <f>D49+D50</f>
        <v>0</v>
      </c>
      <c r="E51" s="119">
        <f t="shared" ref="E51:P51" si="39">E49+E50</f>
        <v>8298992.6143378885</v>
      </c>
      <c r="F51" s="119">
        <f t="shared" si="39"/>
        <v>896053.43322150328</v>
      </c>
      <c r="G51" s="119">
        <f t="shared" si="39"/>
        <v>8107912.8396112183</v>
      </c>
      <c r="H51" s="119">
        <f t="shared" si="39"/>
        <v>875422.29205537937</v>
      </c>
      <c r="I51" s="119">
        <f t="shared" si="39"/>
        <v>7921232.5723918211</v>
      </c>
      <c r="J51" s="119">
        <f t="shared" si="39"/>
        <v>855266.17165256641</v>
      </c>
      <c r="K51" s="119">
        <f t="shared" si="39"/>
        <v>7738850.5164209297</v>
      </c>
      <c r="L51" s="119">
        <f t="shared" si="39"/>
        <v>835574.13491929229</v>
      </c>
      <c r="M51" s="119">
        <f t="shared" si="39"/>
        <v>7560667.7077308316</v>
      </c>
      <c r="N51" s="119">
        <f t="shared" si="39"/>
        <v>816335.49658239703</v>
      </c>
      <c r="O51" s="119">
        <f t="shared" si="39"/>
        <v>7386587.4609451573</v>
      </c>
      <c r="P51" s="120">
        <f t="shared" si="39"/>
        <v>797539.81739130337</v>
      </c>
      <c r="Q51" s="121">
        <f>SUM(D51:P51)</f>
        <v>52090435.05726029</v>
      </c>
    </row>
    <row r="52" spans="1:17" s="54" customFormat="1" ht="16.5" thickBot="1" x14ac:dyDescent="0.3">
      <c r="A52" s="136" t="s">
        <v>148</v>
      </c>
      <c r="B52" s="137"/>
      <c r="C52" s="138"/>
      <c r="D52" s="139">
        <f>D31</f>
        <v>-8655460</v>
      </c>
      <c r="E52" s="139">
        <f t="shared" ref="E52:P52" si="40">E31</f>
        <v>0</v>
      </c>
      <c r="F52" s="139">
        <f t="shared" si="40"/>
        <v>0</v>
      </c>
      <c r="G52" s="139">
        <f t="shared" si="40"/>
        <v>0</v>
      </c>
      <c r="H52" s="139">
        <f t="shared" si="40"/>
        <v>0</v>
      </c>
      <c r="I52" s="139">
        <f t="shared" si="40"/>
        <v>0</v>
      </c>
      <c r="J52" s="139">
        <f t="shared" si="40"/>
        <v>0</v>
      </c>
      <c r="K52" s="139">
        <f t="shared" si="40"/>
        <v>0</v>
      </c>
      <c r="L52" s="139">
        <f t="shared" si="40"/>
        <v>0</v>
      </c>
      <c r="M52" s="139">
        <f t="shared" si="40"/>
        <v>0</v>
      </c>
      <c r="N52" s="139">
        <f t="shared" si="40"/>
        <v>0</v>
      </c>
      <c r="O52" s="139">
        <f t="shared" si="40"/>
        <v>0</v>
      </c>
      <c r="P52" s="139">
        <f t="shared" si="40"/>
        <v>0</v>
      </c>
      <c r="Q52" s="121">
        <f>SUM(D52:P52)</f>
        <v>-8655460</v>
      </c>
    </row>
    <row r="53" spans="1:17" ht="18.75" thickBot="1" x14ac:dyDescent="0.3">
      <c r="A53" s="122" t="s">
        <v>147</v>
      </c>
      <c r="B53" s="123"/>
      <c r="C53" s="135"/>
      <c r="D53" s="130">
        <f>D48-D51+D52</f>
        <v>-8655460</v>
      </c>
      <c r="E53" s="124">
        <f t="shared" ref="E53:P53" si="41">E48-E51</f>
        <v>-8298992.6143378885</v>
      </c>
      <c r="F53" s="124">
        <f t="shared" si="41"/>
        <v>10339165.344349124</v>
      </c>
      <c r="G53" s="124">
        <f t="shared" si="41"/>
        <v>-8107912.8396112183</v>
      </c>
      <c r="H53" s="124">
        <f t="shared" si="41"/>
        <v>10101111.706194676</v>
      </c>
      <c r="I53" s="124">
        <f t="shared" si="41"/>
        <v>-7921232.5723918211</v>
      </c>
      <c r="J53" s="124">
        <f t="shared" si="41"/>
        <v>9868539.1231110338</v>
      </c>
      <c r="K53" s="124">
        <f t="shared" si="41"/>
        <v>-7738850.5164209297</v>
      </c>
      <c r="L53" s="124">
        <f t="shared" si="41"/>
        <v>9641321.3967971727</v>
      </c>
      <c r="M53" s="124">
        <f t="shared" si="41"/>
        <v>-7560667.7077308316</v>
      </c>
      <c r="N53" s="124">
        <f t="shared" si="41"/>
        <v>9419335.2345990501</v>
      </c>
      <c r="O53" s="124">
        <f t="shared" si="41"/>
        <v>-7386587.4609451573</v>
      </c>
      <c r="P53" s="125">
        <f t="shared" si="41"/>
        <v>9202460.1826086827</v>
      </c>
      <c r="Q53" s="126">
        <f>Q48-Q51+Q52</f>
        <v>2902229.2762218863</v>
      </c>
    </row>
    <row r="54" spans="1:17" ht="7.5" customHeight="1" thickBot="1" x14ac:dyDescent="0.25"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</row>
    <row r="55" spans="1:17" s="106" customFormat="1" ht="18.75" thickBot="1" x14ac:dyDescent="0.3">
      <c r="A55" s="96" t="s">
        <v>152</v>
      </c>
      <c r="B55" s="105"/>
      <c r="C55" s="105"/>
      <c r="D55" s="140">
        <f>D53</f>
        <v>-8655460</v>
      </c>
      <c r="E55" s="79">
        <f>D55+E53</f>
        <v>-16954452.614337888</v>
      </c>
      <c r="F55" s="79">
        <f t="shared" ref="F55:P55" si="42">E55+F53</f>
        <v>-6615287.2699887641</v>
      </c>
      <c r="G55" s="79">
        <f t="shared" si="42"/>
        <v>-14723200.109599981</v>
      </c>
      <c r="H55" s="79">
        <f t="shared" si="42"/>
        <v>-4622088.403405305</v>
      </c>
      <c r="I55" s="79">
        <f t="shared" si="42"/>
        <v>-12543320.975797126</v>
      </c>
      <c r="J55" s="79">
        <f t="shared" si="42"/>
        <v>-2674781.8526860923</v>
      </c>
      <c r="K55" s="79">
        <f t="shared" si="42"/>
        <v>-10413632.369107023</v>
      </c>
      <c r="L55" s="79">
        <f t="shared" si="42"/>
        <v>-772310.97230985016</v>
      </c>
      <c r="M55" s="79">
        <f t="shared" si="42"/>
        <v>-8332978.6800406817</v>
      </c>
      <c r="N55" s="79">
        <f t="shared" si="42"/>
        <v>1086356.5545583684</v>
      </c>
      <c r="O55" s="79">
        <f t="shared" si="42"/>
        <v>-6300230.9063867889</v>
      </c>
      <c r="P55" s="79">
        <f t="shared" si="42"/>
        <v>2902229.2762218937</v>
      </c>
    </row>
    <row r="56" spans="1:17" x14ac:dyDescent="0.2"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7" x14ac:dyDescent="0.2"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</row>
    <row r="58" spans="1:17" x14ac:dyDescent="0.2"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  <row r="59" spans="1:17" x14ac:dyDescent="0.2"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</row>
    <row r="60" spans="1:17" x14ac:dyDescent="0.2"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</row>
    <row r="61" spans="1:17" x14ac:dyDescent="0.2"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1:17" x14ac:dyDescent="0.2"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</row>
    <row r="63" spans="1:17" x14ac:dyDescent="0.2"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1:17" x14ac:dyDescent="0.2"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</row>
    <row r="65" spans="4:16" x14ac:dyDescent="0.2"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</row>
    <row r="66" spans="4:16" x14ac:dyDescent="0.2"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</row>
    <row r="67" spans="4:16" x14ac:dyDescent="0.2"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</row>
    <row r="68" spans="4:16" x14ac:dyDescent="0.2"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4:16" x14ac:dyDescent="0.2"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</row>
    <row r="70" spans="4:16" x14ac:dyDescent="0.2"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</row>
    <row r="71" spans="4:16" x14ac:dyDescent="0.2"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</row>
    <row r="72" spans="4:16" x14ac:dyDescent="0.2"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</row>
    <row r="73" spans="4:16" x14ac:dyDescent="0.2"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</row>
    <row r="74" spans="4:16" x14ac:dyDescent="0.2"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</row>
    <row r="75" spans="4:16" x14ac:dyDescent="0.2"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</row>
    <row r="76" spans="4:16" x14ac:dyDescent="0.2"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</row>
    <row r="77" spans="4:16" x14ac:dyDescent="0.2"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</row>
    <row r="78" spans="4:16" x14ac:dyDescent="0.2"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</row>
    <row r="79" spans="4:16" x14ac:dyDescent="0.2"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</row>
    <row r="80" spans="4:16" x14ac:dyDescent="0.2"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</row>
    <row r="81" spans="4:16" x14ac:dyDescent="0.2"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</row>
    <row r="82" spans="4:16" x14ac:dyDescent="0.2"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</row>
    <row r="83" spans="4:16" x14ac:dyDescent="0.2"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</row>
    <row r="84" spans="4:16" x14ac:dyDescent="0.2"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4:16" x14ac:dyDescent="0.2"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</row>
    <row r="86" spans="4:16" x14ac:dyDescent="0.2"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</row>
    <row r="87" spans="4:16" x14ac:dyDescent="0.2"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</row>
    <row r="88" spans="4:16" x14ac:dyDescent="0.2"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</row>
    <row r="89" spans="4:16" x14ac:dyDescent="0.2"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</row>
    <row r="90" spans="4:16" x14ac:dyDescent="0.2"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</row>
    <row r="91" spans="4:16" x14ac:dyDescent="0.2"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</row>
    <row r="92" spans="4:16" x14ac:dyDescent="0.2"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</row>
    <row r="93" spans="4:16" x14ac:dyDescent="0.2"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</row>
    <row r="94" spans="4:16" x14ac:dyDescent="0.2"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</row>
    <row r="95" spans="4:16" x14ac:dyDescent="0.2"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</row>
    <row r="96" spans="4:16" x14ac:dyDescent="0.2"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</row>
    <row r="97" spans="4:16" x14ac:dyDescent="0.2"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</row>
    <row r="98" spans="4:16" x14ac:dyDescent="0.2"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</row>
    <row r="99" spans="4:16" x14ac:dyDescent="0.2"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</row>
    <row r="100" spans="4:16" x14ac:dyDescent="0.2"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</row>
    <row r="101" spans="4:16" x14ac:dyDescent="0.2"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</row>
    <row r="102" spans="4:16" x14ac:dyDescent="0.2"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</row>
    <row r="103" spans="4:16" x14ac:dyDescent="0.2"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</row>
    <row r="104" spans="4:16" x14ac:dyDescent="0.2"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</row>
    <row r="105" spans="4:16" x14ac:dyDescent="0.2"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</row>
    <row r="106" spans="4:16" x14ac:dyDescent="0.2"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</row>
  </sheetData>
  <mergeCells count="3">
    <mergeCell ref="A2:C2"/>
    <mergeCell ref="A47:C47"/>
    <mergeCell ref="G39:H3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topLeftCell="L32" workbookViewId="0">
      <selection activeCell="S39" sqref="S39"/>
    </sheetView>
  </sheetViews>
  <sheetFormatPr baseColWidth="10" defaultRowHeight="14.25" x14ac:dyDescent="0.2"/>
  <cols>
    <col min="1" max="1" width="1.85546875" style="49" customWidth="1"/>
    <col min="2" max="2" width="1.42578125" style="49" customWidth="1"/>
    <col min="3" max="3" width="30" style="49" customWidth="1"/>
    <col min="4" max="16" width="18.42578125" style="49" customWidth="1"/>
    <col min="17" max="17" width="16.28515625" style="49" customWidth="1"/>
    <col min="18" max="16384" width="11.42578125" style="49"/>
  </cols>
  <sheetData>
    <row r="1" spans="1:18" ht="15" thickBot="1" x14ac:dyDescent="0.25"/>
    <row r="2" spans="1:18" ht="18.75" thickBot="1" x14ac:dyDescent="0.3">
      <c r="A2" s="177" t="s">
        <v>128</v>
      </c>
      <c r="B2" s="178"/>
      <c r="C2" s="179"/>
      <c r="D2" s="171" t="s">
        <v>104</v>
      </c>
      <c r="E2" s="171" t="s">
        <v>109</v>
      </c>
      <c r="F2" s="171" t="s">
        <v>110</v>
      </c>
      <c r="G2" s="171" t="s">
        <v>111</v>
      </c>
      <c r="H2" s="171" t="s">
        <v>112</v>
      </c>
      <c r="I2" s="171" t="s">
        <v>113</v>
      </c>
      <c r="J2" s="171" t="s">
        <v>114</v>
      </c>
      <c r="K2" s="171" t="s">
        <v>115</v>
      </c>
      <c r="L2" s="171" t="s">
        <v>116</v>
      </c>
      <c r="M2" s="171" t="s">
        <v>117</v>
      </c>
      <c r="N2" s="171" t="s">
        <v>118</v>
      </c>
      <c r="O2" s="171" t="s">
        <v>119</v>
      </c>
      <c r="P2" s="110" t="s">
        <v>120</v>
      </c>
      <c r="Q2" s="111" t="s">
        <v>24</v>
      </c>
    </row>
    <row r="3" spans="1:18" s="54" customFormat="1" ht="15.75" x14ac:dyDescent="0.25">
      <c r="A3" s="59" t="s">
        <v>127</v>
      </c>
      <c r="B3" s="60"/>
      <c r="C3" s="60"/>
      <c r="D3" s="61"/>
      <c r="E3" s="61">
        <f>SUM(E4:E7)</f>
        <v>0</v>
      </c>
      <c r="F3" s="61">
        <f t="shared" ref="F3:P3" si="0">SUM(F4:F7)</f>
        <v>172500000</v>
      </c>
      <c r="G3" s="61">
        <f t="shared" si="0"/>
        <v>0</v>
      </c>
      <c r="H3" s="61">
        <f t="shared" si="0"/>
        <v>172500000</v>
      </c>
      <c r="I3" s="61">
        <f t="shared" si="0"/>
        <v>0</v>
      </c>
      <c r="J3" s="61">
        <f t="shared" si="0"/>
        <v>172500000</v>
      </c>
      <c r="K3" s="61">
        <f t="shared" si="0"/>
        <v>0</v>
      </c>
      <c r="L3" s="61">
        <f t="shared" si="0"/>
        <v>172500000</v>
      </c>
      <c r="M3" s="61">
        <f t="shared" si="0"/>
        <v>0</v>
      </c>
      <c r="N3" s="61">
        <f t="shared" si="0"/>
        <v>172500000</v>
      </c>
      <c r="O3" s="61">
        <f t="shared" si="0"/>
        <v>0</v>
      </c>
      <c r="P3" s="141">
        <f t="shared" si="0"/>
        <v>172500000</v>
      </c>
      <c r="Q3" s="152">
        <f>SUM(E3:P3)</f>
        <v>1035000000</v>
      </c>
    </row>
    <row r="4" spans="1:18" s="52" customFormat="1" ht="12.75" x14ac:dyDescent="0.2">
      <c r="A4" s="70"/>
      <c r="B4" s="71"/>
      <c r="C4" s="66" t="s">
        <v>105</v>
      </c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142"/>
      <c r="Q4" s="153">
        <f>SUM(E4:P4)</f>
        <v>0</v>
      </c>
    </row>
    <row r="5" spans="1:18" s="52" customFormat="1" ht="12.75" x14ac:dyDescent="0.2">
      <c r="A5" s="70"/>
      <c r="B5" s="71"/>
      <c r="C5" s="66" t="s">
        <v>106</v>
      </c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142"/>
      <c r="Q5" s="153">
        <f t="shared" ref="Q5:Q24" si="1">SUM(E5:P5)</f>
        <v>0</v>
      </c>
    </row>
    <row r="6" spans="1:18" s="52" customFormat="1" ht="12.75" x14ac:dyDescent="0.2">
      <c r="A6" s="70"/>
      <c r="B6" s="71"/>
      <c r="C6" s="66" t="s">
        <v>107</v>
      </c>
      <c r="D6" s="55"/>
      <c r="E6" s="55"/>
      <c r="F6" s="55">
        <f>'PUNTO EQUILIBRIO'!F41*1000*15</f>
        <v>172500000</v>
      </c>
      <c r="G6" s="55"/>
      <c r="H6" s="55">
        <f>F6</f>
        <v>172500000</v>
      </c>
      <c r="I6" s="55"/>
      <c r="J6" s="55">
        <f>H6</f>
        <v>172500000</v>
      </c>
      <c r="K6" s="55"/>
      <c r="L6" s="55">
        <f>J6</f>
        <v>172500000</v>
      </c>
      <c r="M6" s="55"/>
      <c r="N6" s="55">
        <f>L6</f>
        <v>172500000</v>
      </c>
      <c r="O6" s="55"/>
      <c r="P6" s="142">
        <f>N6</f>
        <v>172500000</v>
      </c>
      <c r="Q6" s="153">
        <f t="shared" si="1"/>
        <v>1035000000</v>
      </c>
    </row>
    <row r="7" spans="1:18" s="52" customFormat="1" ht="13.5" thickBot="1" x14ac:dyDescent="0.25">
      <c r="A7" s="72"/>
      <c r="B7" s="73"/>
      <c r="C7" s="67" t="s">
        <v>108</v>
      </c>
      <c r="D7" s="62"/>
      <c r="E7" s="62"/>
      <c r="F7" s="63"/>
      <c r="G7" s="62"/>
      <c r="H7" s="63"/>
      <c r="I7" s="62"/>
      <c r="J7" s="63"/>
      <c r="K7" s="62"/>
      <c r="L7" s="63"/>
      <c r="M7" s="62"/>
      <c r="N7" s="63"/>
      <c r="O7" s="62"/>
      <c r="P7" s="143"/>
      <c r="Q7" s="154">
        <f t="shared" si="1"/>
        <v>0</v>
      </c>
    </row>
    <row r="8" spans="1:18" s="53" customFormat="1" ht="15.75" x14ac:dyDescent="0.25">
      <c r="A8" s="74" t="s">
        <v>126</v>
      </c>
      <c r="B8" s="75"/>
      <c r="C8" s="68"/>
      <c r="D8" s="64"/>
      <c r="E8" s="61">
        <f>E9+E14+E19</f>
        <v>127441523.09999999</v>
      </c>
      <c r="F8" s="61">
        <f t="shared" ref="F8:P8" si="2">F9+F14+F19</f>
        <v>15255865.6</v>
      </c>
      <c r="G8" s="61">
        <f t="shared" si="2"/>
        <v>127441523.09999999</v>
      </c>
      <c r="H8" s="61">
        <f t="shared" si="2"/>
        <v>15255865.6</v>
      </c>
      <c r="I8" s="61">
        <f t="shared" si="2"/>
        <v>127441523.09999999</v>
      </c>
      <c r="J8" s="61">
        <f t="shared" si="2"/>
        <v>15255865.6</v>
      </c>
      <c r="K8" s="61">
        <f t="shared" si="2"/>
        <v>127441523.09999999</v>
      </c>
      <c r="L8" s="61">
        <f t="shared" si="2"/>
        <v>15255865.6</v>
      </c>
      <c r="M8" s="61">
        <f t="shared" si="2"/>
        <v>127441523.09999999</v>
      </c>
      <c r="N8" s="61">
        <f t="shared" si="2"/>
        <v>15255865.6</v>
      </c>
      <c r="O8" s="61">
        <f t="shared" si="2"/>
        <v>127441523.09999999</v>
      </c>
      <c r="P8" s="141">
        <f t="shared" si="2"/>
        <v>15255865.6</v>
      </c>
      <c r="Q8" s="152">
        <f t="shared" si="1"/>
        <v>856184332.20000017</v>
      </c>
      <c r="R8" s="53">
        <f>Q8/Q3</f>
        <v>0.82723123884057992</v>
      </c>
    </row>
    <row r="9" spans="1:18" s="51" customFormat="1" ht="15" x14ac:dyDescent="0.25">
      <c r="A9" s="76"/>
      <c r="B9" s="77" t="s">
        <v>121</v>
      </c>
      <c r="C9" s="69"/>
      <c r="D9" s="65"/>
      <c r="E9" s="65">
        <f>SUM(E10:E13)</f>
        <v>91305000</v>
      </c>
      <c r="F9" s="65">
        <f t="shared" ref="F9:P9" si="3">SUM(F10:F13)</f>
        <v>0</v>
      </c>
      <c r="G9" s="65">
        <f t="shared" si="3"/>
        <v>91305000</v>
      </c>
      <c r="H9" s="65">
        <f t="shared" si="3"/>
        <v>0</v>
      </c>
      <c r="I9" s="65">
        <f t="shared" si="3"/>
        <v>91305000</v>
      </c>
      <c r="J9" s="65">
        <f t="shared" si="3"/>
        <v>0</v>
      </c>
      <c r="K9" s="65">
        <f t="shared" si="3"/>
        <v>91305000</v>
      </c>
      <c r="L9" s="65">
        <f t="shared" si="3"/>
        <v>0</v>
      </c>
      <c r="M9" s="65">
        <f t="shared" si="3"/>
        <v>91305000</v>
      </c>
      <c r="N9" s="65">
        <f t="shared" si="3"/>
        <v>0</v>
      </c>
      <c r="O9" s="65">
        <f t="shared" si="3"/>
        <v>91305000</v>
      </c>
      <c r="P9" s="144">
        <f t="shared" si="3"/>
        <v>0</v>
      </c>
      <c r="Q9" s="155">
        <f t="shared" si="1"/>
        <v>547830000</v>
      </c>
    </row>
    <row r="10" spans="1:18" s="52" customFormat="1" ht="12.75" x14ac:dyDescent="0.2">
      <c r="A10" s="70"/>
      <c r="B10" s="71"/>
      <c r="C10" s="66" t="s">
        <v>105</v>
      </c>
      <c r="D10" s="55"/>
      <c r="E10" s="55">
        <f>'COSTOS APLICADOS'!F43*15</f>
        <v>91305000</v>
      </c>
      <c r="F10" s="55"/>
      <c r="G10" s="55">
        <f>E10</f>
        <v>91305000</v>
      </c>
      <c r="H10" s="55"/>
      <c r="I10" s="55">
        <f>G10</f>
        <v>91305000</v>
      </c>
      <c r="J10" s="55"/>
      <c r="K10" s="55">
        <f>I10</f>
        <v>91305000</v>
      </c>
      <c r="L10" s="55"/>
      <c r="M10" s="55">
        <f>K10</f>
        <v>91305000</v>
      </c>
      <c r="N10" s="55"/>
      <c r="O10" s="55">
        <f>M10</f>
        <v>91305000</v>
      </c>
      <c r="P10" s="142"/>
      <c r="Q10" s="153">
        <f t="shared" si="1"/>
        <v>547830000</v>
      </c>
    </row>
    <row r="11" spans="1:18" s="52" customFormat="1" ht="12.75" x14ac:dyDescent="0.2">
      <c r="A11" s="70"/>
      <c r="B11" s="71"/>
      <c r="C11" s="66" t="s">
        <v>106</v>
      </c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142"/>
      <c r="Q11" s="153">
        <f t="shared" si="1"/>
        <v>0</v>
      </c>
    </row>
    <row r="12" spans="1:18" s="52" customFormat="1" ht="12.75" x14ac:dyDescent="0.2">
      <c r="A12" s="70"/>
      <c r="B12" s="71"/>
      <c r="C12" s="66" t="s">
        <v>107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142"/>
      <c r="Q12" s="153">
        <f t="shared" si="1"/>
        <v>0</v>
      </c>
    </row>
    <row r="13" spans="1:18" s="52" customFormat="1" ht="12.75" x14ac:dyDescent="0.2">
      <c r="A13" s="70"/>
      <c r="B13" s="71"/>
      <c r="C13" s="66" t="s">
        <v>108</v>
      </c>
      <c r="D13" s="55"/>
      <c r="E13" s="55"/>
      <c r="F13" s="56"/>
      <c r="G13" s="55"/>
      <c r="H13" s="56"/>
      <c r="I13" s="55"/>
      <c r="J13" s="56"/>
      <c r="K13" s="55"/>
      <c r="L13" s="56"/>
      <c r="M13" s="55"/>
      <c r="N13" s="56"/>
      <c r="O13" s="55"/>
      <c r="P13" s="145"/>
      <c r="Q13" s="153">
        <f t="shared" si="1"/>
        <v>0</v>
      </c>
    </row>
    <row r="14" spans="1:18" s="51" customFormat="1" ht="15" x14ac:dyDescent="0.25">
      <c r="A14" s="76"/>
      <c r="B14" s="77" t="s">
        <v>122</v>
      </c>
      <c r="C14" s="69"/>
      <c r="D14" s="65"/>
      <c r="E14" s="65">
        <f>SUM(E15:E18)</f>
        <v>15255865.6</v>
      </c>
      <c r="F14" s="65">
        <f t="shared" ref="F14:P14" si="4">SUM(F15:F18)</f>
        <v>15255865.6</v>
      </c>
      <c r="G14" s="65">
        <f t="shared" si="4"/>
        <v>15255865.6</v>
      </c>
      <c r="H14" s="65">
        <f t="shared" si="4"/>
        <v>15255865.6</v>
      </c>
      <c r="I14" s="65">
        <f t="shared" si="4"/>
        <v>15255865.6</v>
      </c>
      <c r="J14" s="65">
        <f t="shared" si="4"/>
        <v>15255865.6</v>
      </c>
      <c r="K14" s="65">
        <f t="shared" si="4"/>
        <v>15255865.6</v>
      </c>
      <c r="L14" s="65">
        <f t="shared" si="4"/>
        <v>15255865.6</v>
      </c>
      <c r="M14" s="65">
        <f t="shared" si="4"/>
        <v>15255865.6</v>
      </c>
      <c r="N14" s="65">
        <f t="shared" si="4"/>
        <v>15255865.6</v>
      </c>
      <c r="O14" s="65">
        <f t="shared" si="4"/>
        <v>15255865.6</v>
      </c>
      <c r="P14" s="144">
        <f t="shared" si="4"/>
        <v>15255865.6</v>
      </c>
      <c r="Q14" s="155">
        <f t="shared" si="1"/>
        <v>183070387.19999996</v>
      </c>
    </row>
    <row r="15" spans="1:18" s="52" customFormat="1" ht="12.75" x14ac:dyDescent="0.2">
      <c r="A15" s="70"/>
      <c r="B15" s="71"/>
      <c r="C15" s="66" t="s">
        <v>105</v>
      </c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142"/>
      <c r="Q15" s="153">
        <f t="shared" si="1"/>
        <v>0</v>
      </c>
    </row>
    <row r="16" spans="1:18" s="52" customFormat="1" ht="12.75" x14ac:dyDescent="0.2">
      <c r="A16" s="70"/>
      <c r="B16" s="71"/>
      <c r="C16" s="66" t="s">
        <v>106</v>
      </c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  <c r="O16" s="55"/>
      <c r="P16" s="142"/>
      <c r="Q16" s="153">
        <f t="shared" si="1"/>
        <v>0</v>
      </c>
    </row>
    <row r="17" spans="1:18" s="52" customFormat="1" ht="12.75" x14ac:dyDescent="0.2">
      <c r="A17" s="70"/>
      <c r="B17" s="71"/>
      <c r="C17" s="66" t="s">
        <v>107</v>
      </c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142"/>
      <c r="Q17" s="153">
        <f t="shared" si="1"/>
        <v>0</v>
      </c>
    </row>
    <row r="18" spans="1:18" s="52" customFormat="1" ht="12.75" x14ac:dyDescent="0.2">
      <c r="A18" s="70"/>
      <c r="B18" s="71"/>
      <c r="C18" s="66" t="s">
        <v>108</v>
      </c>
      <c r="D18" s="55"/>
      <c r="E18" s="55">
        <f>'COSTOS APLICADOS'!E54*15</f>
        <v>15255865.6</v>
      </c>
      <c r="F18" s="55">
        <f>E18</f>
        <v>15255865.6</v>
      </c>
      <c r="G18" s="55">
        <f t="shared" ref="G18:P18" si="5">F18</f>
        <v>15255865.6</v>
      </c>
      <c r="H18" s="55">
        <f t="shared" si="5"/>
        <v>15255865.6</v>
      </c>
      <c r="I18" s="55">
        <f t="shared" si="5"/>
        <v>15255865.6</v>
      </c>
      <c r="J18" s="55">
        <f t="shared" si="5"/>
        <v>15255865.6</v>
      </c>
      <c r="K18" s="55">
        <f t="shared" si="5"/>
        <v>15255865.6</v>
      </c>
      <c r="L18" s="55">
        <f t="shared" si="5"/>
        <v>15255865.6</v>
      </c>
      <c r="M18" s="55">
        <f t="shared" si="5"/>
        <v>15255865.6</v>
      </c>
      <c r="N18" s="55">
        <f t="shared" si="5"/>
        <v>15255865.6</v>
      </c>
      <c r="O18" s="55">
        <f t="shared" si="5"/>
        <v>15255865.6</v>
      </c>
      <c r="P18" s="142">
        <f t="shared" si="5"/>
        <v>15255865.6</v>
      </c>
      <c r="Q18" s="153">
        <f t="shared" si="1"/>
        <v>183070387.19999996</v>
      </c>
    </row>
    <row r="19" spans="1:18" s="51" customFormat="1" ht="15" x14ac:dyDescent="0.25">
      <c r="A19" s="76"/>
      <c r="B19" s="77" t="s">
        <v>123</v>
      </c>
      <c r="C19" s="69"/>
      <c r="D19" s="65"/>
      <c r="E19" s="65">
        <f>SUM(E20:E23)</f>
        <v>20880657.500000004</v>
      </c>
      <c r="F19" s="65">
        <f t="shared" ref="F19:P19" si="6">SUM(F20:F23)</f>
        <v>0</v>
      </c>
      <c r="G19" s="65">
        <f t="shared" si="6"/>
        <v>20880657.500000004</v>
      </c>
      <c r="H19" s="65">
        <f t="shared" si="6"/>
        <v>0</v>
      </c>
      <c r="I19" s="65">
        <f t="shared" si="6"/>
        <v>20880657.500000004</v>
      </c>
      <c r="J19" s="65">
        <f t="shared" si="6"/>
        <v>0</v>
      </c>
      <c r="K19" s="65">
        <f t="shared" si="6"/>
        <v>20880657.500000004</v>
      </c>
      <c r="L19" s="65">
        <f t="shared" si="6"/>
        <v>0</v>
      </c>
      <c r="M19" s="65">
        <f t="shared" si="6"/>
        <v>20880657.500000004</v>
      </c>
      <c r="N19" s="65">
        <f t="shared" si="6"/>
        <v>0</v>
      </c>
      <c r="O19" s="65">
        <f t="shared" si="6"/>
        <v>20880657.500000004</v>
      </c>
      <c r="P19" s="144">
        <f t="shared" si="6"/>
        <v>0</v>
      </c>
      <c r="Q19" s="155">
        <f t="shared" si="1"/>
        <v>125283945.00000001</v>
      </c>
    </row>
    <row r="20" spans="1:18" s="52" customFormat="1" ht="12.75" x14ac:dyDescent="0.2">
      <c r="A20" s="70"/>
      <c r="B20" s="71"/>
      <c r="C20" s="66" t="s">
        <v>105</v>
      </c>
      <c r="D20" s="55"/>
      <c r="E20" s="55">
        <f>'COSTOS APLICADOS'!E86*15</f>
        <v>20880657.500000004</v>
      </c>
      <c r="F20" s="55"/>
      <c r="G20" s="55">
        <f>E20</f>
        <v>20880657.500000004</v>
      </c>
      <c r="H20" s="55"/>
      <c r="I20" s="55">
        <f>G20</f>
        <v>20880657.500000004</v>
      </c>
      <c r="J20" s="55"/>
      <c r="K20" s="55">
        <f>I20</f>
        <v>20880657.500000004</v>
      </c>
      <c r="L20" s="55"/>
      <c r="M20" s="55">
        <f>K20</f>
        <v>20880657.500000004</v>
      </c>
      <c r="N20" s="55"/>
      <c r="O20" s="55">
        <f>M20</f>
        <v>20880657.500000004</v>
      </c>
      <c r="P20" s="142"/>
      <c r="Q20" s="153">
        <f t="shared" si="1"/>
        <v>125283945.00000001</v>
      </c>
    </row>
    <row r="21" spans="1:18" s="52" customFormat="1" ht="12.75" x14ac:dyDescent="0.2">
      <c r="A21" s="70"/>
      <c r="B21" s="71"/>
      <c r="C21" s="66" t="s">
        <v>106</v>
      </c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142"/>
      <c r="Q21" s="153">
        <f t="shared" si="1"/>
        <v>0</v>
      </c>
    </row>
    <row r="22" spans="1:18" s="52" customFormat="1" ht="12.75" x14ac:dyDescent="0.2">
      <c r="A22" s="70"/>
      <c r="B22" s="71"/>
      <c r="C22" s="66" t="s">
        <v>107</v>
      </c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142"/>
      <c r="Q22" s="153">
        <f t="shared" si="1"/>
        <v>0</v>
      </c>
    </row>
    <row r="23" spans="1:18" s="52" customFormat="1" ht="13.5" thickBot="1" x14ac:dyDescent="0.25">
      <c r="A23" s="72"/>
      <c r="B23" s="73"/>
      <c r="C23" s="67" t="s">
        <v>108</v>
      </c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146"/>
      <c r="Q23" s="154">
        <f t="shared" si="1"/>
        <v>0</v>
      </c>
    </row>
    <row r="24" spans="1:18" s="54" customFormat="1" ht="15.75" x14ac:dyDescent="0.25">
      <c r="A24" s="59" t="s">
        <v>125</v>
      </c>
      <c r="B24" s="60"/>
      <c r="C24" s="60"/>
      <c r="D24" s="61"/>
      <c r="E24" s="61">
        <f>E3-E8</f>
        <v>-127441523.09999999</v>
      </c>
      <c r="F24" s="61">
        <f t="shared" ref="F24:P24" si="7">F3-F8</f>
        <v>157244134.40000001</v>
      </c>
      <c r="G24" s="61">
        <f t="shared" si="7"/>
        <v>-127441523.09999999</v>
      </c>
      <c r="H24" s="61">
        <f t="shared" si="7"/>
        <v>157244134.40000001</v>
      </c>
      <c r="I24" s="61">
        <f t="shared" si="7"/>
        <v>-127441523.09999999</v>
      </c>
      <c r="J24" s="61">
        <f t="shared" si="7"/>
        <v>157244134.40000001</v>
      </c>
      <c r="K24" s="61">
        <f t="shared" si="7"/>
        <v>-127441523.09999999</v>
      </c>
      <c r="L24" s="61">
        <f t="shared" si="7"/>
        <v>157244134.40000001</v>
      </c>
      <c r="M24" s="61">
        <f t="shared" si="7"/>
        <v>-127441523.09999999</v>
      </c>
      <c r="N24" s="61">
        <f t="shared" si="7"/>
        <v>157244134.40000001</v>
      </c>
      <c r="O24" s="61">
        <f t="shared" si="7"/>
        <v>-127441523.09999999</v>
      </c>
      <c r="P24" s="141">
        <f t="shared" si="7"/>
        <v>157244134.40000001</v>
      </c>
      <c r="Q24" s="152">
        <f t="shared" si="1"/>
        <v>178815667.80000007</v>
      </c>
      <c r="R24" s="54">
        <f>Q24/Q3</f>
        <v>0.17276876115942036</v>
      </c>
    </row>
    <row r="25" spans="1:18" s="51" customFormat="1" ht="15.75" thickBot="1" x14ac:dyDescent="0.3">
      <c r="A25" s="84" t="s">
        <v>136</v>
      </c>
      <c r="B25" s="85"/>
      <c r="C25" s="85"/>
      <c r="D25" s="86"/>
      <c r="E25" s="86">
        <v>1800000</v>
      </c>
      <c r="F25" s="86">
        <f>E25</f>
        <v>1800000</v>
      </c>
      <c r="G25" s="86">
        <f t="shared" ref="G25:P25" si="8">F25</f>
        <v>1800000</v>
      </c>
      <c r="H25" s="86">
        <f t="shared" si="8"/>
        <v>1800000</v>
      </c>
      <c r="I25" s="86">
        <f t="shared" si="8"/>
        <v>1800000</v>
      </c>
      <c r="J25" s="86">
        <f t="shared" si="8"/>
        <v>1800000</v>
      </c>
      <c r="K25" s="86">
        <f t="shared" si="8"/>
        <v>1800000</v>
      </c>
      <c r="L25" s="86">
        <f t="shared" si="8"/>
        <v>1800000</v>
      </c>
      <c r="M25" s="86">
        <f t="shared" si="8"/>
        <v>1800000</v>
      </c>
      <c r="N25" s="86">
        <f t="shared" si="8"/>
        <v>1800000</v>
      </c>
      <c r="O25" s="86">
        <f t="shared" si="8"/>
        <v>1800000</v>
      </c>
      <c r="P25" s="86">
        <f t="shared" si="8"/>
        <v>1800000</v>
      </c>
      <c r="Q25" s="156">
        <f>SUM(E25:P25)</f>
        <v>21600000</v>
      </c>
    </row>
    <row r="26" spans="1:18" s="54" customFormat="1" ht="15.75" x14ac:dyDescent="0.25">
      <c r="A26" s="59" t="s">
        <v>137</v>
      </c>
      <c r="B26" s="60"/>
      <c r="C26" s="60"/>
      <c r="D26" s="61"/>
      <c r="E26" s="61">
        <f>E24-E25</f>
        <v>-129241523.09999999</v>
      </c>
      <c r="F26" s="61">
        <f t="shared" ref="F26:P26" si="9">F24-F25</f>
        <v>155444134.40000001</v>
      </c>
      <c r="G26" s="61">
        <f t="shared" si="9"/>
        <v>-129241523.09999999</v>
      </c>
      <c r="H26" s="61">
        <f t="shared" si="9"/>
        <v>155444134.40000001</v>
      </c>
      <c r="I26" s="61">
        <f t="shared" si="9"/>
        <v>-129241523.09999999</v>
      </c>
      <c r="J26" s="61">
        <f t="shared" si="9"/>
        <v>155444134.40000001</v>
      </c>
      <c r="K26" s="61">
        <f t="shared" si="9"/>
        <v>-129241523.09999999</v>
      </c>
      <c r="L26" s="61">
        <f t="shared" si="9"/>
        <v>155444134.40000001</v>
      </c>
      <c r="M26" s="61">
        <f t="shared" si="9"/>
        <v>-129241523.09999999</v>
      </c>
      <c r="N26" s="61">
        <f t="shared" si="9"/>
        <v>155444134.40000001</v>
      </c>
      <c r="O26" s="61">
        <f t="shared" si="9"/>
        <v>-129241523.09999999</v>
      </c>
      <c r="P26" s="141">
        <f t="shared" si="9"/>
        <v>155444134.40000001</v>
      </c>
      <c r="Q26" s="157">
        <f>SUM(E26:P26)</f>
        <v>157215667.80000007</v>
      </c>
    </row>
    <row r="27" spans="1:18" ht="15.75" thickBot="1" x14ac:dyDescent="0.3">
      <c r="A27" s="87" t="s">
        <v>138</v>
      </c>
      <c r="B27" s="88"/>
      <c r="C27" s="88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148"/>
      <c r="Q27" s="156">
        <f t="shared" ref="Q27:Q30" si="10">SUM(E27:P27)</f>
        <v>0</v>
      </c>
    </row>
    <row r="28" spans="1:18" s="54" customFormat="1" ht="15.75" x14ac:dyDescent="0.25">
      <c r="A28" s="74" t="s">
        <v>154</v>
      </c>
      <c r="B28" s="90"/>
      <c r="C28" s="91"/>
      <c r="D28" s="61"/>
      <c r="E28" s="61">
        <f>E26-E27</f>
        <v>-129241523.09999999</v>
      </c>
      <c r="F28" s="61">
        <f t="shared" ref="F28:P28" si="11">F26-F27</f>
        <v>155444134.40000001</v>
      </c>
      <c r="G28" s="61">
        <f t="shared" si="11"/>
        <v>-129241523.09999999</v>
      </c>
      <c r="H28" s="61">
        <f t="shared" si="11"/>
        <v>155444134.40000001</v>
      </c>
      <c r="I28" s="61">
        <f t="shared" si="11"/>
        <v>-129241523.09999999</v>
      </c>
      <c r="J28" s="61">
        <f t="shared" si="11"/>
        <v>155444134.40000001</v>
      </c>
      <c r="K28" s="61">
        <f t="shared" si="11"/>
        <v>-129241523.09999999</v>
      </c>
      <c r="L28" s="61">
        <f t="shared" si="11"/>
        <v>155444134.40000001</v>
      </c>
      <c r="M28" s="61">
        <f t="shared" si="11"/>
        <v>-129241523.09999999</v>
      </c>
      <c r="N28" s="61">
        <f t="shared" si="11"/>
        <v>155444134.40000001</v>
      </c>
      <c r="O28" s="61">
        <f t="shared" si="11"/>
        <v>-129241523.09999999</v>
      </c>
      <c r="P28" s="141">
        <f t="shared" si="11"/>
        <v>155444134.40000001</v>
      </c>
      <c r="Q28" s="157">
        <f t="shared" si="10"/>
        <v>157215667.80000007</v>
      </c>
    </row>
    <row r="29" spans="1:18" s="53" customFormat="1" ht="16.5" thickBot="1" x14ac:dyDescent="0.3">
      <c r="A29" s="92" t="s">
        <v>139</v>
      </c>
      <c r="B29" s="93"/>
      <c r="C29" s="94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149"/>
      <c r="Q29" s="156">
        <f t="shared" si="10"/>
        <v>0</v>
      </c>
    </row>
    <row r="30" spans="1:18" s="54" customFormat="1" ht="16.5" thickBot="1" x14ac:dyDescent="0.3">
      <c r="A30" s="98" t="s">
        <v>140</v>
      </c>
      <c r="B30" s="99"/>
      <c r="C30" s="82"/>
      <c r="D30" s="100"/>
      <c r="E30" s="100">
        <f>E28-E29</f>
        <v>-129241523.09999999</v>
      </c>
      <c r="F30" s="100">
        <f t="shared" ref="F30:P30" si="12">F28-F29</f>
        <v>155444134.40000001</v>
      </c>
      <c r="G30" s="100">
        <f t="shared" si="12"/>
        <v>-129241523.09999999</v>
      </c>
      <c r="H30" s="100">
        <f t="shared" si="12"/>
        <v>155444134.40000001</v>
      </c>
      <c r="I30" s="100">
        <f t="shared" si="12"/>
        <v>-129241523.09999999</v>
      </c>
      <c r="J30" s="100">
        <f t="shared" si="12"/>
        <v>155444134.40000001</v>
      </c>
      <c r="K30" s="100">
        <f t="shared" si="12"/>
        <v>-129241523.09999999</v>
      </c>
      <c r="L30" s="100">
        <f t="shared" si="12"/>
        <v>155444134.40000001</v>
      </c>
      <c r="M30" s="100">
        <f t="shared" si="12"/>
        <v>-129241523.09999999</v>
      </c>
      <c r="N30" s="100">
        <f t="shared" si="12"/>
        <v>155444134.40000001</v>
      </c>
      <c r="O30" s="100">
        <f t="shared" si="12"/>
        <v>-129241523.09999999</v>
      </c>
      <c r="P30" s="150">
        <f t="shared" si="12"/>
        <v>155444134.40000001</v>
      </c>
      <c r="Q30" s="158">
        <f t="shared" si="10"/>
        <v>157215667.80000007</v>
      </c>
    </row>
    <row r="31" spans="1:18" s="54" customFormat="1" ht="15.75" x14ac:dyDescent="0.25">
      <c r="A31" s="74" t="s">
        <v>129</v>
      </c>
      <c r="B31" s="90"/>
      <c r="C31" s="91"/>
      <c r="D31" s="61">
        <f>-D32-D33</f>
        <v>-129831900</v>
      </c>
      <c r="E31" s="61">
        <f t="shared" ref="E31:P31" si="13">-E32-E33</f>
        <v>0</v>
      </c>
      <c r="F31" s="61">
        <f t="shared" si="13"/>
        <v>0</v>
      </c>
      <c r="G31" s="61">
        <f t="shared" si="13"/>
        <v>0</v>
      </c>
      <c r="H31" s="61">
        <f t="shared" si="13"/>
        <v>0</v>
      </c>
      <c r="I31" s="61">
        <f t="shared" si="13"/>
        <v>0</v>
      </c>
      <c r="J31" s="61">
        <f t="shared" si="13"/>
        <v>0</v>
      </c>
      <c r="K31" s="61">
        <f t="shared" si="13"/>
        <v>0</v>
      </c>
      <c r="L31" s="61">
        <f t="shared" si="13"/>
        <v>0</v>
      </c>
      <c r="M31" s="61">
        <f t="shared" si="13"/>
        <v>0</v>
      </c>
      <c r="N31" s="61">
        <f t="shared" si="13"/>
        <v>0</v>
      </c>
      <c r="O31" s="61">
        <f t="shared" si="13"/>
        <v>0</v>
      </c>
      <c r="P31" s="141">
        <f t="shared" si="13"/>
        <v>0</v>
      </c>
      <c r="Q31" s="152">
        <f>SUM(D31:P31)</f>
        <v>-129831900</v>
      </c>
    </row>
    <row r="32" spans="1:18" ht="15" x14ac:dyDescent="0.25">
      <c r="A32" s="101"/>
      <c r="B32" s="81" t="s">
        <v>130</v>
      </c>
      <c r="C32" s="80"/>
      <c r="D32" s="57">
        <f>'COSTOS APLICADOS'!F19*15</f>
        <v>115206900</v>
      </c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151"/>
      <c r="Q32" s="155">
        <f t="shared" ref="Q32:Q37" si="14">SUM(D32:P32)</f>
        <v>115206900</v>
      </c>
    </row>
    <row r="33" spans="1:18" ht="15" x14ac:dyDescent="0.25">
      <c r="A33" s="101"/>
      <c r="B33" s="81" t="s">
        <v>131</v>
      </c>
      <c r="C33" s="80"/>
      <c r="D33" s="57">
        <f>'COSTOS APLICADOS'!F33*15</f>
        <v>14625000</v>
      </c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  <c r="P33" s="151"/>
      <c r="Q33" s="155">
        <f t="shared" si="14"/>
        <v>14625000</v>
      </c>
    </row>
    <row r="34" spans="1:18" ht="15" x14ac:dyDescent="0.25">
      <c r="A34" s="76" t="s">
        <v>133</v>
      </c>
      <c r="B34" s="81"/>
      <c r="C34" s="80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151"/>
      <c r="Q34" s="155">
        <f t="shared" si="14"/>
        <v>0</v>
      </c>
    </row>
    <row r="35" spans="1:18" ht="15" x14ac:dyDescent="0.25">
      <c r="A35" s="76" t="s">
        <v>135</v>
      </c>
      <c r="B35" s="81"/>
      <c r="C35" s="80"/>
      <c r="D35" s="57"/>
      <c r="E35" s="57">
        <f>E27</f>
        <v>0</v>
      </c>
      <c r="F35" s="57">
        <f t="shared" ref="F35:P35" si="15">F27</f>
        <v>0</v>
      </c>
      <c r="G35" s="57">
        <f t="shared" si="15"/>
        <v>0</v>
      </c>
      <c r="H35" s="57">
        <f t="shared" si="15"/>
        <v>0</v>
      </c>
      <c r="I35" s="57">
        <f t="shared" si="15"/>
        <v>0</v>
      </c>
      <c r="J35" s="57">
        <f t="shared" si="15"/>
        <v>0</v>
      </c>
      <c r="K35" s="57">
        <f t="shared" si="15"/>
        <v>0</v>
      </c>
      <c r="L35" s="57">
        <f t="shared" si="15"/>
        <v>0</v>
      </c>
      <c r="M35" s="57">
        <f t="shared" si="15"/>
        <v>0</v>
      </c>
      <c r="N35" s="57">
        <f t="shared" si="15"/>
        <v>0</v>
      </c>
      <c r="O35" s="57">
        <f t="shared" si="15"/>
        <v>0</v>
      </c>
      <c r="P35" s="151">
        <f t="shared" si="15"/>
        <v>0</v>
      </c>
      <c r="Q35" s="155">
        <f t="shared" si="14"/>
        <v>0</v>
      </c>
    </row>
    <row r="36" spans="1:18" ht="15.75" thickBot="1" x14ac:dyDescent="0.3">
      <c r="A36" s="102" t="s">
        <v>134</v>
      </c>
      <c r="B36" s="103"/>
      <c r="C36" s="104"/>
      <c r="D36" s="89"/>
      <c r="E36" s="89">
        <f>'COSTOS APLICADOS'!F79/2*15</f>
        <v>5998303.75</v>
      </c>
      <c r="F36" s="89">
        <f>E36</f>
        <v>5998303.75</v>
      </c>
      <c r="G36" s="89">
        <f t="shared" ref="G36:P36" si="16">F36</f>
        <v>5998303.75</v>
      </c>
      <c r="H36" s="89">
        <f t="shared" si="16"/>
        <v>5998303.75</v>
      </c>
      <c r="I36" s="89">
        <f t="shared" si="16"/>
        <v>5998303.75</v>
      </c>
      <c r="J36" s="89">
        <f t="shared" si="16"/>
        <v>5998303.75</v>
      </c>
      <c r="K36" s="89">
        <f t="shared" si="16"/>
        <v>5998303.75</v>
      </c>
      <c r="L36" s="89">
        <f t="shared" si="16"/>
        <v>5998303.75</v>
      </c>
      <c r="M36" s="89">
        <f t="shared" si="16"/>
        <v>5998303.75</v>
      </c>
      <c r="N36" s="89">
        <f t="shared" si="16"/>
        <v>5998303.75</v>
      </c>
      <c r="O36" s="89">
        <f t="shared" si="16"/>
        <v>5998303.75</v>
      </c>
      <c r="P36" s="148">
        <f t="shared" si="16"/>
        <v>5998303.75</v>
      </c>
      <c r="Q36" s="156">
        <f t="shared" si="14"/>
        <v>71979645</v>
      </c>
    </row>
    <row r="37" spans="1:18" s="54" customFormat="1" ht="16.5" thickBot="1" x14ac:dyDescent="0.3">
      <c r="A37" s="96" t="s">
        <v>132</v>
      </c>
      <c r="B37" s="105"/>
      <c r="C37" s="97"/>
      <c r="D37" s="79">
        <f>D31</f>
        <v>-129831900</v>
      </c>
      <c r="E37" s="79">
        <f>E30-E31-E34+E35+E36</f>
        <v>-123243219.34999999</v>
      </c>
      <c r="F37" s="79">
        <f t="shared" ref="F37:P37" si="17">F30-F31-F34+F35+F36</f>
        <v>161442438.15000001</v>
      </c>
      <c r="G37" s="79">
        <f t="shared" si="17"/>
        <v>-123243219.34999999</v>
      </c>
      <c r="H37" s="79">
        <f t="shared" si="17"/>
        <v>161442438.15000001</v>
      </c>
      <c r="I37" s="79">
        <f t="shared" si="17"/>
        <v>-123243219.34999999</v>
      </c>
      <c r="J37" s="79">
        <f t="shared" si="17"/>
        <v>161442438.15000001</v>
      </c>
      <c r="K37" s="79">
        <f t="shared" si="17"/>
        <v>-123243219.34999999</v>
      </c>
      <c r="L37" s="79">
        <f t="shared" si="17"/>
        <v>161442438.15000001</v>
      </c>
      <c r="M37" s="79">
        <f t="shared" si="17"/>
        <v>-123243219.34999999</v>
      </c>
      <c r="N37" s="79">
        <f t="shared" si="17"/>
        <v>161442438.15000001</v>
      </c>
      <c r="O37" s="79">
        <f t="shared" si="17"/>
        <v>-123243219.34999999</v>
      </c>
      <c r="P37" s="112">
        <f t="shared" si="17"/>
        <v>161442438.15000001</v>
      </c>
      <c r="Q37" s="113">
        <f t="shared" si="14"/>
        <v>99363412.800000072</v>
      </c>
      <c r="R37" s="54">
        <f>Q37/Q3</f>
        <v>9.6003297391304421E-2</v>
      </c>
    </row>
    <row r="38" spans="1:18" x14ac:dyDescent="0.2"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</row>
    <row r="39" spans="1:18" ht="20.25" x14ac:dyDescent="0.3">
      <c r="D39" s="159" t="s">
        <v>142</v>
      </c>
      <c r="E39" s="186">
        <v>0.15</v>
      </c>
      <c r="F39" s="161"/>
      <c r="G39" s="183" t="s">
        <v>143</v>
      </c>
      <c r="H39" s="183"/>
      <c r="I39" s="187">
        <f>POWER(1+E39,(1/12))-1</f>
        <v>1.171491691985338E-2</v>
      </c>
      <c r="J39" s="50"/>
      <c r="K39" s="50"/>
      <c r="L39" s="50"/>
      <c r="M39" s="50"/>
      <c r="N39" s="50"/>
      <c r="O39" s="50"/>
      <c r="P39" s="50"/>
    </row>
    <row r="40" spans="1:18" ht="15" thickBot="1" x14ac:dyDescent="0.25">
      <c r="D40" s="161"/>
      <c r="E40" s="161"/>
      <c r="F40" s="161"/>
      <c r="G40" s="161"/>
      <c r="H40" s="161"/>
      <c r="I40" s="161"/>
      <c r="J40" s="50"/>
      <c r="K40" s="50"/>
      <c r="L40" s="50"/>
      <c r="M40" s="50"/>
      <c r="N40" s="50"/>
      <c r="O40" s="50"/>
      <c r="P40" s="50"/>
    </row>
    <row r="41" spans="1:18" ht="18.75" thickBot="1" x14ac:dyDescent="0.3">
      <c r="D41" s="163" t="s">
        <v>149</v>
      </c>
      <c r="E41" s="184">
        <f>D37+NPV(I39,E37:P37)</f>
        <v>73595446.023347378</v>
      </c>
      <c r="F41" s="185"/>
      <c r="G41" s="172" t="s">
        <v>151</v>
      </c>
      <c r="H41" s="165">
        <f>IRR(D37:P37)</f>
        <v>5.6491426975402881E-2</v>
      </c>
      <c r="I41" s="161"/>
      <c r="J41" s="50"/>
      <c r="K41" s="50"/>
      <c r="L41" s="50"/>
      <c r="M41" s="50"/>
      <c r="N41" s="50"/>
      <c r="O41" s="50"/>
      <c r="P41" s="50"/>
    </row>
    <row r="42" spans="1:18" ht="15" thickBot="1" x14ac:dyDescent="0.25">
      <c r="D42" s="161"/>
      <c r="E42" s="161"/>
      <c r="F42" s="161"/>
      <c r="G42" s="161"/>
      <c r="H42" s="161"/>
      <c r="I42" s="161"/>
      <c r="J42" s="50"/>
      <c r="K42" s="50"/>
      <c r="L42" s="50"/>
      <c r="M42" s="50"/>
      <c r="N42" s="50"/>
      <c r="O42" s="50"/>
      <c r="P42" s="50"/>
    </row>
    <row r="43" spans="1:18" ht="18.75" thickBot="1" x14ac:dyDescent="0.3">
      <c r="D43" s="166" t="s">
        <v>153</v>
      </c>
      <c r="E43" s="167"/>
      <c r="F43" s="168"/>
      <c r="G43" s="169">
        <f>Q48/Q51</f>
        <v>1.1734136391894279</v>
      </c>
      <c r="H43" s="161"/>
      <c r="I43" s="161"/>
      <c r="J43" s="50"/>
      <c r="K43" s="50"/>
      <c r="L43" s="50"/>
      <c r="M43" s="50"/>
      <c r="N43" s="50"/>
      <c r="O43" s="50"/>
      <c r="P43" s="50"/>
    </row>
    <row r="44" spans="1:18" x14ac:dyDescent="0.2"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</row>
    <row r="45" spans="1:18" x14ac:dyDescent="0.2"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</row>
    <row r="46" spans="1:18" ht="15" thickBot="1" x14ac:dyDescent="0.25"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</row>
    <row r="47" spans="1:18" ht="18.75" thickBot="1" x14ac:dyDescent="0.3">
      <c r="A47" s="180" t="s">
        <v>128</v>
      </c>
      <c r="B47" s="181"/>
      <c r="C47" s="182"/>
      <c r="D47" s="170" t="s">
        <v>104</v>
      </c>
      <c r="E47" s="171" t="s">
        <v>109</v>
      </c>
      <c r="F47" s="171" t="s">
        <v>110</v>
      </c>
      <c r="G47" s="171" t="s">
        <v>111</v>
      </c>
      <c r="H47" s="171" t="s">
        <v>112</v>
      </c>
      <c r="I47" s="171" t="s">
        <v>113</v>
      </c>
      <c r="J47" s="171" t="s">
        <v>114</v>
      </c>
      <c r="K47" s="171" t="s">
        <v>115</v>
      </c>
      <c r="L47" s="171" t="s">
        <v>116</v>
      </c>
      <c r="M47" s="171" t="s">
        <v>117</v>
      </c>
      <c r="N47" s="171" t="s">
        <v>118</v>
      </c>
      <c r="O47" s="171" t="s">
        <v>119</v>
      </c>
      <c r="P47" s="110" t="s">
        <v>120</v>
      </c>
      <c r="Q47" s="111" t="s">
        <v>144</v>
      </c>
    </row>
    <row r="48" spans="1:18" s="54" customFormat="1" ht="16.5" thickBot="1" x14ac:dyDescent="0.3">
      <c r="A48" s="96" t="s">
        <v>141</v>
      </c>
      <c r="B48" s="105"/>
      <c r="C48" s="131"/>
      <c r="D48" s="127">
        <f>D3</f>
        <v>0</v>
      </c>
      <c r="E48" s="79">
        <f>E3*POWER(1+$I$39,-1)</f>
        <v>0</v>
      </c>
      <c r="F48" s="79">
        <f>F3*POWER(1+$I$39,-2)</f>
        <v>168528281.66355941</v>
      </c>
      <c r="G48" s="79">
        <f>G3*POWER(1+$I$39,-3)</f>
        <v>0</v>
      </c>
      <c r="H48" s="79">
        <f>H3*POWER(1+$I$39,-4)</f>
        <v>164648009.97375083</v>
      </c>
      <c r="I48" s="79">
        <f>I3*POWER(1+$I$39,-5)</f>
        <v>0</v>
      </c>
      <c r="J48" s="79">
        <f>J3*POWER(1+$I$39,-6)</f>
        <v>160857079.42145401</v>
      </c>
      <c r="K48" s="79">
        <f>K3*POWER(1+$I$39,-7)</f>
        <v>0</v>
      </c>
      <c r="L48" s="79">
        <f>L3*POWER(1+$I$39,-8)</f>
        <v>157153432.97574696</v>
      </c>
      <c r="M48" s="79">
        <f>M3*POWER(1+$I$39,-9)</f>
        <v>0</v>
      </c>
      <c r="N48" s="79">
        <f>N3*POWER(1+$I$39,-10)</f>
        <v>153535060.9677217</v>
      </c>
      <c r="O48" s="79">
        <f>O3*POWER(1+$I$39,-11)</f>
        <v>0</v>
      </c>
      <c r="P48" s="112">
        <f>P3*POWER(1+$I$39,-12)</f>
        <v>149999999.99999979</v>
      </c>
      <c r="Q48" s="113">
        <f>SUM(D48:P48)</f>
        <v>954721865.00223267</v>
      </c>
    </row>
    <row r="49" spans="1:17" ht="15" x14ac:dyDescent="0.2">
      <c r="A49" s="114" t="s">
        <v>145</v>
      </c>
      <c r="B49" s="115"/>
      <c r="C49" s="132"/>
      <c r="D49" s="128">
        <f>D8</f>
        <v>0</v>
      </c>
      <c r="E49" s="64">
        <f>(E8-'COSTOS APLICADOS'!$F$79/2)*POWER(1+$I$39,-1)</f>
        <v>125570587.18686202</v>
      </c>
      <c r="F49" s="64">
        <f>(F8-'COSTOS APLICADOS'!$F$79/2)*POWER(1+$I$39,-2)</f>
        <v>14513927.883667447</v>
      </c>
      <c r="G49" s="64">
        <f>(G8-'COSTOS APLICADOS'!$F$79/2)*POWER(1+$I$39,-3)</f>
        <v>122679392.96281756</v>
      </c>
      <c r="H49" s="64">
        <f>(H8-'COSTOS APLICADOS'!$F$79/2)*POWER(1+$I$39,-4)</f>
        <v>14179752.616946647</v>
      </c>
      <c r="I49" s="64">
        <f>(I8-'COSTOS APLICADOS'!$F$79/2)*POWER(1+$I$39,-5)</f>
        <v>119854766.90754904</v>
      </c>
      <c r="J49" s="64">
        <f>(J8-'COSTOS APLICADOS'!$F$79/2)*POWER(1+$I$39,-6)</f>
        <v>13853271.55332393</v>
      </c>
      <c r="K49" s="64">
        <f>(K8-'COSTOS APLICADOS'!$F$79/2)*POWER(1+$I$39,-7)</f>
        <v>117095176.32530834</v>
      </c>
      <c r="L49" s="64">
        <f>(L8-'COSTOS APLICADOS'!$F$79/2)*POWER(1+$I$39,-8)</f>
        <v>13534307.537973048</v>
      </c>
      <c r="M49" s="64">
        <f>(M8-'COSTOS APLICADOS'!$F$79/2)*POWER(1+$I$39,-9)</f>
        <v>114399123.8098302</v>
      </c>
      <c r="N49" s="64">
        <f>(N8-'COSTOS APLICADOS'!$F$79/2)*POWER(1+$I$39,-10)</f>
        <v>13222687.494960912</v>
      </c>
      <c r="O49" s="64">
        <f>(O8-'COSTOS APLICADOS'!$F$79/2)*POWER(1+$I$39,-11)</f>
        <v>111765146.43181144</v>
      </c>
      <c r="P49" s="64">
        <f>(P8-'COSTOS APLICADOS'!$F$79/2)*POWER(1+$I$39,-12)</f>
        <v>12918242.333333317</v>
      </c>
      <c r="Q49" s="116">
        <f>SUM(D49:P49)</f>
        <v>793586383.04438388</v>
      </c>
    </row>
    <row r="50" spans="1:17" ht="15" x14ac:dyDescent="0.2">
      <c r="A50" s="101" t="s">
        <v>146</v>
      </c>
      <c r="B50" s="81"/>
      <c r="C50" s="133"/>
      <c r="D50" s="107">
        <v>0</v>
      </c>
      <c r="E50" s="83">
        <f>E25*POWER(1+$I$39,-1)</f>
        <v>1779157.3198110643</v>
      </c>
      <c r="F50" s="83">
        <f>F25*POWER(1+$I$39,-2)</f>
        <v>1758555.9825762722</v>
      </c>
      <c r="G50" s="83">
        <f>G25*POWER(1+$I$39,-3)</f>
        <v>1738193.193721174</v>
      </c>
      <c r="H50" s="83">
        <f>H25*POWER(1+$I$39,-4)</f>
        <v>1718066.1910304434</v>
      </c>
      <c r="I50" s="83">
        <f>I25*POWER(1+$I$39,-5)</f>
        <v>1698172.2442731822</v>
      </c>
      <c r="J50" s="83">
        <f>J25*POWER(1+$I$39,-6)</f>
        <v>1678508.6548325636</v>
      </c>
      <c r="K50" s="83">
        <f>K25*POWER(1+$I$39,-7)</f>
        <v>1659072.7553397666</v>
      </c>
      <c r="L50" s="83">
        <f>L25*POWER(1+$I$39,-8)</f>
        <v>1639861.9093121423</v>
      </c>
      <c r="M50" s="83">
        <f>M25*POWER(1+$I$39,-9)</f>
        <v>1620873.5107955807</v>
      </c>
      <c r="N50" s="83">
        <f>N25*POWER(1+$I$39,-10)</f>
        <v>1602104.9840110089</v>
      </c>
      <c r="O50" s="83">
        <f>O25*POWER(1+$I$39,-11)</f>
        <v>1583553.7830049859</v>
      </c>
      <c r="P50" s="108">
        <f>P25*POWER(1+$I$39,-12)</f>
        <v>1565217.3913043458</v>
      </c>
      <c r="Q50" s="109">
        <f>SUM(D50:P50)</f>
        <v>20041337.920012526</v>
      </c>
    </row>
    <row r="51" spans="1:17" s="54" customFormat="1" ht="16.5" thickBot="1" x14ac:dyDescent="0.3">
      <c r="A51" s="117" t="s">
        <v>150</v>
      </c>
      <c r="B51" s="118"/>
      <c r="C51" s="134"/>
      <c r="D51" s="129">
        <f>D49+D50</f>
        <v>0</v>
      </c>
      <c r="E51" s="119">
        <f t="shared" ref="E51:P51" si="18">E49+E50</f>
        <v>127349744.50667308</v>
      </c>
      <c r="F51" s="119">
        <f t="shared" si="18"/>
        <v>16272483.866243718</v>
      </c>
      <c r="G51" s="119">
        <f t="shared" si="18"/>
        <v>124417586.15653874</v>
      </c>
      <c r="H51" s="119">
        <f t="shared" si="18"/>
        <v>15897818.80797709</v>
      </c>
      <c r="I51" s="119">
        <f t="shared" si="18"/>
        <v>121552939.15182222</v>
      </c>
      <c r="J51" s="119">
        <f t="shared" si="18"/>
        <v>15531780.208156494</v>
      </c>
      <c r="K51" s="119">
        <f t="shared" si="18"/>
        <v>118754249.08064811</v>
      </c>
      <c r="L51" s="119">
        <f t="shared" si="18"/>
        <v>15174169.44728519</v>
      </c>
      <c r="M51" s="119">
        <f t="shared" si="18"/>
        <v>116019997.32062578</v>
      </c>
      <c r="N51" s="119">
        <f t="shared" si="18"/>
        <v>14824792.478971921</v>
      </c>
      <c r="O51" s="119">
        <f t="shared" si="18"/>
        <v>113348700.21481642</v>
      </c>
      <c r="P51" s="120">
        <f t="shared" si="18"/>
        <v>14483459.724637663</v>
      </c>
      <c r="Q51" s="121">
        <f>SUM(D51:P51)</f>
        <v>813627720.96439636</v>
      </c>
    </row>
    <row r="52" spans="1:17" s="54" customFormat="1" ht="16.5" thickBot="1" x14ac:dyDescent="0.3">
      <c r="A52" s="136" t="s">
        <v>148</v>
      </c>
      <c r="B52" s="137"/>
      <c r="C52" s="138"/>
      <c r="D52" s="139">
        <f>D31</f>
        <v>-129831900</v>
      </c>
      <c r="E52" s="139">
        <f t="shared" ref="E52:P52" si="19">E31</f>
        <v>0</v>
      </c>
      <c r="F52" s="139">
        <f t="shared" si="19"/>
        <v>0</v>
      </c>
      <c r="G52" s="139">
        <f t="shared" si="19"/>
        <v>0</v>
      </c>
      <c r="H52" s="139">
        <f t="shared" si="19"/>
        <v>0</v>
      </c>
      <c r="I52" s="139">
        <f t="shared" si="19"/>
        <v>0</v>
      </c>
      <c r="J52" s="139">
        <f t="shared" si="19"/>
        <v>0</v>
      </c>
      <c r="K52" s="139">
        <f t="shared" si="19"/>
        <v>0</v>
      </c>
      <c r="L52" s="139">
        <f t="shared" si="19"/>
        <v>0</v>
      </c>
      <c r="M52" s="139">
        <f t="shared" si="19"/>
        <v>0</v>
      </c>
      <c r="N52" s="139">
        <f t="shared" si="19"/>
        <v>0</v>
      </c>
      <c r="O52" s="139">
        <f t="shared" si="19"/>
        <v>0</v>
      </c>
      <c r="P52" s="139">
        <f t="shared" si="19"/>
        <v>0</v>
      </c>
      <c r="Q52" s="121">
        <f>SUM(D52:P52)</f>
        <v>-129831900</v>
      </c>
    </row>
    <row r="53" spans="1:17" ht="18.75" thickBot="1" x14ac:dyDescent="0.3">
      <c r="A53" s="122" t="s">
        <v>147</v>
      </c>
      <c r="B53" s="123"/>
      <c r="C53" s="135"/>
      <c r="D53" s="130">
        <f>D48-D51+D52</f>
        <v>-129831900</v>
      </c>
      <c r="E53" s="124">
        <f t="shared" ref="E53:P53" si="20">E48-E51</f>
        <v>-127349744.50667308</v>
      </c>
      <c r="F53" s="124">
        <f t="shared" si="20"/>
        <v>152255797.79731569</v>
      </c>
      <c r="G53" s="124">
        <f t="shared" si="20"/>
        <v>-124417586.15653874</v>
      </c>
      <c r="H53" s="124">
        <f t="shared" si="20"/>
        <v>148750191.16577375</v>
      </c>
      <c r="I53" s="124">
        <f t="shared" si="20"/>
        <v>-121552939.15182222</v>
      </c>
      <c r="J53" s="124">
        <f t="shared" si="20"/>
        <v>145325299.21329752</v>
      </c>
      <c r="K53" s="124">
        <f t="shared" si="20"/>
        <v>-118754249.08064811</v>
      </c>
      <c r="L53" s="124">
        <f t="shared" si="20"/>
        <v>141979263.52846175</v>
      </c>
      <c r="M53" s="124">
        <f t="shared" si="20"/>
        <v>-116019997.32062578</v>
      </c>
      <c r="N53" s="124">
        <f t="shared" si="20"/>
        <v>138710268.48874977</v>
      </c>
      <c r="O53" s="124">
        <f t="shared" si="20"/>
        <v>-113348700.21481642</v>
      </c>
      <c r="P53" s="125">
        <f t="shared" si="20"/>
        <v>135516540.27536213</v>
      </c>
      <c r="Q53" s="126">
        <f>Q48-Q51+Q52</f>
        <v>11262244.037836313</v>
      </c>
    </row>
    <row r="54" spans="1:17" ht="15" thickBot="1" x14ac:dyDescent="0.25"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</row>
    <row r="55" spans="1:17" s="106" customFormat="1" ht="18.75" thickBot="1" x14ac:dyDescent="0.3">
      <c r="A55" s="96" t="s">
        <v>152</v>
      </c>
      <c r="B55" s="105"/>
      <c r="C55" s="105"/>
      <c r="D55" s="140">
        <f>D53</f>
        <v>-129831900</v>
      </c>
      <c r="E55" s="79">
        <f>D55+E53</f>
        <v>-257181644.5066731</v>
      </c>
      <c r="F55" s="79">
        <f t="shared" ref="F55:P55" si="21">E55+F53</f>
        <v>-104925846.70935741</v>
      </c>
      <c r="G55" s="79">
        <f t="shared" si="21"/>
        <v>-229343432.86589617</v>
      </c>
      <c r="H55" s="79">
        <f t="shared" si="21"/>
        <v>-80593241.700122416</v>
      </c>
      <c r="I55" s="79">
        <f t="shared" si="21"/>
        <v>-202146180.85194463</v>
      </c>
      <c r="J55" s="79">
        <f t="shared" si="21"/>
        <v>-56820881.638647109</v>
      </c>
      <c r="K55" s="79">
        <f t="shared" si="21"/>
        <v>-175575130.7192952</v>
      </c>
      <c r="L55" s="79">
        <f t="shared" si="21"/>
        <v>-33595867.190833449</v>
      </c>
      <c r="M55" s="79">
        <f t="shared" si="21"/>
        <v>-149615864.51145923</v>
      </c>
      <c r="N55" s="79">
        <f t="shared" si="21"/>
        <v>-10905596.022709459</v>
      </c>
      <c r="O55" s="79">
        <f t="shared" si="21"/>
        <v>-124254296.23752588</v>
      </c>
      <c r="P55" s="79">
        <f t="shared" si="21"/>
        <v>11262244.037836254</v>
      </c>
    </row>
    <row r="56" spans="1:17" x14ac:dyDescent="0.2"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</row>
    <row r="57" spans="1:17" x14ac:dyDescent="0.2"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</row>
    <row r="58" spans="1:17" x14ac:dyDescent="0.2"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</row>
    <row r="59" spans="1:17" x14ac:dyDescent="0.2"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</row>
    <row r="60" spans="1:17" x14ac:dyDescent="0.2"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</row>
    <row r="61" spans="1:17" x14ac:dyDescent="0.2"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</row>
    <row r="62" spans="1:17" x14ac:dyDescent="0.2"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</row>
    <row r="63" spans="1:17" x14ac:dyDescent="0.2"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</row>
    <row r="64" spans="1:17" x14ac:dyDescent="0.2"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</row>
    <row r="65" spans="4:16" x14ac:dyDescent="0.2"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</row>
    <row r="66" spans="4:16" x14ac:dyDescent="0.2"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</row>
    <row r="67" spans="4:16" x14ac:dyDescent="0.2"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</row>
    <row r="68" spans="4:16" x14ac:dyDescent="0.2"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4:16" x14ac:dyDescent="0.2"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</row>
    <row r="70" spans="4:16" x14ac:dyDescent="0.2"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</row>
    <row r="71" spans="4:16" x14ac:dyDescent="0.2"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</row>
    <row r="72" spans="4:16" x14ac:dyDescent="0.2"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</row>
    <row r="73" spans="4:16" x14ac:dyDescent="0.2"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</row>
    <row r="74" spans="4:16" x14ac:dyDescent="0.2"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</row>
    <row r="75" spans="4:16" x14ac:dyDescent="0.2"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</row>
    <row r="76" spans="4:16" x14ac:dyDescent="0.2"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</row>
    <row r="77" spans="4:16" x14ac:dyDescent="0.2"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</row>
    <row r="78" spans="4:16" x14ac:dyDescent="0.2"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</row>
    <row r="79" spans="4:16" x14ac:dyDescent="0.2"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</row>
    <row r="80" spans="4:16" x14ac:dyDescent="0.2"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</row>
    <row r="81" spans="4:16" x14ac:dyDescent="0.2"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</row>
    <row r="82" spans="4:16" x14ac:dyDescent="0.2"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</row>
    <row r="83" spans="4:16" x14ac:dyDescent="0.2"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</row>
    <row r="84" spans="4:16" x14ac:dyDescent="0.2"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</row>
    <row r="85" spans="4:16" x14ac:dyDescent="0.2"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</row>
    <row r="86" spans="4:16" x14ac:dyDescent="0.2"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</row>
    <row r="87" spans="4:16" x14ac:dyDescent="0.2"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</row>
    <row r="88" spans="4:16" x14ac:dyDescent="0.2"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</row>
    <row r="89" spans="4:16" x14ac:dyDescent="0.2"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</row>
    <row r="90" spans="4:16" x14ac:dyDescent="0.2"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</row>
    <row r="91" spans="4:16" x14ac:dyDescent="0.2"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</row>
    <row r="92" spans="4:16" x14ac:dyDescent="0.2"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</row>
    <row r="93" spans="4:16" x14ac:dyDescent="0.2"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</row>
    <row r="94" spans="4:16" x14ac:dyDescent="0.2"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</row>
    <row r="95" spans="4:16" x14ac:dyDescent="0.2"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</row>
    <row r="96" spans="4:16" x14ac:dyDescent="0.2"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</row>
    <row r="97" spans="4:16" x14ac:dyDescent="0.2"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</row>
    <row r="98" spans="4:16" x14ac:dyDescent="0.2"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</row>
    <row r="99" spans="4:16" x14ac:dyDescent="0.2"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</row>
    <row r="100" spans="4:16" x14ac:dyDescent="0.2"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</row>
    <row r="101" spans="4:16" x14ac:dyDescent="0.2"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</row>
    <row r="102" spans="4:16" x14ac:dyDescent="0.2"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</row>
    <row r="103" spans="4:16" x14ac:dyDescent="0.2"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</row>
    <row r="104" spans="4:16" x14ac:dyDescent="0.2"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</row>
    <row r="105" spans="4:16" x14ac:dyDescent="0.2"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</row>
    <row r="106" spans="4:16" x14ac:dyDescent="0.2"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</row>
  </sheetData>
  <mergeCells count="4">
    <mergeCell ref="A2:C2"/>
    <mergeCell ref="G39:H39"/>
    <mergeCell ref="A47:C47"/>
    <mergeCell ref="E41:F4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COSTOS APLICADOS</vt:lpstr>
      <vt:lpstr>PUNTO EQUILIBRIO</vt:lpstr>
      <vt:lpstr>PROYECC 1 PROD</vt:lpstr>
      <vt:lpstr>PROYECC 15 PROD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 del Pilar Torres Gutierrrez</dc:creator>
  <cp:lastModifiedBy>Milton</cp:lastModifiedBy>
  <dcterms:created xsi:type="dcterms:W3CDTF">2014-06-13T19:12:19Z</dcterms:created>
  <dcterms:modified xsi:type="dcterms:W3CDTF">2014-08-19T13:10:56Z</dcterms:modified>
</cp:coreProperties>
</file>