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7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9.xml" ContentType="application/vnd.openxmlformats-officedocument.drawing+xml"/>
  <Override PartName="/xl/tables/table17.xml" ContentType="application/vnd.openxmlformats-officedocument.spreadsheetml.table+xml"/>
  <Override PartName="/xl/drawings/drawing10.xml" ContentType="application/vnd.openxmlformats-officedocument.drawing+xml"/>
  <Override PartName="/xl/tables/table18.xml" ContentType="application/vnd.openxmlformats-officedocument.spreadsheetml.table+xml"/>
  <Override PartName="/xl/drawings/drawing11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25.xml" ContentType="application/vnd.openxmlformats-officedocument.spreadsheetml.table+xml"/>
  <Override PartName="/xl/drawings/drawing14.xml" ContentType="application/vnd.openxmlformats-officedocument.drawing+xml"/>
  <Override PartName="/xl/tables/table26.xml" ContentType="application/vnd.openxmlformats-officedocument.spreadsheetml.table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9"/>
  <workbookPr/>
  <mc:AlternateContent xmlns:mc="http://schemas.openxmlformats.org/markup-compatibility/2006">
    <mc:Choice Requires="x15">
      <x15ac:absPath xmlns:x15ac="http://schemas.microsoft.com/office/spreadsheetml/2010/11/ac" url="https://uniminuto0-my.sharepoint.com/personal/daniela_moreno-r_uniminuto_edu_co/Documents/"/>
    </mc:Choice>
  </mc:AlternateContent>
  <xr:revisionPtr revIDLastSave="0" documentId="8_{DA20FEE2-C080-44A1-8F5C-FDA76FCB9CA8}" xr6:coauthVersionLast="47" xr6:coauthVersionMax="47" xr10:uidLastSave="{00000000-0000-0000-0000-000000000000}"/>
  <bookViews>
    <workbookView xWindow="-120" yWindow="-120" windowWidth="29040" windowHeight="15720" firstSheet="13" activeTab="11" xr2:uid="{00000000-000D-0000-FFFF-FFFF00000000}"/>
  </bookViews>
  <sheets>
    <sheet name="Estimacion de la demanda" sheetId="1" r:id="rId1"/>
    <sheet name="Tamaño del proyecto" sheetId="2" r:id="rId2"/>
    <sheet name="VentasMes" sheetId="3" r:id="rId3"/>
    <sheet name="VentasAños" sheetId="4" r:id="rId4"/>
    <sheet name="Nomina" sheetId="5" r:id="rId5"/>
    <sheet name="Maquinas" sheetId="6" r:id="rId6"/>
    <sheet name="Gastos" sheetId="7" r:id="rId7"/>
    <sheet name="Compras" sheetId="8" r:id="rId8"/>
    <sheet name="Depre" sheetId="9" r:id="rId9"/>
    <sheet name="Capital" sheetId="10" r:id="rId10"/>
    <sheet name="Amorti" sheetId="11" r:id="rId11"/>
    <sheet name="ESF" sheetId="12" r:id="rId12"/>
    <sheet name="ER" sheetId="13" r:id="rId13"/>
    <sheet name="FlujoCaja" sheetId="14" r:id="rId14"/>
    <sheet name="Equilibrio" sheetId="15" r:id="rId15"/>
    <sheet name="PRECIOS" sheetId="17" r:id="rId16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1" roundtripDataChecksum="Sl8manLF2EMzZYAmVteQfvbnNS+mWWGis9RA6M8cUes="/>
    </ext>
  </extLst>
</workbook>
</file>

<file path=xl/calcChain.xml><?xml version="1.0" encoding="utf-8"?>
<calcChain xmlns="http://schemas.openxmlformats.org/spreadsheetml/2006/main">
  <c r="B17" i="5" l="1"/>
  <c r="G52" i="8"/>
  <c r="G53" i="8"/>
  <c r="I52" i="8"/>
  <c r="G48" i="8"/>
  <c r="G47" i="8"/>
  <c r="G44" i="8"/>
  <c r="G17" i="15"/>
  <c r="G33" i="15"/>
  <c r="K38" i="14"/>
  <c r="K37" i="14"/>
  <c r="C10" i="5"/>
  <c r="C9" i="15"/>
  <c r="J8" i="5"/>
  <c r="J7" i="5"/>
  <c r="C32" i="15"/>
  <c r="C16" i="15"/>
  <c r="C35" i="15"/>
  <c r="C33" i="15"/>
  <c r="C30" i="15"/>
  <c r="C28" i="15"/>
  <c r="C27" i="15"/>
  <c r="C26" i="15"/>
  <c r="I16" i="5"/>
  <c r="G9" i="3"/>
  <c r="B14" i="2"/>
  <c r="E112" i="8"/>
  <c r="C60" i="8"/>
  <c r="B60" i="8"/>
  <c r="C21" i="7" l="1"/>
  <c r="E58" i="8"/>
  <c r="D58" i="8"/>
  <c r="C58" i="8"/>
  <c r="B58" i="8"/>
  <c r="F27" i="8"/>
  <c r="D27" i="8"/>
  <c r="F88" i="8"/>
  <c r="C19" i="15"/>
  <c r="C17" i="15"/>
  <c r="C14" i="15"/>
  <c r="C12" i="15"/>
  <c r="C11" i="15"/>
  <c r="C10" i="15"/>
  <c r="C25" i="15"/>
  <c r="C54" i="14"/>
  <c r="C17" i="14" s="1"/>
  <c r="I14" i="7"/>
  <c r="I7" i="7"/>
  <c r="I8" i="7"/>
  <c r="C10" i="7"/>
  <c r="E9" i="5"/>
  <c r="J20" i="5" s="1"/>
  <c r="F9" i="5"/>
  <c r="C31" i="15" l="1"/>
  <c r="C15" i="15"/>
  <c r="G9" i="5"/>
  <c r="E6" i="9"/>
  <c r="E8" i="9"/>
  <c r="E7" i="9"/>
  <c r="F35" i="6"/>
  <c r="F34" i="6"/>
  <c r="F33" i="6"/>
  <c r="G26" i="8"/>
  <c r="H26" i="8" s="1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9" i="8"/>
  <c r="F90" i="8"/>
  <c r="F91" i="8"/>
  <c r="G92" i="8"/>
  <c r="F41" i="6"/>
  <c r="F40" i="6"/>
  <c r="F39" i="6"/>
  <c r="F8" i="6"/>
  <c r="F23" i="6"/>
  <c r="F22" i="6"/>
  <c r="F11" i="6"/>
  <c r="F12" i="6"/>
  <c r="F13" i="6"/>
  <c r="F14" i="6"/>
  <c r="F15" i="6"/>
  <c r="F16" i="6"/>
  <c r="F17" i="6"/>
  <c r="F18" i="6"/>
  <c r="F19" i="6"/>
  <c r="F20" i="6"/>
  <c r="F21" i="6"/>
  <c r="H20" i="5"/>
  <c r="I9" i="5" s="1"/>
  <c r="J9" i="5" s="1"/>
  <c r="G20" i="5"/>
  <c r="F20" i="5"/>
  <c r="E20" i="5"/>
  <c r="D20" i="5"/>
  <c r="C20" i="5"/>
  <c r="B20" i="5"/>
  <c r="K20" i="5" s="1"/>
  <c r="K10" i="14"/>
  <c r="K9" i="14"/>
  <c r="K8" i="14"/>
  <c r="K7" i="14"/>
  <c r="K6" i="14"/>
  <c r="J7" i="13"/>
  <c r="J6" i="13"/>
  <c r="J5" i="13"/>
  <c r="J4" i="13"/>
  <c r="J3" i="13"/>
  <c r="C23" i="13" s="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C6" i="11"/>
  <c r="E8" i="10"/>
  <c r="H5" i="10"/>
  <c r="D51" i="8"/>
  <c r="G50" i="8"/>
  <c r="G49" i="8"/>
  <c r="G46" i="8"/>
  <c r="G45" i="8"/>
  <c r="G39" i="8"/>
  <c r="D38" i="8"/>
  <c r="G37" i="8"/>
  <c r="G36" i="8"/>
  <c r="G35" i="8"/>
  <c r="G34" i="8"/>
  <c r="G33" i="8"/>
  <c r="G32" i="8"/>
  <c r="C24" i="7"/>
  <c r="I23" i="7"/>
  <c r="D23" i="7" s="1"/>
  <c r="I22" i="7"/>
  <c r="D22" i="7" s="1"/>
  <c r="I21" i="7"/>
  <c r="I20" i="7"/>
  <c r="D20" i="7" s="1"/>
  <c r="I19" i="7"/>
  <c r="C15" i="7"/>
  <c r="L10" i="7"/>
  <c r="L9" i="7"/>
  <c r="I9" i="7"/>
  <c r="D9" i="7" s="1"/>
  <c r="E9" i="7" s="1"/>
  <c r="L8" i="7"/>
  <c r="L5" i="7"/>
  <c r="D14" i="7" s="1"/>
  <c r="F32" i="6"/>
  <c r="F31" i="6"/>
  <c r="F30" i="6"/>
  <c r="F29" i="6"/>
  <c r="F24" i="6"/>
  <c r="F10" i="6"/>
  <c r="F9" i="6"/>
  <c r="F7" i="6"/>
  <c r="F8" i="5"/>
  <c r="E8" i="5"/>
  <c r="F7" i="5"/>
  <c r="E7" i="5"/>
  <c r="B18" i="5" s="1"/>
  <c r="F6" i="5"/>
  <c r="E6" i="5"/>
  <c r="F15" i="4"/>
  <c r="E15" i="4"/>
  <c r="F14" i="4"/>
  <c r="E14" i="4"/>
  <c r="F13" i="4"/>
  <c r="E13" i="4"/>
  <c r="F12" i="4"/>
  <c r="E12" i="4"/>
  <c r="G12" i="4" s="1"/>
  <c r="F11" i="4"/>
  <c r="E11" i="4"/>
  <c r="D10" i="1"/>
  <c r="E10" i="1" s="1"/>
  <c r="D9" i="1"/>
  <c r="E9" i="1" s="1"/>
  <c r="D8" i="1"/>
  <c r="F8" i="1" s="1"/>
  <c r="G8" i="1" s="1"/>
  <c r="D7" i="1"/>
  <c r="E7" i="1" s="1"/>
  <c r="D6" i="1"/>
  <c r="E8" i="1" l="1"/>
  <c r="I10" i="7"/>
  <c r="G11" i="4"/>
  <c r="D8" i="7"/>
  <c r="D10" i="7" s="1"/>
  <c r="C15" i="13" s="1"/>
  <c r="D13" i="14" s="1"/>
  <c r="D15" i="7"/>
  <c r="E14" i="7"/>
  <c r="F9" i="7"/>
  <c r="G9" i="7" s="1"/>
  <c r="H9" i="7" s="1"/>
  <c r="J22" i="11"/>
  <c r="H9" i="5"/>
  <c r="F42" i="6"/>
  <c r="E8" i="7"/>
  <c r="F8" i="7" s="1"/>
  <c r="G8" i="7" s="1"/>
  <c r="H8" i="7" s="1"/>
  <c r="G13" i="4"/>
  <c r="G15" i="4"/>
  <c r="F25" i="6"/>
  <c r="D21" i="7"/>
  <c r="D23" i="13"/>
  <c r="E23" i="13" s="1"/>
  <c r="F23" i="13" s="1"/>
  <c r="G23" i="13" s="1"/>
  <c r="F112" i="8"/>
  <c r="F92" i="8"/>
  <c r="D19" i="7"/>
  <c r="I24" i="7"/>
  <c r="C26" i="7" s="1"/>
  <c r="C27" i="7" s="1"/>
  <c r="I17" i="10" s="1"/>
  <c r="E22" i="7"/>
  <c r="F22" i="7" s="1"/>
  <c r="G22" i="7" s="1"/>
  <c r="E20" i="7"/>
  <c r="F20" i="7" s="1"/>
  <c r="G20" i="7" s="1"/>
  <c r="H20" i="7" s="1"/>
  <c r="E21" i="7"/>
  <c r="F21" i="7" s="1"/>
  <c r="G21" i="7" s="1"/>
  <c r="H21" i="7" s="1"/>
  <c r="E23" i="7"/>
  <c r="F23" i="7" s="1"/>
  <c r="F36" i="6"/>
  <c r="I15" i="7"/>
  <c r="F9" i="1"/>
  <c r="G40" i="8"/>
  <c r="G38" i="8"/>
  <c r="I17" i="5"/>
  <c r="H17" i="5"/>
  <c r="G17" i="5"/>
  <c r="F17" i="5"/>
  <c r="E17" i="5"/>
  <c r="D17" i="5"/>
  <c r="C17" i="5"/>
  <c r="G6" i="5"/>
  <c r="D19" i="5"/>
  <c r="H19" i="5"/>
  <c r="G19" i="5"/>
  <c r="F19" i="5"/>
  <c r="E19" i="5"/>
  <c r="C19" i="5"/>
  <c r="B19" i="5"/>
  <c r="G8" i="5"/>
  <c r="I19" i="5"/>
  <c r="H8" i="1"/>
  <c r="E6" i="1"/>
  <c r="F6" i="1"/>
  <c r="G6" i="1" s="1"/>
  <c r="H6" i="1" s="1"/>
  <c r="F18" i="5"/>
  <c r="D18" i="5"/>
  <c r="H18" i="5"/>
  <c r="G18" i="5"/>
  <c r="E18" i="5"/>
  <c r="C18" i="5"/>
  <c r="I18" i="5"/>
  <c r="G7" i="5"/>
  <c r="H22" i="7"/>
  <c r="G51" i="8"/>
  <c r="G23" i="7"/>
  <c r="H23" i="7" s="1"/>
  <c r="J46" i="11"/>
  <c r="C17" i="13"/>
  <c r="D14" i="14" s="1"/>
  <c r="J34" i="11"/>
  <c r="G14" i="4"/>
  <c r="F10" i="1"/>
  <c r="J58" i="11"/>
  <c r="F7" i="1"/>
  <c r="C36" i="15" l="1"/>
  <c r="G26" i="15"/>
  <c r="G10" i="15"/>
  <c r="K19" i="5"/>
  <c r="C7" i="9"/>
  <c r="F7" i="9" s="1"/>
  <c r="D10" i="12"/>
  <c r="D24" i="7"/>
  <c r="C16" i="13" s="1"/>
  <c r="F43" i="6"/>
  <c r="D11" i="12"/>
  <c r="C6" i="9"/>
  <c r="C8" i="9"/>
  <c r="F8" i="9" s="1"/>
  <c r="D12" i="12"/>
  <c r="E15" i="7"/>
  <c r="F14" i="7"/>
  <c r="C20" i="15"/>
  <c r="I8" i="10"/>
  <c r="E10" i="7"/>
  <c r="D15" i="13" s="1"/>
  <c r="E13" i="14" s="1"/>
  <c r="H6" i="5"/>
  <c r="J6" i="5" s="1"/>
  <c r="J11" i="5" s="1"/>
  <c r="K17" i="5"/>
  <c r="H8" i="5"/>
  <c r="I6" i="5"/>
  <c r="G7" i="1"/>
  <c r="H7" i="1" s="1"/>
  <c r="G10" i="1"/>
  <c r="H10" i="1" s="1"/>
  <c r="G9" i="1"/>
  <c r="H9" i="1" s="1"/>
  <c r="K18" i="5"/>
  <c r="H7" i="5"/>
  <c r="I7" i="5"/>
  <c r="I8" i="5"/>
  <c r="D17" i="13"/>
  <c r="E14" i="14" s="1"/>
  <c r="E19" i="7"/>
  <c r="K8" i="10" l="1"/>
  <c r="C16" i="14"/>
  <c r="C22" i="14" s="1"/>
  <c r="F15" i="7"/>
  <c r="G14" i="7"/>
  <c r="C9" i="9"/>
  <c r="F6" i="9"/>
  <c r="F9" i="9" s="1"/>
  <c r="C18" i="13" s="1"/>
  <c r="E3" i="2"/>
  <c r="E2" i="2" s="1"/>
  <c r="B9" i="2" s="1"/>
  <c r="B10" i="2" s="1"/>
  <c r="B17" i="2" s="1"/>
  <c r="G3" i="3"/>
  <c r="J13" i="5"/>
  <c r="C14" i="13" s="1"/>
  <c r="D15" i="14" s="1"/>
  <c r="K21" i="5"/>
  <c r="E17" i="13"/>
  <c r="F14" i="14" s="1"/>
  <c r="F10" i="7"/>
  <c r="E15" i="13" s="1"/>
  <c r="F13" i="14" s="1"/>
  <c r="E24" i="7"/>
  <c r="D16" i="13" s="1"/>
  <c r="F19" i="7"/>
  <c r="G15" i="7" l="1"/>
  <c r="H14" i="7"/>
  <c r="H15" i="7" s="1"/>
  <c r="G17" i="13" s="1"/>
  <c r="H14" i="14" s="1"/>
  <c r="C9" i="2"/>
  <c r="C10" i="2" s="1"/>
  <c r="C17" i="2" s="1"/>
  <c r="D18" i="13"/>
  <c r="E18" i="13" s="1"/>
  <c r="D21" i="14"/>
  <c r="D14" i="13"/>
  <c r="E14" i="13" s="1"/>
  <c r="F14" i="13" s="1"/>
  <c r="G14" i="13" s="1"/>
  <c r="J12" i="5"/>
  <c r="H8" i="10" s="1"/>
  <c r="E9" i="2"/>
  <c r="E10" i="2" s="1"/>
  <c r="E17" i="2" s="1"/>
  <c r="F9" i="2"/>
  <c r="F10" i="2" s="1"/>
  <c r="F17" i="2" s="1"/>
  <c r="D9" i="2"/>
  <c r="D10" i="2" s="1"/>
  <c r="D17" i="2" s="1"/>
  <c r="G19" i="7"/>
  <c r="F24" i="7"/>
  <c r="E16" i="13" s="1"/>
  <c r="G10" i="7"/>
  <c r="F15" i="13" s="1"/>
  <c r="G13" i="14" s="1"/>
  <c r="F17" i="13"/>
  <c r="G14" i="14" s="1"/>
  <c r="F18" i="13" l="1"/>
  <c r="F21" i="14"/>
  <c r="E21" i="14"/>
  <c r="H17" i="10"/>
  <c r="H10" i="7"/>
  <c r="E15" i="14"/>
  <c r="G24" i="7"/>
  <c r="F16" i="13" s="1"/>
  <c r="H19" i="7"/>
  <c r="H24" i="7" s="1"/>
  <c r="G16" i="13" s="1"/>
  <c r="G18" i="13" l="1"/>
  <c r="G21" i="14"/>
  <c r="G15" i="13"/>
  <c r="H13" i="14" s="1"/>
  <c r="F15" i="14"/>
  <c r="H21" i="14" l="1"/>
  <c r="H15" i="14"/>
  <c r="G15" i="14"/>
  <c r="L3" i="3" l="1"/>
  <c r="G10" i="8" s="1"/>
  <c r="L2" i="3"/>
  <c r="E22" i="8" s="1"/>
  <c r="G19" i="8" l="1"/>
  <c r="E8" i="8"/>
  <c r="E10" i="8"/>
  <c r="M3" i="3"/>
  <c r="C24" i="3" s="1"/>
  <c r="D32" i="3" s="1"/>
  <c r="G22" i="8"/>
  <c r="H22" i="8" s="1"/>
  <c r="G9" i="8"/>
  <c r="H10" i="8"/>
  <c r="E19" i="8"/>
  <c r="E20" i="8"/>
  <c r="E9" i="8"/>
  <c r="E17" i="8"/>
  <c r="E25" i="8"/>
  <c r="H25" i="8" s="1"/>
  <c r="E16" i="8"/>
  <c r="E21" i="8"/>
  <c r="E12" i="8"/>
  <c r="E14" i="8"/>
  <c r="M2" i="3"/>
  <c r="D35" i="3"/>
  <c r="E23" i="8"/>
  <c r="H23" i="8" s="1"/>
  <c r="E13" i="8"/>
  <c r="E11" i="8"/>
  <c r="G8" i="8"/>
  <c r="G21" i="8"/>
  <c r="G15" i="8"/>
  <c r="G18" i="8"/>
  <c r="G16" i="8"/>
  <c r="G17" i="8"/>
  <c r="G20" i="8"/>
  <c r="G12" i="8"/>
  <c r="G13" i="8"/>
  <c r="E24" i="8"/>
  <c r="H24" i="8" s="1"/>
  <c r="G14" i="8"/>
  <c r="E15" i="8"/>
  <c r="G11" i="8"/>
  <c r="E18" i="8"/>
  <c r="H19" i="8" l="1"/>
  <c r="H9" i="8"/>
  <c r="D26" i="3"/>
  <c r="D36" i="3"/>
  <c r="D30" i="3"/>
  <c r="D31" i="3"/>
  <c r="D37" i="3"/>
  <c r="D34" i="3"/>
  <c r="D29" i="3"/>
  <c r="D33" i="3"/>
  <c r="D27" i="3"/>
  <c r="D28" i="3"/>
  <c r="H21" i="8"/>
  <c r="H20" i="8"/>
  <c r="G27" i="8"/>
  <c r="G28" i="8" s="1"/>
  <c r="G25" i="15" s="1"/>
  <c r="G27" i="15" s="1"/>
  <c r="H11" i="8"/>
  <c r="D61" i="8"/>
  <c r="C7" i="3"/>
  <c r="H16" i="8"/>
  <c r="H8" i="8"/>
  <c r="H13" i="8"/>
  <c r="H14" i="8"/>
  <c r="H18" i="8"/>
  <c r="H15" i="8"/>
  <c r="H12" i="8"/>
  <c r="H17" i="8"/>
  <c r="E27" i="8"/>
  <c r="E28" i="8" s="1"/>
  <c r="G9" i="15" s="1"/>
  <c r="G11" i="15" s="1"/>
  <c r="H27" i="8" l="1"/>
  <c r="D10" i="3"/>
  <c r="D13" i="3"/>
  <c r="D15" i="3"/>
  <c r="D17" i="3"/>
  <c r="D14" i="3"/>
  <c r="D20" i="3"/>
  <c r="D11" i="3"/>
  <c r="D9" i="3"/>
  <c r="D19" i="3"/>
  <c r="D18" i="3"/>
  <c r="D12" i="3"/>
  <c r="D16" i="3"/>
  <c r="F60" i="8"/>
  <c r="F58" i="8"/>
  <c r="G58" i="8" s="1"/>
  <c r="G61" i="8"/>
  <c r="F57" i="8"/>
  <c r="F59" i="8"/>
  <c r="G59" i="8" s="1"/>
  <c r="D62" i="8"/>
  <c r="G62" i="8" l="1"/>
  <c r="D63" i="8"/>
  <c r="G57" i="8"/>
  <c r="H28" i="8"/>
  <c r="F64" i="8" l="1"/>
  <c r="G63" i="8"/>
  <c r="G64" i="8" l="1"/>
  <c r="F66" i="8"/>
  <c r="G68" i="8" l="1"/>
  <c r="G69" i="8" s="1"/>
  <c r="G70" i="8" s="1"/>
  <c r="F21" i="17"/>
  <c r="G30" i="15" s="1"/>
  <c r="H68" i="8"/>
  <c r="H69" i="8" s="1"/>
  <c r="H70" i="8" s="1"/>
  <c r="F10" i="17"/>
  <c r="G14" i="15" s="1"/>
  <c r="C13" i="15"/>
  <c r="C29" i="15"/>
  <c r="G65" i="8"/>
  <c r="G66" i="8"/>
  <c r="G67" i="8" s="1"/>
  <c r="C70" i="8" s="1"/>
  <c r="C71" i="8" l="1"/>
  <c r="J8" i="10"/>
  <c r="C9" i="13" s="1"/>
  <c r="D12" i="14" s="1"/>
  <c r="J17" i="10"/>
  <c r="K17" i="10" s="1"/>
  <c r="F11" i="17"/>
  <c r="F12" i="17" s="1"/>
  <c r="F13" i="17" s="1"/>
  <c r="F22" i="17"/>
  <c r="F23" i="17" s="1"/>
  <c r="F24" i="17" s="1"/>
  <c r="G29" i="15" s="1"/>
  <c r="K2" i="3" l="1"/>
  <c r="G13" i="15"/>
  <c r="E10" i="3"/>
  <c r="F10" i="3" s="1"/>
  <c r="E16" i="3"/>
  <c r="F16" i="3" s="1"/>
  <c r="E18" i="3"/>
  <c r="F18" i="3" s="1"/>
  <c r="E12" i="3"/>
  <c r="F12" i="3" s="1"/>
  <c r="E17" i="3"/>
  <c r="F17" i="3" s="1"/>
  <c r="E11" i="3"/>
  <c r="F11" i="3" s="1"/>
  <c r="E19" i="3"/>
  <c r="F19" i="3" s="1"/>
  <c r="E20" i="3"/>
  <c r="F20" i="3" s="1"/>
  <c r="E9" i="3"/>
  <c r="F9" i="3" s="1"/>
  <c r="E14" i="3"/>
  <c r="F14" i="3" s="1"/>
  <c r="E13" i="3"/>
  <c r="F13" i="3" s="1"/>
  <c r="E15" i="3"/>
  <c r="F15" i="3" s="1"/>
  <c r="K3" i="3"/>
  <c r="D8" i="12"/>
  <c r="L8" i="10"/>
  <c r="H12" i="10" s="1"/>
  <c r="C26" i="14" s="1"/>
  <c r="C30" i="14" s="1"/>
  <c r="E26" i="3" l="1"/>
  <c r="D9" i="13"/>
  <c r="C10" i="13"/>
  <c r="E27" i="3"/>
  <c r="F26" i="3"/>
  <c r="H13" i="10"/>
  <c r="C9" i="14" s="1"/>
  <c r="D6" i="12"/>
  <c r="D7" i="14" s="1"/>
  <c r="H14" i="10"/>
  <c r="C8" i="14" s="1"/>
  <c r="F21" i="3"/>
  <c r="E28" i="3" l="1"/>
  <c r="F27" i="3"/>
  <c r="D13" i="12"/>
  <c r="E7" i="14"/>
  <c r="F7" i="14" s="1"/>
  <c r="G7" i="14" s="1"/>
  <c r="H7" i="14" s="1"/>
  <c r="C9" i="10"/>
  <c r="E9" i="10" s="1"/>
  <c r="K12" i="10"/>
  <c r="K13" i="10"/>
  <c r="E12" i="14"/>
  <c r="E9" i="13"/>
  <c r="D10" i="13"/>
  <c r="D15" i="12"/>
  <c r="D17" i="12" s="1"/>
  <c r="D10" i="10"/>
  <c r="E10" i="10" s="1"/>
  <c r="C5" i="11" s="1"/>
  <c r="D19" i="12" l="1"/>
  <c r="D20" i="12" s="1"/>
  <c r="D22" i="11"/>
  <c r="D43" i="11"/>
  <c r="D31" i="11"/>
  <c r="D45" i="11"/>
  <c r="D49" i="11"/>
  <c r="D20" i="11"/>
  <c r="D33" i="11"/>
  <c r="D44" i="11"/>
  <c r="D52" i="11"/>
  <c r="D12" i="11"/>
  <c r="D15" i="11"/>
  <c r="D57" i="11"/>
  <c r="D39" i="11"/>
  <c r="D13" i="11"/>
  <c r="D21" i="11"/>
  <c r="D46" i="11"/>
  <c r="D53" i="11"/>
  <c r="D56" i="11"/>
  <c r="D16" i="11"/>
  <c r="D25" i="11"/>
  <c r="D51" i="11"/>
  <c r="D24" i="11"/>
  <c r="D50" i="11"/>
  <c r="D32" i="11"/>
  <c r="D42" i="11"/>
  <c r="D54" i="11"/>
  <c r="D48" i="11"/>
  <c r="D11" i="11"/>
  <c r="D19" i="11"/>
  <c r="D29" i="11"/>
  <c r="D60" i="11"/>
  <c r="D14" i="11"/>
  <c r="D27" i="11"/>
  <c r="D38" i="11"/>
  <c r="D26" i="11"/>
  <c r="D36" i="11"/>
  <c r="D58" i="11"/>
  <c r="D37" i="11"/>
  <c r="D35" i="11"/>
  <c r="D59" i="11"/>
  <c r="D47" i="11"/>
  <c r="D23" i="11"/>
  <c r="D28" i="11"/>
  <c r="D17" i="11"/>
  <c r="D34" i="11"/>
  <c r="D18" i="11"/>
  <c r="D30" i="11"/>
  <c r="D41" i="11"/>
  <c r="D40" i="11"/>
  <c r="D55" i="11"/>
  <c r="C11" i="11"/>
  <c r="E10" i="13"/>
  <c r="F12" i="14"/>
  <c r="F9" i="13"/>
  <c r="C10" i="14"/>
  <c r="E16" i="10"/>
  <c r="D22" i="12"/>
  <c r="E29" i="3"/>
  <c r="F28" i="3"/>
  <c r="E30" i="3" l="1"/>
  <c r="F29" i="3"/>
  <c r="C12" i="11"/>
  <c r="E11" i="11"/>
  <c r="G11" i="11" s="1"/>
  <c r="H46" i="11"/>
  <c r="F19" i="14" s="1"/>
  <c r="F10" i="13"/>
  <c r="G9" i="13"/>
  <c r="G12" i="14"/>
  <c r="H34" i="11"/>
  <c r="E19" i="14" s="1"/>
  <c r="H58" i="11"/>
  <c r="G19" i="14" s="1"/>
  <c r="H22" i="11"/>
  <c r="D19" i="14" s="1"/>
  <c r="H12" i="14" l="1"/>
  <c r="G10" i="13"/>
  <c r="C13" i="11"/>
  <c r="E12" i="11"/>
  <c r="G12" i="11" s="1"/>
  <c r="E31" i="3"/>
  <c r="F30" i="3"/>
  <c r="E13" i="11" l="1"/>
  <c r="C14" i="11"/>
  <c r="E32" i="3"/>
  <c r="F31" i="3"/>
  <c r="E33" i="3" l="1"/>
  <c r="F32" i="3"/>
  <c r="E14" i="11"/>
  <c r="G14" i="11" s="1"/>
  <c r="C15" i="11"/>
  <c r="G13" i="11"/>
  <c r="E15" i="11" l="1"/>
  <c r="G15" i="11" s="1"/>
  <c r="C16" i="11"/>
  <c r="E34" i="3"/>
  <c r="F33" i="3"/>
  <c r="E35" i="3" l="1"/>
  <c r="F34" i="3"/>
  <c r="C17" i="11"/>
  <c r="E16" i="11"/>
  <c r="G16" i="11" s="1"/>
  <c r="C18" i="11" l="1"/>
  <c r="E17" i="11"/>
  <c r="G17" i="11" s="1"/>
  <c r="E36" i="3"/>
  <c r="F35" i="3"/>
  <c r="E37" i="3" l="1"/>
  <c r="F37" i="3" s="1"/>
  <c r="F36" i="3"/>
  <c r="E18" i="11"/>
  <c r="G18" i="11" s="1"/>
  <c r="C19" i="11"/>
  <c r="F38" i="3" l="1"/>
  <c r="F45" i="3" s="1"/>
  <c r="E19" i="11"/>
  <c r="G19" i="11" s="1"/>
  <c r="C20" i="11"/>
  <c r="C6" i="4" l="1"/>
  <c r="D6" i="14"/>
  <c r="D10" i="14" s="1"/>
  <c r="C11" i="4" a="1"/>
  <c r="C11" i="4" s="1"/>
  <c r="C6" i="13"/>
  <c r="C7" i="13" s="1"/>
  <c r="C11" i="13" s="1"/>
  <c r="C12" i="13" s="1"/>
  <c r="D6" i="4"/>
  <c r="E6" i="4" s="1"/>
  <c r="E20" i="11"/>
  <c r="G20" i="11" s="1"/>
  <c r="C21" i="11"/>
  <c r="D28" i="14"/>
  <c r="C12" i="4" l="1" a="1"/>
  <c r="C12" i="4" s="1"/>
  <c r="C19" i="13"/>
  <c r="E6" i="14"/>
  <c r="E10" i="14" s="1"/>
  <c r="D6" i="13"/>
  <c r="D7" i="13" s="1"/>
  <c r="D11" i="13" s="1"/>
  <c r="D12" i="13" s="1"/>
  <c r="C22" i="13"/>
  <c r="C34" i="15" s="1"/>
  <c r="C37" i="15" s="1"/>
  <c r="C21" i="13"/>
  <c r="E28" i="14"/>
  <c r="E21" i="11"/>
  <c r="G21" i="11" s="1"/>
  <c r="C22" i="11"/>
  <c r="E6" i="13"/>
  <c r="E7" i="13" s="1"/>
  <c r="E11" i="13" s="1"/>
  <c r="F6" i="4"/>
  <c r="F6" i="14"/>
  <c r="F10" i="14" s="1"/>
  <c r="C13" i="4" a="1"/>
  <c r="C13" i="4" s="1"/>
  <c r="D19" i="13" l="1"/>
  <c r="D22" i="13" s="1"/>
  <c r="D20" i="14"/>
  <c r="C23" i="11"/>
  <c r="E22" i="11"/>
  <c r="F28" i="14"/>
  <c r="E19" i="13"/>
  <c r="E12" i="13"/>
  <c r="D21" i="13"/>
  <c r="G6" i="14"/>
  <c r="G10" i="14" s="1"/>
  <c r="F6" i="13"/>
  <c r="F7" i="13" s="1"/>
  <c r="F11" i="13" s="1"/>
  <c r="C14" i="4" a="1"/>
  <c r="C14" i="4" s="1"/>
  <c r="G6" i="4"/>
  <c r="C18" i="15"/>
  <c r="C21" i="15" s="1"/>
  <c r="G15" i="15" s="1"/>
  <c r="G31" i="15"/>
  <c r="F12" i="13" l="1"/>
  <c r="F19" i="13"/>
  <c r="G28" i="14"/>
  <c r="G22" i="11"/>
  <c r="I22" i="11"/>
  <c r="C15" i="4" a="1"/>
  <c r="C15" i="4" s="1"/>
  <c r="G6" i="13"/>
  <c r="G7" i="13" s="1"/>
  <c r="G11" i="13" s="1"/>
  <c r="H6" i="14"/>
  <c r="H10" i="14" s="1"/>
  <c r="E20" i="14"/>
  <c r="E21" i="13"/>
  <c r="E22" i="13"/>
  <c r="C24" i="11"/>
  <c r="E23" i="11"/>
  <c r="F20" i="14" l="1"/>
  <c r="D18" i="14"/>
  <c r="D22" i="14" s="1"/>
  <c r="K22" i="11"/>
  <c r="C20" i="13" s="1"/>
  <c r="C24" i="13" s="1"/>
  <c r="F21" i="13"/>
  <c r="F22" i="13"/>
  <c r="G23" i="11"/>
  <c r="C25" i="11"/>
  <c r="E24" i="11"/>
  <c r="G24" i="11" s="1"/>
  <c r="H28" i="14"/>
  <c r="C32" i="14" s="1"/>
  <c r="G19" i="13"/>
  <c r="G12" i="13"/>
  <c r="G20" i="14" l="1"/>
  <c r="G22" i="13"/>
  <c r="G21" i="13"/>
  <c r="E25" i="11"/>
  <c r="G25" i="11" s="1"/>
  <c r="C26" i="11"/>
  <c r="D29" i="14"/>
  <c r="D23" i="14"/>
  <c r="H20" i="14" l="1"/>
  <c r="H22" i="14" s="1"/>
  <c r="H29" i="14" s="1"/>
  <c r="E26" i="11"/>
  <c r="G26" i="11" s="1"/>
  <c r="C27" i="11"/>
  <c r="D25" i="14"/>
  <c r="D24" i="14"/>
  <c r="D30" i="14"/>
  <c r="G24" i="13"/>
  <c r="H23" i="14" l="1"/>
  <c r="H30" i="14" s="1"/>
  <c r="D31" i="14"/>
  <c r="C28" i="11"/>
  <c r="E27" i="11"/>
  <c r="H25" i="14" l="1"/>
  <c r="G27" i="11"/>
  <c r="C29" i="11"/>
  <c r="E28" i="11"/>
  <c r="G28" i="11" s="1"/>
  <c r="E29" i="11" l="1"/>
  <c r="G29" i="11" s="1"/>
  <c r="C30" i="11"/>
  <c r="C31" i="11" l="1"/>
  <c r="E30" i="11"/>
  <c r="G30" i="11" s="1"/>
  <c r="E31" i="11" l="1"/>
  <c r="G31" i="11" s="1"/>
  <c r="C32" i="11"/>
  <c r="E32" i="11" l="1"/>
  <c r="G32" i="11" s="1"/>
  <c r="C33" i="11"/>
  <c r="C34" i="11" l="1"/>
  <c r="E33" i="11"/>
  <c r="G33" i="11" s="1"/>
  <c r="E34" i="11" l="1"/>
  <c r="C35" i="11"/>
  <c r="E35" i="11" l="1"/>
  <c r="C36" i="11"/>
  <c r="G34" i="11"/>
  <c r="L34" i="11" s="1"/>
  <c r="I34" i="11"/>
  <c r="C37" i="11" l="1"/>
  <c r="E36" i="11"/>
  <c r="G36" i="11" s="1"/>
  <c r="K34" i="11"/>
  <c r="D20" i="13" s="1"/>
  <c r="D24" i="13" s="1"/>
  <c r="E18" i="14"/>
  <c r="E22" i="14" s="1"/>
  <c r="G35" i="11"/>
  <c r="E29" i="14" l="1"/>
  <c r="E23" i="14"/>
  <c r="E37" i="11"/>
  <c r="C38" i="11"/>
  <c r="E25" i="14" l="1"/>
  <c r="E30" i="14"/>
  <c r="E24" i="14"/>
  <c r="G37" i="11"/>
  <c r="C39" i="11"/>
  <c r="E38" i="11"/>
  <c r="G38" i="11" s="1"/>
  <c r="E39" i="11" l="1"/>
  <c r="G39" i="11" s="1"/>
  <c r="C40" i="11"/>
  <c r="E31" i="14"/>
  <c r="H39" i="14" s="1"/>
  <c r="E40" i="11" l="1"/>
  <c r="C41" i="11"/>
  <c r="G40" i="11" l="1"/>
  <c r="E41" i="11"/>
  <c r="G41" i="11" s="1"/>
  <c r="C42" i="11"/>
  <c r="E42" i="11" l="1"/>
  <c r="G42" i="11" s="1"/>
  <c r="C43" i="11"/>
  <c r="E43" i="11" l="1"/>
  <c r="G43" i="11" s="1"/>
  <c r="C44" i="11"/>
  <c r="C45" i="11" l="1"/>
  <c r="E44" i="11"/>
  <c r="G44" i="11" s="1"/>
  <c r="E45" i="11" l="1"/>
  <c r="G45" i="11" s="1"/>
  <c r="C46" i="11"/>
  <c r="E46" i="11" l="1"/>
  <c r="C47" i="11"/>
  <c r="E47" i="11" l="1"/>
  <c r="C48" i="11"/>
  <c r="G46" i="11"/>
  <c r="L46" i="11" s="1"/>
  <c r="I46" i="11"/>
  <c r="C49" i="11" l="1"/>
  <c r="E48" i="11"/>
  <c r="G48" i="11" s="1"/>
  <c r="F18" i="14"/>
  <c r="F22" i="14" s="1"/>
  <c r="K46" i="11"/>
  <c r="E20" i="13" s="1"/>
  <c r="E24" i="13" s="1"/>
  <c r="G47" i="11"/>
  <c r="F29" i="14" l="1"/>
  <c r="F23" i="14"/>
  <c r="C50" i="11"/>
  <c r="E49" i="11"/>
  <c r="G49" i="11" s="1"/>
  <c r="F30" i="14" l="1"/>
  <c r="F25" i="14"/>
  <c r="F24" i="14"/>
  <c r="E50" i="11"/>
  <c r="C51" i="11"/>
  <c r="G50" i="11" l="1"/>
  <c r="E51" i="11"/>
  <c r="G51" i="11" s="1"/>
  <c r="C52" i="11"/>
  <c r="F31" i="14"/>
  <c r="C53" i="11" l="1"/>
  <c r="E52" i="11"/>
  <c r="G52" i="11" s="1"/>
  <c r="E53" i="11" l="1"/>
  <c r="G53" i="11" s="1"/>
  <c r="C54" i="11"/>
  <c r="C55" i="11" l="1"/>
  <c r="E54" i="11"/>
  <c r="G54" i="11" s="1"/>
  <c r="E55" i="11" l="1"/>
  <c r="G55" i="11" s="1"/>
  <c r="C56" i="11"/>
  <c r="C57" i="11" l="1"/>
  <c r="E56" i="11"/>
  <c r="G56" i="11" s="1"/>
  <c r="E57" i="11" l="1"/>
  <c r="G57" i="11" s="1"/>
  <c r="C58" i="11"/>
  <c r="E58" i="11" l="1"/>
  <c r="C59" i="11"/>
  <c r="E59" i="11" l="1"/>
  <c r="G59" i="11" s="1"/>
  <c r="C60" i="11"/>
  <c r="G58" i="11"/>
  <c r="L58" i="11" s="1"/>
  <c r="I58" i="11"/>
  <c r="C61" i="11" l="1"/>
  <c r="E60" i="11"/>
  <c r="G60" i="11" s="1"/>
  <c r="G18" i="14"/>
  <c r="G22" i="14" s="1"/>
  <c r="K58" i="11"/>
  <c r="F20" i="13" s="1"/>
  <c r="F24" i="13" s="1"/>
  <c r="G29" i="14" l="1"/>
  <c r="C33" i="14" s="1"/>
  <c r="C34" i="14" s="1"/>
  <c r="H38" i="14" s="1"/>
  <c r="G23" i="14"/>
  <c r="G25" i="14" l="1"/>
  <c r="G30" i="14"/>
  <c r="G24" i="14"/>
  <c r="H24" i="14" s="1"/>
  <c r="H36" i="14" l="1"/>
  <c r="H37" i="14"/>
  <c r="G31" i="14"/>
  <c r="H31" i="14" s="1"/>
  <c r="D12" i="2"/>
  <c r="D11" i="2"/>
  <c r="B11" i="2"/>
  <c r="B12" i="2"/>
  <c r="E11" i="2"/>
  <c r="E12" i="2"/>
  <c r="C11" i="2"/>
  <c r="C12" i="2"/>
  <c r="F12" i="2"/>
  <c r="F1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39" authorId="0" shapeId="0" xr:uid="{00000000-0006-0000-0D00-000001000000}">
      <text>
        <r>
          <rPr>
            <sz val="11"/>
            <color theme="1"/>
            <rFont val="Calibri"/>
            <family val="2"/>
            <scheme val="minor"/>
          </rPr>
          <t>======
ID#AAAAwnxxFZA
Autor    (2023-05-10 00:01:47)
a + ((b-c)/d)
a = Año antes de recuperar inversión
b = Inversión
c = Flujo acumulado del año antes de recuperar la inversión
d = Flujo de caja de año en que se recupera la inversión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ynbx84CWSzuByUk5vU94UUjS+Dw=="/>
    </ext>
  </extL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<sst xmlns="http://schemas.openxmlformats.org/spreadsheetml/2006/main" count="932" uniqueCount="522">
  <si>
    <t>15-59 años</t>
  </si>
  <si>
    <t xml:space="preserve">Esrato 3 </t>
  </si>
  <si>
    <t>Filtro 1</t>
  </si>
  <si>
    <t>Filtro 2</t>
  </si>
  <si>
    <t>Filtro 3</t>
  </si>
  <si>
    <t>Filtro 4</t>
  </si>
  <si>
    <t>Filtro 5</t>
  </si>
  <si>
    <t>Filtro 6</t>
  </si>
  <si>
    <t>Filtro 7</t>
  </si>
  <si>
    <t>Años</t>
  </si>
  <si>
    <t>Poblacion Total Departamento (DANE)</t>
  </si>
  <si>
    <t>Poblacion Total Municipio o Ciudad (DANE)</t>
  </si>
  <si>
    <t>Personas Rango de Edades Ejemplo (15-59 años)</t>
  </si>
  <si>
    <t>Genero (Femenino)</t>
  </si>
  <si>
    <t>Estrato 3</t>
  </si>
  <si>
    <t>Personas que compran el producto estimado un 2%</t>
  </si>
  <si>
    <t>Demanda del producto (12 veces al año)</t>
  </si>
  <si>
    <t>Estimacion del Proyecto</t>
  </si>
  <si>
    <t>Tamaño Recomendado (brecha de mercado)</t>
  </si>
  <si>
    <t>To</t>
  </si>
  <si>
    <t>Demanda actual</t>
  </si>
  <si>
    <t>Do</t>
  </si>
  <si>
    <t>Tasa de crecimientos del mercado</t>
  </si>
  <si>
    <t>r</t>
  </si>
  <si>
    <t>Periodo optimo</t>
  </si>
  <si>
    <t>k</t>
  </si>
  <si>
    <t>Tamaño del Proyecto</t>
  </si>
  <si>
    <t>Año 1</t>
  </si>
  <si>
    <t>Año 2</t>
  </si>
  <si>
    <t>Año 3</t>
  </si>
  <si>
    <t>Año 4</t>
  </si>
  <si>
    <t>Año 5</t>
  </si>
  <si>
    <t>Capacidad diseñada</t>
  </si>
  <si>
    <t>Capacidad Instalada</t>
  </si>
  <si>
    <t>capacidad diseña por utilización</t>
  </si>
  <si>
    <t>Capacidad Real</t>
  </si>
  <si>
    <t>capacidad instalado por utilización</t>
  </si>
  <si>
    <t>Utilización (%)</t>
  </si>
  <si>
    <t>el porcentaje que esperamos hacer</t>
  </si>
  <si>
    <t>Essence Native</t>
  </si>
  <si>
    <t>Precio</t>
  </si>
  <si>
    <t>Unidades Año</t>
  </si>
  <si>
    <t>Unidades Meses</t>
  </si>
  <si>
    <t>Proyección de Ventas por Mes</t>
  </si>
  <si>
    <t>Shampoo 375ml</t>
  </si>
  <si>
    <t>Shampoo 20ml</t>
  </si>
  <si>
    <t>Capacidad mensual</t>
  </si>
  <si>
    <t>Temporalidad o Estacionalidad</t>
  </si>
  <si>
    <t>Mes</t>
  </si>
  <si>
    <t>Ocupación</t>
  </si>
  <si>
    <t>Unidades</t>
  </si>
  <si>
    <t>Total</t>
  </si>
  <si>
    <t>Media</t>
  </si>
  <si>
    <t>ENERO</t>
  </si>
  <si>
    <t>Alta</t>
  </si>
  <si>
    <t>FEBRERO</t>
  </si>
  <si>
    <t>76% - 100%</t>
  </si>
  <si>
    <t>MARZO</t>
  </si>
  <si>
    <t xml:space="preserve">Media </t>
  </si>
  <si>
    <t>51% - 75%</t>
  </si>
  <si>
    <t>ABRIL</t>
  </si>
  <si>
    <t>Baja</t>
  </si>
  <si>
    <t>30% - 50%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</si>
  <si>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</si>
  <si>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</si>
  <si>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</si>
  <si>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</si>
  <si>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</si>
  <si>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</si>
  <si>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</si>
  <si>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</si>
  <si>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Temporalidad</t>
  </si>
  <si>
    <t>Total de Ventas Año 0</t>
  </si>
  <si>
    <t>Presupuesto de Ventas Proyectado Anualmente</t>
  </si>
  <si>
    <t>Ventas Anuales</t>
  </si>
  <si>
    <t xml:space="preserve">VENTAS </t>
  </si>
  <si>
    <t>$</t>
  </si>
  <si>
    <t>IPC</t>
  </si>
  <si>
    <t>%</t>
  </si>
  <si>
    <t>Politica de Ventas</t>
  </si>
  <si>
    <t>Total % Crecimiento</t>
  </si>
  <si>
    <t>AÑO 1</t>
  </si>
  <si>
    <t>AÑO 2</t>
  </si>
  <si>
    <t>AÑO 3</t>
  </si>
  <si>
    <t>AÑO 4</t>
  </si>
  <si>
    <t>AÑO 5</t>
  </si>
  <si>
    <t>Nómina</t>
  </si>
  <si>
    <t>Nombre Empresa</t>
  </si>
  <si>
    <t>Cargo</t>
  </si>
  <si>
    <t>Valor
Sueldo</t>
  </si>
  <si>
    <t>Auxilio de
transporte</t>
  </si>
  <si>
    <t>Total
devengado</t>
  </si>
  <si>
    <t>Deducciones
(Salud-Pensión)</t>
  </si>
  <si>
    <t>Total
Nómina</t>
  </si>
  <si>
    <t>Componente
Prestacional</t>
  </si>
  <si>
    <t>(ARL y CCF)</t>
  </si>
  <si>
    <t>Subtotal</t>
  </si>
  <si>
    <t>Gerente general</t>
  </si>
  <si>
    <t>Auxiliar contable</t>
  </si>
  <si>
    <t>Asesor comercial</t>
  </si>
  <si>
    <t>Operarios</t>
  </si>
  <si>
    <t>Total sueldos base</t>
  </si>
  <si>
    <t>Total Mensual</t>
  </si>
  <si>
    <t>Total Trimestral</t>
  </si>
  <si>
    <t>Total anual</t>
  </si>
  <si>
    <t>ICBF</t>
  </si>
  <si>
    <t>SENA</t>
  </si>
  <si>
    <t>Salud</t>
  </si>
  <si>
    <t>Pensión</t>
  </si>
  <si>
    <t>Cesantías</t>
  </si>
  <si>
    <t>Int. Cesantías</t>
  </si>
  <si>
    <t>CCF</t>
  </si>
  <si>
    <t>ARL (clase I)</t>
  </si>
  <si>
    <t>ARL (clase II)</t>
  </si>
  <si>
    <t xml:space="preserve">Gerente general </t>
  </si>
  <si>
    <t xml:space="preserve">operarios </t>
  </si>
  <si>
    <t>q</t>
  </si>
  <si>
    <t>Presupuesto Maquinaria</t>
  </si>
  <si>
    <t>MAQUINARIA Y EQUIPO 1520</t>
  </si>
  <si>
    <t>Nombre</t>
  </si>
  <si>
    <t>Descripción</t>
  </si>
  <si>
    <t>Cantidad</t>
  </si>
  <si>
    <t>Costo</t>
  </si>
  <si>
    <t>Tanque Homogenizador Y Mezclador En Acero Inoxidable Digital</t>
  </si>
  <si>
    <t>Capacidad de 500 litros marca Lienm, potencia 40 W, capacidad en peso 500 Kg, metodo de calentamiento electrico y a vapor.</t>
  </si>
  <si>
    <t>Mesa</t>
  </si>
  <si>
    <t>Meson En Acero Inoxidable 120x60 Largo</t>
  </si>
  <si>
    <t xml:space="preserve">Envasadora </t>
  </si>
  <si>
    <t xml:space="preserve">Mecánica con capacidad de 1000 botellas Gualapack industrial </t>
  </si>
  <si>
    <t>Cucharas medidoras</t>
  </si>
  <si>
    <t>kit marca imusa para 20 gramos, 30 gramos , 40 gramos y 50 gramos, 60 gramos</t>
  </si>
  <si>
    <t>Tazas de acero inoxidable</t>
  </si>
  <si>
    <t>SET X2 TAZONES  EN ACERO INOXIDABLE BOWLS MARCA GO DESING</t>
  </si>
  <si>
    <t>Tazas medidoras</t>
  </si>
  <si>
    <t>Taza medidora marca Betty Crocker, material Poliestireno Cristal + Silicona, capacidad de 500 ml.</t>
  </si>
  <si>
    <t xml:space="preserve">Balanza Gramera Digital </t>
  </si>
  <si>
    <t xml:space="preserve"> marca Kenwell,
Capacidad Peso 5 Kg-6550,
Dimensiones 29 x 21.3 x 12 cm,
Mecanismo electrónica,
Pantalla LCD DE 37.5 x 24.5 mm
Indicador de BaterÍa baja
Indicador de Sobrecarga</t>
  </si>
  <si>
    <t xml:space="preserve">Licuadoras </t>
  </si>
  <si>
    <t>Licuadora Imusa Powermix Glass 2 L blanca con vaso de vidrio 110V - 120V,Capacidad de 2 L.
Su potencia es de 550 W.
Cuchilla resistente de acero inoxidable.
Tapa dosificadora incorporada.
Funciona con 2 velocidades.
Cuenta con cierre de seguridad.
Con cuchilla removible.
Cantidad de cuchillas: 4.</t>
  </si>
  <si>
    <t>Colador</t>
  </si>
  <si>
    <t>Colador Espumadera Malla De Metal,diámetro de 24 cm y una profundidad de 7 cm</t>
  </si>
  <si>
    <t>Caldero</t>
  </si>
  <si>
    <t>48CM DE DIAMETRO DE LA BOCA POR 16CM DE FONDO CON TAPA
TODO EN ALUMINIO FUNDIDO.</t>
  </si>
  <si>
    <t>Estufa</t>
  </si>
  <si>
    <t>Estufa industrial de un puesto. Elaborada en lámina de acero satinado 430 calibre 24,  Posee dos quemadores, uno Q25 y el otro Q50 por puesto. Patas en tubo cuadrado Cold Rolled de 1 1/2''. Entrepaño en acero satinado 430 calibre 24. Parrillas en ángulo de 1'' y varilla cuadrada de 3/8., Dimensiones, Ancho 55cm, Fondo 55cm, Alto 78c.</t>
  </si>
  <si>
    <t>Frasco conservante</t>
  </si>
  <si>
    <t xml:space="preserve">Frasco De Conservas X3 unidades Hermético Con Clip, material vidrio, capacidad de volumen  de 1500 ml, </t>
  </si>
  <si>
    <t>Espatulas</t>
  </si>
  <si>
    <t>Espatulas Miserable De Goma De Reposteria Set 3 Piezas Press Color Blanco</t>
  </si>
  <si>
    <t>Set cuchillos</t>
  </si>
  <si>
    <t>Set Cuchillos 6 Pzs Acero Inoxidable Mármol Mango Ergonómico</t>
  </si>
  <si>
    <t>Máquina automática de embalaje de bolsitas</t>
  </si>
  <si>
    <t xml:space="preserve">Maquina automatica para llenado de sachet desde 5ml a 50ml de alta presicion  </t>
  </si>
  <si>
    <t>Medidor PH</t>
  </si>
  <si>
    <t>Fristaden Lab Medidor de pH de sobremesa, precisión de pH 0.01 | Medidor de pH científico</t>
  </si>
  <si>
    <t>Impresora etiquetadora</t>
  </si>
  <si>
    <t>Brother Ql-800 Impresora Térmica Etiquetas Usb Profesional</t>
  </si>
  <si>
    <t>Bascula</t>
  </si>
  <si>
    <t>Balanza Gramera Digital CAP 5KG EK-5055</t>
  </si>
  <si>
    <t xml:space="preserve"> EQUIPO DE OFICINA - MUEBLES Y ENSERES 1524</t>
  </si>
  <si>
    <t>Silla</t>
  </si>
  <si>
    <t>Silla PC Avignon Negro</t>
  </si>
  <si>
    <t>Butaco</t>
  </si>
  <si>
    <t>Butaco sin espaldar de metal Plata Finlandek</t>
  </si>
  <si>
    <t>Vitrinas</t>
  </si>
  <si>
    <t>Vitrina Mostrador En Aluminio 1.50 Mt</t>
  </si>
  <si>
    <t>Estantería</t>
  </si>
  <si>
    <t>Estanteria Metálica 200mtsx 85 X 28 Reforzado 5 Bandejas</t>
  </si>
  <si>
    <t>Escritorio</t>
  </si>
  <si>
    <t>Escritorio Astana blanco con 2 entrepaños elaborado en Madera aglomerada MDP, recubierta con láminas melamínicas. Alto: 73,5 cm, ancho: 120 cm, fondo: 50 cm</t>
  </si>
  <si>
    <t>Repisas decorativas</t>
  </si>
  <si>
    <t>Estanteria Decoración Flotante X 3 Hexagonal Madera</t>
  </si>
  <si>
    <t>Set De Repisas Hexagonal Por 3 Unidades | MercadoLibre</t>
  </si>
  <si>
    <t>Repisas flotantes</t>
  </si>
  <si>
    <t>Estantes De Pared Flotantes De Estilo Único, Juego De 2</t>
  </si>
  <si>
    <t>Estantes De Pared Flotantes De Estilo Único, Juego De 2, 24 | Envío gratis (mercadolibre.com.co)</t>
  </si>
  <si>
    <t>EQUIPO DE COMPUTACIÓN Y COMUNICACIÓN 1528</t>
  </si>
  <si>
    <t>Celular</t>
  </si>
  <si>
    <t>Oppo A77 128 Gb / 4ram / 50mpx + Forro</t>
  </si>
  <si>
    <t>Computador</t>
  </si>
  <si>
    <t>Computador Portátil HP 14" Pulgadas Dq2533la INTEL Core I5 - RAM 8GB - Disco SSD 512 GB - Plateado</t>
  </si>
  <si>
    <t>Impresora</t>
  </si>
  <si>
    <t>Impresora Smart Tank 580 Multifuncional, Wifi / Bluetooth Color Blanco</t>
  </si>
  <si>
    <t>Total Presupuesto Maquinaria</t>
  </si>
  <si>
    <t xml:space="preserve">Gastos </t>
  </si>
  <si>
    <t>GASTOS ADMINISTRATIVOS</t>
  </si>
  <si>
    <t>Costo (Mes)</t>
  </si>
  <si>
    <t>Año 0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</si>
  <si>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</si>
  <si>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</si>
  <si>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</si>
  <si>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</si>
  <si>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</si>
  <si>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</si>
  <si>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</si>
  <si>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</si>
  <si>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Gastos de constitución</t>
  </si>
  <si>
    <t>Gastos de mantenimiento y reparaciones</t>
  </si>
  <si>
    <t>Pólizas de seguros</t>
  </si>
  <si>
    <t>GASTOS DE VENTAS</t>
  </si>
  <si>
    <t xml:space="preserve">Publicidad y propaganda </t>
  </si>
  <si>
    <t>GASTOS OPERATIVOS</t>
  </si>
  <si>
    <t>Arrendamiento zona producción</t>
  </si>
  <si>
    <t>Internet</t>
  </si>
  <si>
    <t>Servicio de energía</t>
  </si>
  <si>
    <t>Servicio de agua</t>
  </si>
  <si>
    <t>Servicio de Gas</t>
  </si>
  <si>
    <t>Total Gastos</t>
  </si>
  <si>
    <t>Plan de Compras y Servicios</t>
  </si>
  <si>
    <t>ESSENCE NATIVE</t>
  </si>
  <si>
    <t>MATERIA PRIMA</t>
  </si>
  <si>
    <t>Detalle</t>
  </si>
  <si>
    <t>MEDIDA</t>
  </si>
  <si>
    <t>Costo unitario Shampoo 375ml</t>
  </si>
  <si>
    <t>Total 60%</t>
  </si>
  <si>
    <t>Costo unitario Shampoo 20ml</t>
  </si>
  <si>
    <t>Total 40%</t>
  </si>
  <si>
    <t>Total 100%</t>
  </si>
  <si>
    <t>Sorbato de potasio</t>
  </si>
  <si>
    <t>Gramos</t>
  </si>
  <si>
    <t>Cocamidopropil betaina</t>
  </si>
  <si>
    <t>Mililitros</t>
  </si>
  <si>
    <t>Cocamide dea</t>
  </si>
  <si>
    <t>sorbeth-450 tristearate</t>
  </si>
  <si>
    <t>peg-175 diestearato de glicerina</t>
  </si>
  <si>
    <t>Estearamidopropil dimetilamina</t>
  </si>
  <si>
    <t>Fenoxietanol</t>
  </si>
  <si>
    <t>hidroxietil urea</t>
  </si>
  <si>
    <t>Lauril éter sulfato de sodio</t>
  </si>
  <si>
    <t>Biotina</t>
  </si>
  <si>
    <t>Extracto de lavanda</t>
  </si>
  <si>
    <t>Valine</t>
  </si>
  <si>
    <t>Extracto de Rosmarinus officinalis (romero)</t>
  </si>
  <si>
    <t>Extracto de cafe</t>
  </si>
  <si>
    <t>Aceite de aguacate</t>
  </si>
  <si>
    <t>Enbase (botella PED cilíndrica)</t>
  </si>
  <si>
    <t>Unidad</t>
  </si>
  <si>
    <t xml:space="preserve">Tapa aluminio </t>
  </si>
  <si>
    <t>Etiquetas</t>
  </si>
  <si>
    <t>Bolsa aluminio contramarcadas</t>
  </si>
  <si>
    <t>Total Anual</t>
  </si>
  <si>
    <t xml:space="preserve">Total Mensual </t>
  </si>
  <si>
    <t>INSUMOS PAPELERÍA</t>
  </si>
  <si>
    <t>Tiempo</t>
  </si>
  <si>
    <t>Unidad de
medida</t>
  </si>
  <si>
    <t xml:space="preserve">Resma de papel </t>
  </si>
  <si>
    <t xml:space="preserve">Mensual </t>
  </si>
  <si>
    <t xml:space="preserve">Lapiceros </t>
  </si>
  <si>
    <t>unidad</t>
  </si>
  <si>
    <t xml:space="preserve">Agendas </t>
  </si>
  <si>
    <t>Anual</t>
  </si>
  <si>
    <t>Perforadora</t>
  </si>
  <si>
    <t xml:space="preserve">Cosedora </t>
  </si>
  <si>
    <t>Carpetas legajadoras</t>
  </si>
  <si>
    <t>Total mensual</t>
  </si>
  <si>
    <t>INSUMOS DE ASEO</t>
  </si>
  <si>
    <t xml:space="preserve">Papel higienico </t>
  </si>
  <si>
    <t>Paca x 12</t>
  </si>
  <si>
    <t>jabon fav</t>
  </si>
  <si>
    <t>5 Kilos</t>
  </si>
  <si>
    <t xml:space="preserve">escoba </t>
  </si>
  <si>
    <t>anual</t>
  </si>
  <si>
    <t xml:space="preserve">unidad </t>
  </si>
  <si>
    <t xml:space="preserve">trapeador </t>
  </si>
  <si>
    <t>Lozacrem líquido</t>
  </si>
  <si>
    <t>1.500 ml</t>
  </si>
  <si>
    <t xml:space="preserve">fabuloso </t>
  </si>
  <si>
    <t>Mensual</t>
  </si>
  <si>
    <t xml:space="preserve">Recogedor </t>
  </si>
  <si>
    <t>OTROS INSUMOS Y SERVICIOS</t>
  </si>
  <si>
    <t>CI Unitario</t>
  </si>
  <si>
    <t xml:space="preserve">Agua </t>
  </si>
  <si>
    <t xml:space="preserve">dimensional </t>
  </si>
  <si>
    <t xml:space="preserve">gas </t>
  </si>
  <si>
    <t>Trabajador</t>
  </si>
  <si>
    <t>Envase (botella PED cilíndrica)</t>
  </si>
  <si>
    <t>MENSUAL</t>
  </si>
  <si>
    <t>Tapa aluminio</t>
  </si>
  <si>
    <t xml:space="preserve">Alquiler Local de venta </t>
  </si>
  <si>
    <t>COSTO TOTAL</t>
  </si>
  <si>
    <t>COSTO + MARGEN</t>
  </si>
  <si>
    <t>TOTAL DE PRODUCCION</t>
  </si>
  <si>
    <t>PRECIO 375 ML</t>
  </si>
  <si>
    <t>PRECIO 20 ML</t>
  </si>
  <si>
    <t>TOTAL TRIMESTRAL</t>
  </si>
  <si>
    <t xml:space="preserve">CANTIDAD 375ml </t>
  </si>
  <si>
    <t>DETALLE</t>
  </si>
  <si>
    <t>Costo variable</t>
  </si>
  <si>
    <t>SORBETH-450 TRISTEARATE</t>
  </si>
  <si>
    <t>ESTEARAMIDOPROPIL DIMETILAMINA</t>
  </si>
  <si>
    <t xml:space="preserve">Aceite de aguacate </t>
  </si>
  <si>
    <t xml:space="preserve">CANTIDAD 20ml </t>
  </si>
  <si>
    <t>Depreciación</t>
  </si>
  <si>
    <t>Concepto</t>
  </si>
  <si>
    <t>Monto</t>
  </si>
  <si>
    <t>Vida útil
(Años)</t>
  </si>
  <si>
    <t>Depreciación
(%)</t>
  </si>
  <si>
    <t>Depreciación
(Anual)</t>
  </si>
  <si>
    <t>Maquinaria y Equipo 1520</t>
  </si>
  <si>
    <t>Muebles y enseres 1524</t>
  </si>
  <si>
    <t>Equipo de Computación y Comunicación 1528</t>
  </si>
  <si>
    <t>Fuentes de Financiación</t>
  </si>
  <si>
    <t>Nombre de Empresa</t>
  </si>
  <si>
    <t>Política de crédito</t>
  </si>
  <si>
    <t>Aporte del emprendedor</t>
  </si>
  <si>
    <t>Otras fuentes</t>
  </si>
  <si>
    <t>IO</t>
  </si>
  <si>
    <t>NOMINA TRIMESTRAL</t>
  </si>
  <si>
    <t>GASTOS TOTALES</t>
  </si>
  <si>
    <t>COMPRAS</t>
  </si>
  <si>
    <t>MAQUINAS</t>
  </si>
  <si>
    <t>TOTAL</t>
  </si>
  <si>
    <t>Capital Semilla</t>
  </si>
  <si>
    <t>Recursos Propios</t>
  </si>
  <si>
    <t>Crédito Bancario</t>
  </si>
  <si>
    <t>Recursos de fondo institucional</t>
  </si>
  <si>
    <t xml:space="preserve">Porcentaje de inversión </t>
  </si>
  <si>
    <t>Crédito Extrabancario</t>
  </si>
  <si>
    <t>I.O</t>
  </si>
  <si>
    <t>Estudiante 1</t>
  </si>
  <si>
    <t>Crowfounding</t>
  </si>
  <si>
    <t>RECURSOS PROPIOS 70%</t>
  </si>
  <si>
    <t>Estudiante 2</t>
  </si>
  <si>
    <t>Cooperación Internacional</t>
  </si>
  <si>
    <t>CREDITO BANCARIO 30%</t>
  </si>
  <si>
    <t>Ángeles inversionistas</t>
  </si>
  <si>
    <t>CAPITAL DE TRABAJO</t>
  </si>
  <si>
    <t>Tabla de Amortización</t>
  </si>
  <si>
    <t>Monto crédito</t>
  </si>
  <si>
    <t>Tasa de interés anual bancolombia</t>
  </si>
  <si>
    <t>Intereses</t>
  </si>
  <si>
    <t>Plazo (Mes)</t>
  </si>
  <si>
    <t>Seguro (Mes)</t>
  </si>
  <si>
    <t>Meses</t>
  </si>
  <si>
    <t>Saldo</t>
  </si>
  <si>
    <t>Abono a capital</t>
  </si>
  <si>
    <t>Interés</t>
  </si>
  <si>
    <t>Seguro</t>
  </si>
  <si>
    <t>Valor de cuota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</si>
  <si>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</si>
  <si>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</si>
  <si>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</si>
  <si>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</si>
  <si>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</si>
  <si>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</si>
  <si>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</si>
  <si>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</si>
  <si>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</si>
  <si>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</si>
  <si>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</si>
  <si>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Suma K</t>
  </si>
  <si>
    <t>Gastos financieros</t>
  </si>
  <si>
    <t>Mes 12</t>
  </si>
  <si>
    <t>Mes 13</t>
  </si>
  <si>
    <t>Mes 14</t>
  </si>
  <si>
    <t>Mes 15</t>
  </si>
  <si>
    <t>Mes 16</t>
  </si>
  <si>
    <t>Mes 17</t>
  </si>
  <si>
    <t>Mes 18</t>
  </si>
  <si>
    <t>Mes 19</t>
  </si>
  <si>
    <t>Mes 20</t>
  </si>
  <si>
    <t>Mes 21</t>
  </si>
  <si>
    <t>Mes 22</t>
  </si>
  <si>
    <t>Mes 23</t>
  </si>
  <si>
    <t>Mes 24</t>
  </si>
  <si>
    <t>Mes 25</t>
  </si>
  <si>
    <t>Mes 26</t>
  </si>
  <si>
    <t>Mes 27</t>
  </si>
  <si>
    <t>Mes 28</t>
  </si>
  <si>
    <t>Mes 29</t>
  </si>
  <si>
    <t>Mes 30</t>
  </si>
  <si>
    <t>Mes 31</t>
  </si>
  <si>
    <t>Mes 32</t>
  </si>
  <si>
    <t>Mes 33</t>
  </si>
  <si>
    <t>Mes 34</t>
  </si>
  <si>
    <t>Mes 35</t>
  </si>
  <si>
    <t>Mes 36</t>
  </si>
  <si>
    <t>Mes 37</t>
  </si>
  <si>
    <t>Mes 38</t>
  </si>
  <si>
    <t>Mes 39</t>
  </si>
  <si>
    <t>Mes 40</t>
  </si>
  <si>
    <t>Mes 41</t>
  </si>
  <si>
    <t>Mes 42</t>
  </si>
  <si>
    <t>Mes 43</t>
  </si>
  <si>
    <t>Mes 44</t>
  </si>
  <si>
    <t>Mes 45</t>
  </si>
  <si>
    <t>Mes 46</t>
  </si>
  <si>
    <t>Mes 47</t>
  </si>
  <si>
    <t>Mes 48</t>
  </si>
  <si>
    <t>Mes 49</t>
  </si>
  <si>
    <t>Mes 50</t>
  </si>
  <si>
    <t>Mes 51</t>
  </si>
  <si>
    <t>ESTADO DE SITUACIÓN FINANCIERA INICIAL</t>
  </si>
  <si>
    <t>ACTIVOS</t>
  </si>
  <si>
    <t>EFECTIVO Y EQUIVALENTE DE EFECTIVO</t>
  </si>
  <si>
    <t>EFECTIVO/CAJA</t>
  </si>
  <si>
    <t>CUENTAS POR COBRAR</t>
  </si>
  <si>
    <t>INVENTARIOS</t>
  </si>
  <si>
    <t>--</t>
  </si>
  <si>
    <t>PROPIEDAD PLANTA Y EQUIPO</t>
  </si>
  <si>
    <t>MUEBLES Y ENSERES</t>
  </si>
  <si>
    <t>MAQUINARIA, EQUIPO y adecuaciones</t>
  </si>
  <si>
    <t xml:space="preserve">EQUIPO DE COMPUTACIÓN Y COMUNICACIÓN </t>
  </si>
  <si>
    <t>TOTAL ACTIVO</t>
  </si>
  <si>
    <t>PASIVO</t>
  </si>
  <si>
    <t>OBLIGACIONES FINANCIERAS</t>
  </si>
  <si>
    <t>OTROS PASIVOS</t>
  </si>
  <si>
    <t>TOTAL PASIVO</t>
  </si>
  <si>
    <t>PATRIMONIO</t>
  </si>
  <si>
    <t>CAPITAL SOCIAL</t>
  </si>
  <si>
    <t>TOTAL PATRIMONIO</t>
  </si>
  <si>
    <t>TOTAL PASIVO MAS PATRIMONIO</t>
  </si>
  <si>
    <t>Representante Legal</t>
  </si>
  <si>
    <t>Contador</t>
  </si>
  <si>
    <t xml:space="preserve">ESTADO RESULTADO </t>
  </si>
  <si>
    <t>INGRESOS OPERACIONALES</t>
  </si>
  <si>
    <t>Ventas Brutas</t>
  </si>
  <si>
    <t>TOTAL INGRESOS BRUTOS</t>
  </si>
  <si>
    <t>COSTO VENTA</t>
  </si>
  <si>
    <t>Costo de venta</t>
  </si>
  <si>
    <t>TOTAL COSTO DE VENTA</t>
  </si>
  <si>
    <t>UTILIDAD BRUTA</t>
  </si>
  <si>
    <t>RENTABILIDAD BRUTA</t>
  </si>
  <si>
    <t>GASTOS OPERACIONALES</t>
  </si>
  <si>
    <t xml:space="preserve">Gastos de personal </t>
  </si>
  <si>
    <t xml:space="preserve">Gastos administrativos </t>
  </si>
  <si>
    <t>Gastos Operativos</t>
  </si>
  <si>
    <t>Gastos de venta</t>
  </si>
  <si>
    <t xml:space="preserve">Depreciación </t>
  </si>
  <si>
    <t>UTILIDAD OPERACIONAL</t>
  </si>
  <si>
    <t>Otros Gastos/Gastos financieros</t>
  </si>
  <si>
    <t xml:space="preserve"> </t>
  </si>
  <si>
    <t xml:space="preserve">Impuesto de industria y comercio </t>
  </si>
  <si>
    <t>Imp industria y comercio 15%</t>
  </si>
  <si>
    <t>Impuesto de renta y complementarios</t>
  </si>
  <si>
    <t>Impuesto renta 35%</t>
  </si>
  <si>
    <t>Renovación cámara de comercio</t>
  </si>
  <si>
    <t>Renovación C.C.</t>
  </si>
  <si>
    <t>UTILIDAD NETA</t>
  </si>
  <si>
    <t>INGRESOS</t>
  </si>
  <si>
    <t>INGRESOS POR VENTAS DE CONTADO</t>
  </si>
  <si>
    <t>CAJA INICIAL</t>
  </si>
  <si>
    <t>INGRESOS POR CRÉDITOS</t>
  </si>
  <si>
    <t>APORTES DE CAPITAL</t>
  </si>
  <si>
    <t>TOTAL INGRESOS</t>
  </si>
  <si>
    <t>EGRESOS</t>
  </si>
  <si>
    <t>COSTOS DE OPERACIÓN</t>
  </si>
  <si>
    <t xml:space="preserve">GASTOS ADMINISTRATIVOS </t>
  </si>
  <si>
    <t>GASTOS  VENTAS</t>
  </si>
  <si>
    <t>GASTOS DE PERSONAL</t>
  </si>
  <si>
    <t>COMPRA ACTIVOS FIJOS</t>
  </si>
  <si>
    <t>GASTOS DE INICIACIÓN Y MONTAJE</t>
  </si>
  <si>
    <t>PAGO DE INTERESES</t>
  </si>
  <si>
    <t>PAGO CAPITAL CRÉDITO</t>
  </si>
  <si>
    <t>PAGO DE IMPUESTOS</t>
  </si>
  <si>
    <t>DEPRECIACIÓN</t>
  </si>
  <si>
    <t>TOTAL EGRESOS</t>
  </si>
  <si>
    <t>SALDO DE CAJA</t>
  </si>
  <si>
    <t>Flujo de caja acumulado</t>
  </si>
  <si>
    <t>I.O.</t>
  </si>
  <si>
    <t>Tasa de interés de Oportunidad</t>
  </si>
  <si>
    <t>Flujo de ingresos</t>
  </si>
  <si>
    <t>Flujo de egresos</t>
  </si>
  <si>
    <t>Flujo de caja</t>
  </si>
  <si>
    <t>VAN de flujo de ingresos</t>
  </si>
  <si>
    <t>VAN de flujo de egresos</t>
  </si>
  <si>
    <t>Costo + inversión</t>
  </si>
  <si>
    <t xml:space="preserve">RECUPERA INVERSION EN </t>
  </si>
  <si>
    <t>VAN</t>
  </si>
  <si>
    <t>AÑO</t>
  </si>
  <si>
    <t>TIR</t>
  </si>
  <si>
    <t>MES</t>
  </si>
  <si>
    <t>Relación beneficio/costo</t>
  </si>
  <si>
    <t>DIA</t>
  </si>
  <si>
    <t>PRI</t>
  </si>
  <si>
    <t>tasa de captacion actual</t>
  </si>
  <si>
    <t>banco de la republica semana 42</t>
  </si>
  <si>
    <t>tasa de colocacion</t>
  </si>
  <si>
    <t xml:space="preserve">         </t>
  </si>
  <si>
    <t>Gastos de iniciacion y montaje</t>
  </si>
  <si>
    <t>Valor</t>
  </si>
  <si>
    <t>Registro y matricula mercantil</t>
  </si>
  <si>
    <t>Documento de constitucion</t>
  </si>
  <si>
    <t>Formulario RUES</t>
  </si>
  <si>
    <t>Autenticación de doc. en notaria</t>
  </si>
  <si>
    <t>derechos de inscripción por actos, libros y documentos</t>
  </si>
  <si>
    <t>Certificados</t>
  </si>
  <si>
    <t>Inscribir RUT, obtener NIT</t>
  </si>
  <si>
    <t xml:space="preserve"> $                 0 </t>
  </si>
  <si>
    <t>Licencia INVIMA</t>
  </si>
  <si>
    <t>Punto de Equilibrio</t>
  </si>
  <si>
    <t>Nombre de la Empresa</t>
  </si>
  <si>
    <t>QE=</t>
  </si>
  <si>
    <t>Costo fijo total</t>
  </si>
  <si>
    <t>/</t>
  </si>
  <si>
    <t>(Precio Unitario - Cv unitario)</t>
  </si>
  <si>
    <t xml:space="preserve">Costos fijos </t>
  </si>
  <si>
    <t xml:space="preserve">Costos variables </t>
  </si>
  <si>
    <t xml:space="preserve">Salarios </t>
  </si>
  <si>
    <t xml:space="preserve">Materias Primas </t>
  </si>
  <si>
    <t xml:space="preserve">Mano de obra </t>
  </si>
  <si>
    <t>Arrendamiento local y casa</t>
  </si>
  <si>
    <t>Precio de venta Und 375ml</t>
  </si>
  <si>
    <t>Costo de venta Und</t>
  </si>
  <si>
    <t>Cantidad de Equilibrio</t>
  </si>
  <si>
    <t>Servicio de gas</t>
  </si>
  <si>
    <t>Cantidad producida</t>
  </si>
  <si>
    <t>Impuestos</t>
  </si>
  <si>
    <t>Papelería y aseo</t>
  </si>
  <si>
    <t>Mterias primas</t>
  </si>
  <si>
    <t>Precio de venta caja x 12Und de 20ml</t>
  </si>
  <si>
    <t>Costo de venta caja x 12 Und de 20ml</t>
  </si>
  <si>
    <t> </t>
  </si>
  <si>
    <t>Shampoo de 375ml</t>
  </si>
  <si>
    <t>% Utilidad deseada</t>
  </si>
  <si>
    <t xml:space="preserve">IVA </t>
  </si>
  <si>
    <t>COSTO DE PRODUCCION MAS COSTOS FIJOS</t>
  </si>
  <si>
    <t>MARGEN DE UTILIDAD</t>
  </si>
  <si>
    <t>PRECIO DE VENTA SIN IVA</t>
  </si>
  <si>
    <t>PRECIO DE VENTA CON IVA</t>
  </si>
  <si>
    <t>Shampoo de 20ml x caja de 12 Unidades</t>
  </si>
  <si>
    <t xml:space="preserve">UTILIDAD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</si>
</sst>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&quot;$&quot;\ #,##0;[Red]\-&quot;$&quot;\ #,##0"/>
    <numFmt numFmtId="165" formatCode="_-&quot;$&quot;\ * #,##0.00_-;\-&quot;$&quot;\ * #,##0.00_-;_-&quot;$&quot;\ * &quot;-&quot;??_-;_-@_-"/>
    <numFmt numFmtId="166" formatCode="[$ $]#,##0"/>
    <numFmt numFmtId="167" formatCode="0.0%"/>
    <numFmt numFmtId="168" formatCode="_-&quot;$&quot;\ * #,##0.00_-;\-&quot;$&quot;\ * #,##0.00_-;_-&quot;$&quot;\ * &quot;-&quot;??_-;_-@"/>
    <numFmt numFmtId="169" formatCode="_-* #,##0_-;\-* #,##0_-;_-* &quot;-&quot;_-;_-@"/>
    <numFmt numFmtId="170" formatCode="_-&quot;$&quot;\ * #,##0_-;\-&quot;$&quot;\ * #,##0_-;_-&quot;$&quot;\ * &quot;-&quot;??_-;_-@"/>
    <numFmt numFmtId="171" formatCode="_-* #,##0.0_-;\-* #,##0.0_-;_-* &quot;-&quot;_-;_-@"/>
    <numFmt numFmtId="172" formatCode="&quot;$&quot;\ #,##0"/>
    <numFmt numFmtId="173" formatCode="_-[$$-409]* #,##0.00_ ;_-[$$-409]* \-#,##0.00\ ;_-[$$-409]* &quot;-&quot;??_ ;_-@_ "/>
    <numFmt numFmtId="174" formatCode="_-[$$-240A]\ * #,##0_-;\-[$$-240A]\ * #,##0_-;_-[$$-240A]\ * &quot;-&quot;??_-;_-@_-"/>
    <numFmt numFmtId="175" formatCode="_-[$$-409]* #,##0_ ;_-[$$-409]* \-#,##0\ ;_-[$$-409]* &quot;-&quot;??_ ;_-@_ "/>
    <numFmt numFmtId="176" formatCode="[$$-240A]\ #,##0.00"/>
    <numFmt numFmtId="177" formatCode="_-* #,##0.00_-;\-* #,##0.00_-;_-* &quot;-&quot;_-;_-@"/>
    <numFmt numFmtId="178" formatCode="_-[$$-240A]\ * #,##0.00_-;\-[$$-240A]\ * #,##0.00_-;_-[$$-240A]\ * &quot;-&quot;??_-;_-@_-"/>
    <numFmt numFmtId="179" formatCode="[$$-240A]\ #,##0"/>
    <numFmt numFmtId="180" formatCode="_-[$$-240A]\ * #,##0.0_-;\-[$$-240A]\ * #,##0.0_-;_-[$$-240A]\ * &quot;-&quot;??_-;_-@_-"/>
  </numFmts>
  <fonts count="45">
    <font>
      <sz val="11"/>
      <color theme="1"/>
      <name val="Calibri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u/>
      <sz val="11"/>
      <color theme="10"/>
      <name val="Times New Roman"/>
      <family val="1"/>
    </font>
    <font>
      <sz val="12"/>
      <color theme="1"/>
      <name val="Times New Roman"/>
      <family val="1"/>
    </font>
    <font>
      <sz val="15"/>
      <color rgb="FF040C28"/>
      <name val="Times New Roman"/>
      <family val="1"/>
    </font>
    <font>
      <u/>
      <sz val="11"/>
      <color rgb="FF000000"/>
      <name val="Times New Roman"/>
      <family val="1"/>
    </font>
    <font>
      <b/>
      <u/>
      <sz val="12"/>
      <color rgb="FF0563C1"/>
      <name val="Times New Roman"/>
      <family val="1"/>
    </font>
    <font>
      <sz val="11"/>
      <name val="Calibri"/>
      <family val="2"/>
    </font>
    <font>
      <sz val="12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i/>
      <sz val="11"/>
      <color theme="1"/>
      <name val="Calibri"/>
      <family val="2"/>
    </font>
    <font>
      <sz val="11"/>
      <color rgb="FFFFFFFF"/>
      <name val="Calibri"/>
      <family val="2"/>
    </font>
    <font>
      <i/>
      <sz val="11"/>
      <color rgb="FFFFFFFF"/>
      <name val="Calibri"/>
      <family val="2"/>
    </font>
    <font>
      <b/>
      <sz val="11"/>
      <color rgb="FF000000"/>
      <name val="Calibri"/>
      <family val="2"/>
    </font>
    <font>
      <i/>
      <sz val="9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b/>
      <sz val="12"/>
      <color theme="0"/>
      <name val="Times New Roman"/>
      <family val="1"/>
    </font>
    <font>
      <b/>
      <i/>
      <sz val="12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theme="1"/>
      <name val="Calibri"/>
      <family val="2"/>
      <scheme val="minor"/>
    </font>
    <font>
      <sz val="12"/>
      <color rgb="FF111111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rgb="FFFFFFFF"/>
      <name val="Times New Roman"/>
      <family val="1"/>
    </font>
    <font>
      <i/>
      <sz val="12"/>
      <color theme="1"/>
      <name val="Times New Roman"/>
      <family val="1"/>
    </font>
    <font>
      <sz val="12"/>
      <color rgb="FFFFFFFF"/>
      <name val="Times New Roman"/>
      <family val="1"/>
    </font>
    <font>
      <i/>
      <sz val="12"/>
      <color rgb="FF000000"/>
      <name val="Times New Roman"/>
      <family val="1"/>
    </font>
    <font>
      <sz val="11"/>
      <color rgb="FFFF0000"/>
      <name val="Calibri"/>
      <family val="2"/>
    </font>
    <font>
      <b/>
      <sz val="12"/>
      <color rgb="FF3F3F3F"/>
      <name val="Calibri"/>
      <family val="2"/>
    </font>
    <font>
      <sz val="12"/>
      <color rgb="FF595959"/>
      <name val="Calibri"/>
      <family val="2"/>
    </font>
    <font>
      <sz val="12"/>
      <color rgb="FF3F3F3F"/>
      <name val="Calibri"/>
      <family val="2"/>
    </font>
    <font>
      <sz val="10"/>
      <color rgb="FF000000"/>
      <name val="Calibri"/>
      <family val="2"/>
    </font>
    <font>
      <sz val="11"/>
      <color rgb="FF000000"/>
      <name val="Times New Roman"/>
      <family val="1"/>
    </font>
    <font>
      <b/>
      <sz val="11"/>
      <color rgb="FF3F3F3F"/>
      <name val="Times New Roman"/>
      <family val="1"/>
    </font>
    <font>
      <sz val="11"/>
      <color rgb="FF595959"/>
      <name val="Times New Roman"/>
      <family val="1"/>
    </font>
    <font>
      <b/>
      <sz val="12"/>
      <color theme="1"/>
      <name val="Times New Roman"/>
    </font>
    <font>
      <sz val="12"/>
      <color rgb="FF000000"/>
      <name val="Times New Roman"/>
    </font>
    <font>
      <sz val="12"/>
      <color theme="1"/>
      <name val="Times New Roman"/>
    </font>
    <font>
      <sz val="11"/>
      <color theme="1"/>
      <name val="Times New Roman"/>
    </font>
    <font>
      <i/>
      <sz val="9"/>
      <color theme="1"/>
      <name val="Calibri"/>
      <family val="2"/>
    </font>
    <font>
      <sz val="11"/>
      <color theme="1"/>
      <name val="Calibri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9FC5E8"/>
        <bgColor rgb="FF9FC5E8"/>
      </patternFill>
    </fill>
    <fill>
      <patternFill patternType="solid">
        <fgColor rgb="FFF4CCCC"/>
        <bgColor rgb="FFF4CCCC"/>
      </patternFill>
    </fill>
    <fill>
      <patternFill patternType="solid">
        <fgColor rgb="FFB8CCE4"/>
        <bgColor rgb="FFB8CCE4"/>
      </patternFill>
    </fill>
    <fill>
      <patternFill patternType="solid">
        <fgColor rgb="FF8DB3E2"/>
        <bgColor rgb="FF8DB3E2"/>
      </patternFill>
    </fill>
    <fill>
      <patternFill patternType="solid">
        <fgColor theme="4"/>
        <bgColor theme="4"/>
      </patternFill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theme="8"/>
        <bgColor theme="8"/>
      </patternFill>
    </fill>
    <fill>
      <patternFill patternType="solid">
        <fgColor theme="0"/>
        <bgColor theme="0"/>
      </patternFill>
    </fill>
    <fill>
      <patternFill patternType="solid">
        <fgColor rgb="FFA4C2F4"/>
        <bgColor rgb="FFA4C2F4"/>
      </patternFill>
    </fill>
    <fill>
      <patternFill patternType="solid">
        <fgColor rgb="FFDBE5F1"/>
        <bgColor rgb="FFDBE5F1"/>
      </patternFill>
    </fill>
    <fill>
      <patternFill patternType="solid">
        <fgColor rgb="FFFFFFFF"/>
        <bgColor rgb="FFFFFFFF"/>
      </patternFill>
    </fill>
    <fill>
      <patternFill patternType="solid">
        <fgColor rgb="FFC6D9F0"/>
        <bgColor rgb="FFC6D9F0"/>
      </patternFill>
    </fill>
    <fill>
      <patternFill patternType="solid">
        <fgColor rgb="FFFFFFFF"/>
        <bgColor rgb="FF4F81BD"/>
      </patternFill>
    </fill>
    <fill>
      <patternFill patternType="solid">
        <fgColor rgb="FFFFFFFF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7B7B7"/>
        <bgColor rgb="FFB7B7B7"/>
      </patternFill>
    </fill>
    <fill>
      <patternFill patternType="solid">
        <fgColor rgb="FFCCCCCC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theme="0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2F2F2"/>
      </left>
      <right style="medium">
        <color rgb="FFF2F2F2"/>
      </right>
      <top/>
      <bottom style="medium">
        <color rgb="FFF2F2F2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 style="thin">
        <color rgb="FFF2F2F2"/>
      </left>
      <right style="thin">
        <color rgb="FFF2F2F2"/>
      </right>
      <top/>
      <bottom style="thin">
        <color rgb="FFF2F2F2"/>
      </bottom>
      <diagonal/>
    </border>
    <border>
      <left style="medium">
        <color rgb="FFCCCCCC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2F2F2"/>
      </left>
      <right style="medium">
        <color rgb="FFF2F2F2"/>
      </right>
      <top style="medium">
        <color rgb="FFCCCCCC"/>
      </top>
      <bottom style="medium">
        <color rgb="FFF2F2F2"/>
      </bottom>
      <diagonal/>
    </border>
    <border>
      <left style="medium">
        <color rgb="FFCCCCCC"/>
      </left>
      <right style="medium">
        <color rgb="FFF2F2F2"/>
      </right>
      <top style="medium">
        <color rgb="FFCCCCCC"/>
      </top>
      <bottom style="medium">
        <color rgb="FFF2F2F2"/>
      </bottom>
      <diagonal/>
    </border>
    <border>
      <left style="medium">
        <color rgb="FFCCCCCC"/>
      </left>
      <right style="medium">
        <color rgb="FFF2F2F2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F2F2F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19" fillId="0" borderId="0" applyNumberFormat="0" applyFill="0" applyBorder="0" applyAlignment="0" applyProtection="0"/>
    <xf numFmtId="9" fontId="24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44" fillId="0" borderId="0" applyFont="0" applyFill="0" applyBorder="0" applyAlignment="0" applyProtection="0"/>
  </cellStyleXfs>
  <cellXfs count="452">
    <xf numFmtId="0" fontId="0" fillId="0" borderId="0" xfId="0"/>
    <xf numFmtId="0" fontId="1" fillId="0" borderId="0" xfId="0" applyFont="1"/>
    <xf numFmtId="0" fontId="4" fillId="0" borderId="0" xfId="0" applyFont="1"/>
    <xf numFmtId="10" fontId="1" fillId="0" borderId="0" xfId="0" applyNumberFormat="1" applyFont="1"/>
    <xf numFmtId="0" fontId="1" fillId="0" borderId="0" xfId="0" applyFont="1" applyAlignment="1">
      <alignment horizontal="center"/>
    </xf>
    <xf numFmtId="3" fontId="6" fillId="0" borderId="0" xfId="0" applyNumberFormat="1" applyFont="1"/>
    <xf numFmtId="3" fontId="1" fillId="0" borderId="0" xfId="0" applyNumberFormat="1" applyFont="1"/>
    <xf numFmtId="0" fontId="7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0" fontId="5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9" fontId="11" fillId="0" borderId="0" xfId="0" applyNumberFormat="1" applyFont="1" applyAlignment="1">
      <alignment horizontal="left" vertical="top"/>
    </xf>
    <xf numFmtId="0" fontId="11" fillId="0" borderId="1" xfId="0" applyFont="1" applyBorder="1"/>
    <xf numFmtId="10" fontId="12" fillId="13" borderId="1" xfId="0" applyNumberFormat="1" applyFont="1" applyFill="1" applyBorder="1" applyAlignment="1">
      <alignment horizontal="center"/>
    </xf>
    <xf numFmtId="169" fontId="11" fillId="0" borderId="0" xfId="0" applyNumberFormat="1" applyFont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12" fillId="11" borderId="1" xfId="0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169" fontId="11" fillId="0" borderId="0" xfId="0" applyNumberFormat="1" applyFont="1" applyAlignment="1">
      <alignment horizontal="center" vertical="top"/>
    </xf>
    <xf numFmtId="166" fontId="11" fillId="0" borderId="0" xfId="0" applyNumberFormat="1" applyFont="1" applyAlignment="1">
      <alignment horizontal="center" vertical="top"/>
    </xf>
    <xf numFmtId="0" fontId="11" fillId="15" borderId="4" xfId="0" applyFont="1" applyFill="1" applyBorder="1" applyAlignment="1">
      <alignment horizontal="left" vertical="top"/>
    </xf>
    <xf numFmtId="0" fontId="12" fillId="15" borderId="4" xfId="0" applyFont="1" applyFill="1" applyBorder="1" applyAlignment="1">
      <alignment horizontal="left" vertical="top"/>
    </xf>
    <xf numFmtId="166" fontId="11" fillId="0" borderId="0" xfId="0" applyNumberFormat="1" applyFont="1" applyAlignment="1">
      <alignment horizontal="left" vertical="top"/>
    </xf>
    <xf numFmtId="169" fontId="14" fillId="0" borderId="0" xfId="0" applyNumberFormat="1" applyFont="1" applyAlignment="1">
      <alignment horizontal="left" vertical="top"/>
    </xf>
    <xf numFmtId="169" fontId="14" fillId="0" borderId="18" xfId="0" applyNumberFormat="1" applyFont="1" applyBorder="1" applyAlignment="1">
      <alignment horizontal="left" vertical="top"/>
    </xf>
    <xf numFmtId="0" fontId="15" fillId="0" borderId="0" xfId="0" applyFont="1"/>
    <xf numFmtId="169" fontId="15" fillId="0" borderId="16" xfId="0" applyNumberFormat="1" applyFont="1" applyBorder="1" applyAlignment="1">
      <alignment horizontal="left" vertical="top"/>
    </xf>
    <xf numFmtId="169" fontId="16" fillId="0" borderId="17" xfId="0" applyNumberFormat="1" applyFont="1" applyBorder="1" applyAlignment="1">
      <alignment horizontal="left" vertical="top"/>
    </xf>
    <xf numFmtId="0" fontId="15" fillId="0" borderId="0" xfId="0" applyFont="1" applyAlignment="1">
      <alignment horizontal="left" vertical="top"/>
    </xf>
    <xf numFmtId="169" fontId="15" fillId="0" borderId="19" xfId="0" applyNumberFormat="1" applyFont="1" applyBorder="1" applyAlignment="1">
      <alignment horizontal="left" vertical="top"/>
    </xf>
    <xf numFmtId="169" fontId="16" fillId="0" borderId="20" xfId="0" applyNumberFormat="1" applyFont="1" applyBorder="1" applyAlignment="1">
      <alignment horizontal="left" vertical="top"/>
    </xf>
    <xf numFmtId="169" fontId="13" fillId="0" borderId="0" xfId="0" applyNumberFormat="1" applyFont="1" applyAlignment="1">
      <alignment horizontal="left" vertical="top"/>
    </xf>
    <xf numFmtId="169" fontId="11" fillId="0" borderId="0" xfId="0" applyNumberFormat="1" applyFont="1" applyAlignment="1">
      <alignment horizontal="right" vertical="top"/>
    </xf>
    <xf numFmtId="0" fontId="13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13" fillId="0" borderId="8" xfId="0" applyFont="1" applyBorder="1" applyAlignment="1">
      <alignment horizontal="left" vertical="top"/>
    </xf>
    <xf numFmtId="0" fontId="13" fillId="0" borderId="23" xfId="0" applyFont="1" applyBorder="1" applyAlignment="1">
      <alignment horizontal="left" vertical="top"/>
    </xf>
    <xf numFmtId="0" fontId="18" fillId="0" borderId="0" xfId="0" applyFont="1" applyAlignment="1">
      <alignment horizontal="right" vertical="top"/>
    </xf>
    <xf numFmtId="169" fontId="18" fillId="0" borderId="0" xfId="0" applyNumberFormat="1" applyFont="1" applyAlignment="1">
      <alignment horizontal="right" vertical="top"/>
    </xf>
    <xf numFmtId="0" fontId="13" fillId="0" borderId="24" xfId="0" applyFont="1" applyBorder="1" applyAlignment="1">
      <alignment horizontal="left" vertical="top"/>
    </xf>
    <xf numFmtId="0" fontId="11" fillId="0" borderId="4" xfId="0" applyFont="1" applyBorder="1"/>
    <xf numFmtId="0" fontId="10" fillId="17" borderId="4" xfId="0" applyFont="1" applyFill="1" applyBorder="1"/>
    <xf numFmtId="0" fontId="10" fillId="18" borderId="4" xfId="0" applyFont="1" applyFill="1" applyBorder="1"/>
    <xf numFmtId="0" fontId="11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4" xfId="0" applyFont="1" applyBorder="1" applyAlignment="1">
      <alignment horizontal="left" vertical="top"/>
    </xf>
    <xf numFmtId="0" fontId="12" fillId="0" borderId="4" xfId="0" applyFont="1" applyBorder="1" applyAlignment="1">
      <alignment horizontal="left" vertical="top"/>
    </xf>
    <xf numFmtId="0" fontId="1" fillId="25" borderId="4" xfId="0" applyFont="1" applyFill="1" applyBorder="1" applyAlignment="1">
      <alignment horizontal="center"/>
    </xf>
    <xf numFmtId="10" fontId="1" fillId="25" borderId="4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177" fontId="11" fillId="0" borderId="0" xfId="0" applyNumberFormat="1" applyFont="1" applyAlignment="1">
      <alignment horizontal="left" vertical="top"/>
    </xf>
    <xf numFmtId="176" fontId="11" fillId="0" borderId="0" xfId="0" applyNumberFormat="1" applyFont="1" applyAlignment="1">
      <alignment horizontal="left" vertical="top"/>
    </xf>
    <xf numFmtId="0" fontId="21" fillId="7" borderId="9" xfId="0" applyFont="1" applyFill="1" applyBorder="1" applyAlignment="1">
      <alignment horizontal="left" vertical="top"/>
    </xf>
    <xf numFmtId="0" fontId="22" fillId="11" borderId="4" xfId="0" applyFont="1" applyFill="1" applyBorder="1" applyAlignment="1">
      <alignment horizontal="left" vertical="top"/>
    </xf>
    <xf numFmtId="168" fontId="21" fillId="7" borderId="13" xfId="0" applyNumberFormat="1" applyFont="1" applyFill="1" applyBorder="1" applyAlignment="1">
      <alignment horizontal="left" vertical="top"/>
    </xf>
    <xf numFmtId="0" fontId="23" fillId="0" borderId="4" xfId="1" applyFont="1" applyFill="1" applyBorder="1" applyAlignment="1">
      <alignment wrapText="1"/>
    </xf>
    <xf numFmtId="0" fontId="23" fillId="0" borderId="0" xfId="1" applyFont="1"/>
    <xf numFmtId="0" fontId="21" fillId="7" borderId="15" xfId="0" applyFont="1" applyFill="1" applyBorder="1" applyAlignment="1">
      <alignment horizontal="left" vertical="top" wrapText="1"/>
    </xf>
    <xf numFmtId="0" fontId="21" fillId="7" borderId="12" xfId="0" applyFont="1" applyFill="1" applyBorder="1" applyAlignment="1">
      <alignment horizontal="left" vertical="top" wrapText="1"/>
    </xf>
    <xf numFmtId="169" fontId="21" fillId="7" borderId="12" xfId="0" applyNumberFormat="1" applyFont="1" applyFill="1" applyBorder="1" applyAlignment="1">
      <alignment horizontal="left" vertical="top"/>
    </xf>
    <xf numFmtId="169" fontId="21" fillId="7" borderId="12" xfId="0" applyNumberFormat="1" applyFont="1" applyFill="1" applyBorder="1" applyAlignment="1">
      <alignment horizontal="center" vertical="top"/>
    </xf>
    <xf numFmtId="170" fontId="21" fillId="7" borderId="13" xfId="0" applyNumberFormat="1" applyFont="1" applyFill="1" applyBorder="1" applyAlignment="1">
      <alignment horizontal="center" vertical="top"/>
    </xf>
    <xf numFmtId="169" fontId="11" fillId="0" borderId="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center"/>
    </xf>
    <xf numFmtId="0" fontId="10" fillId="0" borderId="4" xfId="0" applyFont="1" applyBorder="1" applyAlignment="1">
      <alignment wrapText="1"/>
    </xf>
    <xf numFmtId="174" fontId="10" fillId="0" borderId="4" xfId="0" applyNumberFormat="1" applyFont="1" applyBorder="1" applyAlignment="1">
      <alignment horizontal="center"/>
    </xf>
    <xf numFmtId="0" fontId="10" fillId="0" borderId="4" xfId="0" applyFont="1" applyBorder="1"/>
    <xf numFmtId="174" fontId="10" fillId="0" borderId="4" xfId="0" applyNumberFormat="1" applyFont="1" applyBorder="1"/>
    <xf numFmtId="0" fontId="25" fillId="0" borderId="4" xfId="0" applyFont="1" applyBorder="1"/>
    <xf numFmtId="0" fontId="11" fillId="0" borderId="7" xfId="0" applyFont="1" applyBorder="1"/>
    <xf numFmtId="10" fontId="12" fillId="13" borderId="7" xfId="0" applyNumberFormat="1" applyFont="1" applyFill="1" applyBorder="1" applyAlignment="1">
      <alignment horizontal="center"/>
    </xf>
    <xf numFmtId="0" fontId="11" fillId="0" borderId="2" xfId="0" applyFont="1" applyBorder="1"/>
    <xf numFmtId="10" fontId="12" fillId="13" borderId="2" xfId="0" applyNumberFormat="1" applyFont="1" applyFill="1" applyBorder="1" applyAlignment="1">
      <alignment horizontal="center"/>
    </xf>
    <xf numFmtId="0" fontId="0" fillId="0" borderId="43" xfId="0" applyBorder="1"/>
    <xf numFmtId="10" fontId="26" fillId="26" borderId="43" xfId="2" applyNumberFormat="1" applyFont="1" applyFill="1" applyBorder="1" applyAlignment="1">
      <alignment horizontal="center"/>
    </xf>
    <xf numFmtId="0" fontId="27" fillId="7" borderId="15" xfId="0" applyFont="1" applyFill="1" applyBorder="1" applyAlignment="1">
      <alignment horizontal="left" vertical="top"/>
    </xf>
    <xf numFmtId="0" fontId="21" fillId="24" borderId="0" xfId="0" applyFont="1" applyFill="1" applyAlignment="1">
      <alignment vertical="center"/>
    </xf>
    <xf numFmtId="176" fontId="21" fillId="24" borderId="0" xfId="0" applyNumberFormat="1" applyFont="1" applyFill="1" applyAlignment="1">
      <alignment horizontal="center" vertical="center"/>
    </xf>
    <xf numFmtId="0" fontId="21" fillId="24" borderId="0" xfId="0" applyFont="1" applyFill="1" applyAlignment="1">
      <alignment horizontal="left"/>
    </xf>
    <xf numFmtId="0" fontId="21" fillId="24" borderId="0" xfId="0" applyFont="1" applyFill="1" applyAlignment="1">
      <alignment horizontal="center"/>
    </xf>
    <xf numFmtId="176" fontId="21" fillId="24" borderId="0" xfId="0" applyNumberFormat="1" applyFont="1" applyFill="1" applyAlignment="1">
      <alignment horizontal="center"/>
    </xf>
    <xf numFmtId="166" fontId="21" fillId="24" borderId="0" xfId="0" applyNumberFormat="1" applyFont="1" applyFill="1" applyAlignment="1">
      <alignment horizontal="center"/>
    </xf>
    <xf numFmtId="176" fontId="21" fillId="24" borderId="0" xfId="0" applyNumberFormat="1" applyFont="1" applyFill="1" applyAlignment="1">
      <alignment horizontal="left" vertical="top"/>
    </xf>
    <xf numFmtId="0" fontId="21" fillId="7" borderId="15" xfId="0" applyFont="1" applyFill="1" applyBorder="1" applyAlignment="1">
      <alignment horizontal="left" vertical="top"/>
    </xf>
    <xf numFmtId="0" fontId="21" fillId="7" borderId="12" xfId="0" applyFont="1" applyFill="1" applyBorder="1" applyAlignment="1">
      <alignment horizontal="left" vertical="top"/>
    </xf>
    <xf numFmtId="166" fontId="21" fillId="7" borderId="12" xfId="0" applyNumberFormat="1" applyFont="1" applyFill="1" applyBorder="1" applyAlignment="1">
      <alignment horizontal="center" vertical="top"/>
    </xf>
    <xf numFmtId="0" fontId="21" fillId="7" borderId="15" xfId="0" applyFont="1" applyFill="1" applyBorder="1" applyAlignment="1">
      <alignment horizontal="center" vertical="top"/>
    </xf>
    <xf numFmtId="0" fontId="21" fillId="7" borderId="12" xfId="0" applyFont="1" applyFill="1" applyBorder="1" applyAlignment="1">
      <alignment horizontal="center" vertical="top"/>
    </xf>
    <xf numFmtId="0" fontId="27" fillId="7" borderId="12" xfId="0" applyFont="1" applyFill="1" applyBorder="1" applyAlignment="1">
      <alignment horizontal="center" vertical="top"/>
    </xf>
    <xf numFmtId="169" fontId="21" fillId="7" borderId="13" xfId="0" applyNumberFormat="1" applyFont="1" applyFill="1" applyBorder="1" applyAlignment="1">
      <alignment horizontal="left" vertical="top"/>
    </xf>
    <xf numFmtId="169" fontId="28" fillId="0" borderId="0" xfId="0" applyNumberFormat="1" applyFont="1" applyAlignment="1">
      <alignment horizontal="left" vertical="top"/>
    </xf>
    <xf numFmtId="169" fontId="28" fillId="0" borderId="17" xfId="0" applyNumberFormat="1" applyFont="1" applyBorder="1" applyAlignment="1">
      <alignment horizontal="left" vertical="top"/>
    </xf>
    <xf numFmtId="169" fontId="28" fillId="0" borderId="18" xfId="0" applyNumberFormat="1" applyFont="1" applyBorder="1" applyAlignment="1">
      <alignment horizontal="left" vertical="top"/>
    </xf>
    <xf numFmtId="169" fontId="28" fillId="0" borderId="20" xfId="0" applyNumberFormat="1" applyFont="1" applyBorder="1" applyAlignment="1">
      <alignment horizontal="left" vertical="top"/>
    </xf>
    <xf numFmtId="169" fontId="28" fillId="0" borderId="21" xfId="0" applyNumberFormat="1" applyFont="1" applyBorder="1" applyAlignment="1">
      <alignment horizontal="left" vertical="top"/>
    </xf>
    <xf numFmtId="0" fontId="29" fillId="0" borderId="0" xfId="0" applyFont="1"/>
    <xf numFmtId="169" fontId="30" fillId="0" borderId="28" xfId="0" applyNumberFormat="1" applyFont="1" applyBorder="1" applyAlignment="1">
      <alignment horizontal="left" vertical="top"/>
    </xf>
    <xf numFmtId="169" fontId="30" fillId="0" borderId="22" xfId="0" applyNumberFormat="1" applyFont="1" applyBorder="1" applyAlignment="1">
      <alignment horizontal="left" vertical="top"/>
    </xf>
    <xf numFmtId="169" fontId="30" fillId="0" borderId="27" xfId="0" applyNumberFormat="1" applyFont="1" applyBorder="1" applyAlignment="1">
      <alignment horizontal="left" vertical="top"/>
    </xf>
    <xf numFmtId="169" fontId="30" fillId="0" borderId="26" xfId="0" applyNumberFormat="1" applyFont="1" applyBorder="1" applyAlignment="1">
      <alignment horizontal="left" vertical="top"/>
    </xf>
    <xf numFmtId="43" fontId="11" fillId="0" borderId="0" xfId="0" applyNumberFormat="1" applyFont="1" applyAlignment="1">
      <alignment horizontal="left" vertical="top"/>
    </xf>
    <xf numFmtId="178" fontId="0" fillId="0" borderId="0" xfId="0" applyNumberFormat="1"/>
    <xf numFmtId="169" fontId="13" fillId="0" borderId="25" xfId="0" applyNumberFormat="1" applyFont="1" applyBorder="1" applyAlignment="1">
      <alignment horizontal="left" vertical="top"/>
    </xf>
    <xf numFmtId="169" fontId="13" fillId="0" borderId="26" xfId="0" applyNumberFormat="1" applyFont="1" applyBorder="1" applyAlignment="1">
      <alignment horizontal="left" vertical="top"/>
    </xf>
    <xf numFmtId="0" fontId="31" fillId="0" borderId="0" xfId="0" applyFont="1" applyAlignment="1">
      <alignment horizontal="center" vertical="top"/>
    </xf>
    <xf numFmtId="166" fontId="13" fillId="0" borderId="22" xfId="0" applyNumberFormat="1" applyFont="1" applyBorder="1" applyAlignment="1">
      <alignment horizontal="left" vertical="top"/>
    </xf>
    <xf numFmtId="166" fontId="13" fillId="0" borderId="26" xfId="0" applyNumberFormat="1" applyFont="1" applyBorder="1" applyAlignment="1">
      <alignment horizontal="left" vertical="top"/>
    </xf>
    <xf numFmtId="166" fontId="13" fillId="0" borderId="0" xfId="0" applyNumberFormat="1" applyFont="1" applyAlignment="1">
      <alignment horizontal="left" vertical="top"/>
    </xf>
    <xf numFmtId="1" fontId="11" fillId="15" borderId="4" xfId="0" applyNumberFormat="1" applyFont="1" applyFill="1" applyBorder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169" fontId="13" fillId="0" borderId="22" xfId="0" applyNumberFormat="1" applyFont="1" applyBorder="1" applyAlignment="1">
      <alignment horizontal="left" vertical="top"/>
    </xf>
    <xf numFmtId="0" fontId="17" fillId="0" borderId="4" xfId="0" applyFont="1" applyBorder="1" applyAlignment="1">
      <alignment horizontal="left" vertical="top"/>
    </xf>
    <xf numFmtId="169" fontId="13" fillId="0" borderId="4" xfId="0" applyNumberFormat="1" applyFont="1" applyBorder="1" applyAlignment="1">
      <alignment horizontal="left" vertical="top"/>
    </xf>
    <xf numFmtId="166" fontId="11" fillId="0" borderId="17" xfId="0" applyNumberFormat="1" applyFont="1" applyBorder="1" applyAlignment="1">
      <alignment horizontal="left" vertical="top"/>
    </xf>
    <xf numFmtId="166" fontId="11" fillId="0" borderId="20" xfId="0" applyNumberFormat="1" applyFont="1" applyBorder="1" applyAlignment="1">
      <alignment horizontal="left" vertical="top"/>
    </xf>
    <xf numFmtId="9" fontId="11" fillId="0" borderId="18" xfId="0" applyNumberFormat="1" applyFont="1" applyBorder="1" applyAlignment="1">
      <alignment horizontal="left" vertical="top"/>
    </xf>
    <xf numFmtId="9" fontId="11" fillId="0" borderId="21" xfId="0" applyNumberFormat="1" applyFont="1" applyBorder="1" applyAlignment="1">
      <alignment horizontal="left" vertical="top"/>
    </xf>
    <xf numFmtId="0" fontId="32" fillId="0" borderId="49" xfId="0" applyFont="1" applyBorder="1"/>
    <xf numFmtId="0" fontId="33" fillId="0" borderId="32" xfId="0" applyFont="1" applyBorder="1" applyAlignment="1">
      <alignment wrapText="1"/>
    </xf>
    <xf numFmtId="0" fontId="33" fillId="0" borderId="50" xfId="0" applyFont="1" applyBorder="1" applyAlignment="1">
      <alignment wrapText="1"/>
    </xf>
    <xf numFmtId="0" fontId="33" fillId="0" borderId="49" xfId="0" applyFont="1" applyBorder="1"/>
    <xf numFmtId="0" fontId="34" fillId="0" borderId="49" xfId="0" applyFont="1" applyBorder="1"/>
    <xf numFmtId="0" fontId="0" fillId="0" borderId="4" xfId="0" applyBorder="1"/>
    <xf numFmtId="166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left" vertical="top"/>
    </xf>
    <xf numFmtId="3" fontId="5" fillId="0" borderId="0" xfId="0" applyNumberFormat="1" applyFont="1" applyAlignment="1">
      <alignment horizontal="center" vertical="center" wrapText="1"/>
    </xf>
    <xf numFmtId="169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center"/>
    </xf>
    <xf numFmtId="1" fontId="2" fillId="0" borderId="1" xfId="0" applyNumberFormat="1" applyFont="1" applyBorder="1" applyAlignment="1">
      <alignment horizontal="left" vertical="top"/>
    </xf>
    <xf numFmtId="166" fontId="5" fillId="0" borderId="43" xfId="0" applyNumberFormat="1" applyFont="1" applyBorder="1" applyAlignment="1">
      <alignment horizontal="center" vertical="top"/>
    </xf>
    <xf numFmtId="166" fontId="5" fillId="0" borderId="43" xfId="0" applyNumberFormat="1" applyFont="1" applyBorder="1" applyAlignment="1">
      <alignment horizontal="center" vertical="top" wrapText="1"/>
    </xf>
    <xf numFmtId="0" fontId="35" fillId="0" borderId="4" xfId="0" applyFont="1" applyBorder="1" applyAlignment="1">
      <alignment wrapText="1"/>
    </xf>
    <xf numFmtId="0" fontId="36" fillId="0" borderId="4" xfId="0" applyFont="1" applyBorder="1"/>
    <xf numFmtId="0" fontId="36" fillId="0" borderId="4" xfId="0" applyFont="1" applyBorder="1" applyAlignment="1">
      <alignment wrapText="1"/>
    </xf>
    <xf numFmtId="0" fontId="0" fillId="0" borderId="4" xfId="0" applyBorder="1" applyAlignment="1">
      <alignment horizontal="center" vertical="center"/>
    </xf>
    <xf numFmtId="169" fontId="0" fillId="0" borderId="4" xfId="0" applyNumberFormat="1" applyBorder="1" applyAlignment="1">
      <alignment horizontal="center" vertical="center"/>
    </xf>
    <xf numFmtId="169" fontId="0" fillId="0" borderId="4" xfId="0" applyNumberFormat="1" applyBorder="1"/>
    <xf numFmtId="0" fontId="5" fillId="0" borderId="4" xfId="0" applyFont="1" applyBorder="1"/>
    <xf numFmtId="0" fontId="5" fillId="0" borderId="0" xfId="0" applyFont="1" applyAlignment="1">
      <alignment horizontal="center" vertical="top"/>
    </xf>
    <xf numFmtId="0" fontId="5" fillId="0" borderId="0" xfId="0" applyFont="1"/>
    <xf numFmtId="0" fontId="5" fillId="6" borderId="1" xfId="0" applyFont="1" applyFill="1" applyBorder="1" applyAlignment="1">
      <alignment horizontal="left" vertical="top"/>
    </xf>
    <xf numFmtId="0" fontId="3" fillId="0" borderId="0" xfId="0" applyFont="1"/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9" fontId="5" fillId="0" borderId="1" xfId="0" applyNumberFormat="1" applyFont="1" applyBorder="1" applyAlignment="1">
      <alignment horizontal="left" vertical="top"/>
    </xf>
    <xf numFmtId="0" fontId="2" fillId="0" borderId="5" xfId="0" applyFont="1" applyBorder="1" applyAlignment="1">
      <alignment horizontal="left" vertical="top"/>
    </xf>
    <xf numFmtId="164" fontId="5" fillId="0" borderId="1" xfId="0" applyNumberFormat="1" applyFont="1" applyBorder="1" applyAlignment="1">
      <alignment horizontal="left" vertical="top"/>
    </xf>
    <xf numFmtId="1" fontId="5" fillId="0" borderId="1" xfId="0" applyNumberFormat="1" applyFont="1" applyBorder="1" applyAlignment="1">
      <alignment horizontal="left" vertical="top"/>
    </xf>
    <xf numFmtId="3" fontId="2" fillId="2" borderId="1" xfId="0" applyNumberFormat="1" applyFont="1" applyFill="1" applyBorder="1" applyAlignment="1">
      <alignment horizontal="center" vertical="top"/>
    </xf>
    <xf numFmtId="9" fontId="5" fillId="0" borderId="7" xfId="0" applyNumberFormat="1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164" fontId="5" fillId="0" borderId="7" xfId="0" applyNumberFormat="1" applyFont="1" applyBorder="1" applyAlignment="1">
      <alignment horizontal="left" vertical="top"/>
    </xf>
    <xf numFmtId="1" fontId="5" fillId="0" borderId="7" xfId="0" applyNumberFormat="1" applyFont="1" applyBorder="1" applyAlignment="1">
      <alignment horizontal="left" vertical="top"/>
    </xf>
    <xf numFmtId="9" fontId="2" fillId="2" borderId="1" xfId="0" applyNumberFormat="1" applyFont="1" applyFill="1" applyBorder="1" applyAlignment="1">
      <alignment horizontal="center" vertical="top"/>
    </xf>
    <xf numFmtId="9" fontId="5" fillId="0" borderId="28" xfId="0" applyNumberFormat="1" applyFont="1" applyBorder="1" applyAlignment="1">
      <alignment horizontal="left" vertical="top"/>
    </xf>
    <xf numFmtId="0" fontId="2" fillId="0" borderId="28" xfId="0" applyFont="1" applyBorder="1" applyAlignment="1">
      <alignment horizontal="left" vertical="top"/>
    </xf>
    <xf numFmtId="164" fontId="5" fillId="0" borderId="28" xfId="0" applyNumberFormat="1" applyFont="1" applyBorder="1" applyAlignment="1">
      <alignment horizontal="left" vertical="top"/>
    </xf>
    <xf numFmtId="1" fontId="5" fillId="0" borderId="28" xfId="0" applyNumberFormat="1" applyFont="1" applyBorder="1" applyAlignment="1">
      <alignment horizontal="left" vertical="top"/>
    </xf>
    <xf numFmtId="0" fontId="2" fillId="2" borderId="1" xfId="0" applyFont="1" applyFill="1" applyBorder="1" applyAlignment="1">
      <alignment horizontal="center" vertical="top"/>
    </xf>
    <xf numFmtId="0" fontId="5" fillId="0" borderId="4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5" fillId="5" borderId="10" xfId="0" applyFont="1" applyFill="1" applyBorder="1" applyAlignment="1">
      <alignment horizontal="left" vertical="top"/>
    </xf>
    <xf numFmtId="10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0" fontId="2" fillId="6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9" borderId="1" xfId="0" applyFont="1" applyFill="1" applyBorder="1" applyAlignment="1">
      <alignment horizontal="center" vertical="top"/>
    </xf>
    <xf numFmtId="0" fontId="5" fillId="10" borderId="1" xfId="0" applyFont="1" applyFill="1" applyBorder="1" applyAlignment="1">
      <alignment horizontal="center" vertical="top"/>
    </xf>
    <xf numFmtId="9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left" vertical="top"/>
    </xf>
    <xf numFmtId="1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left" vertical="top"/>
    </xf>
    <xf numFmtId="166" fontId="5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/>
    </xf>
    <xf numFmtId="0" fontId="3" fillId="12" borderId="23" xfId="0" applyFont="1" applyFill="1" applyBorder="1" applyAlignment="1">
      <alignment horizontal="center" vertical="center"/>
    </xf>
    <xf numFmtId="0" fontId="3" fillId="12" borderId="11" xfId="0" applyFont="1" applyFill="1" applyBorder="1" applyAlignment="1">
      <alignment vertical="center"/>
    </xf>
    <xf numFmtId="164" fontId="10" fillId="12" borderId="1" xfId="0" applyNumberFormat="1" applyFont="1" applyFill="1" applyBorder="1" applyAlignment="1">
      <alignment vertical="center"/>
    </xf>
    <xf numFmtId="0" fontId="5" fillId="0" borderId="1" xfId="0" applyFont="1" applyBorder="1"/>
    <xf numFmtId="10" fontId="2" fillId="13" borderId="1" xfId="0" applyNumberFormat="1" applyFont="1" applyFill="1" applyBorder="1" applyAlignment="1">
      <alignment horizontal="center"/>
    </xf>
    <xf numFmtId="9" fontId="5" fillId="0" borderId="1" xfId="0" applyNumberFormat="1" applyFont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0" fontId="3" fillId="12" borderId="22" xfId="0" applyFont="1" applyFill="1" applyBorder="1" applyAlignment="1">
      <alignment vertical="center"/>
    </xf>
    <xf numFmtId="164" fontId="10" fillId="12" borderId="7" xfId="0" applyNumberFormat="1" applyFont="1" applyFill="1" applyBorder="1" applyAlignment="1">
      <alignment vertical="center"/>
    </xf>
    <xf numFmtId="168" fontId="5" fillId="0" borderId="0" xfId="0" applyNumberFormat="1" applyFont="1"/>
    <xf numFmtId="0" fontId="5" fillId="5" borderId="10" xfId="0" applyFont="1" applyFill="1" applyBorder="1"/>
    <xf numFmtId="10" fontId="5" fillId="0" borderId="0" xfId="0" applyNumberFormat="1" applyFont="1" applyAlignment="1">
      <alignment horizontal="center" vertical="top"/>
    </xf>
    <xf numFmtId="0" fontId="5" fillId="14" borderId="10" xfId="0" applyFont="1" applyFill="1" applyBorder="1"/>
    <xf numFmtId="0" fontId="5" fillId="5" borderId="14" xfId="0" applyFont="1" applyFill="1" applyBorder="1" applyAlignment="1">
      <alignment horizontal="left" vertical="top"/>
    </xf>
    <xf numFmtId="0" fontId="5" fillId="0" borderId="0" xfId="0" applyFont="1" applyAlignment="1">
      <alignment horizontal="left" vertical="top" wrapText="1"/>
    </xf>
    <xf numFmtId="169" fontId="5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left" vertical="top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166" fontId="10" fillId="0" borderId="0" xfId="0" applyNumberFormat="1" applyFont="1" applyAlignment="1">
      <alignment horizontal="center"/>
    </xf>
    <xf numFmtId="0" fontId="5" fillId="0" borderId="4" xfId="0" applyFont="1" applyBorder="1" applyAlignment="1">
      <alignment horizontal="center"/>
    </xf>
    <xf numFmtId="166" fontId="10" fillId="21" borderId="4" xfId="0" applyNumberFormat="1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/>
    </xf>
    <xf numFmtId="172" fontId="5" fillId="0" borderId="4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left" vertical="top"/>
    </xf>
    <xf numFmtId="170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right"/>
    </xf>
    <xf numFmtId="174" fontId="5" fillId="0" borderId="0" xfId="0" applyNumberFormat="1" applyFont="1" applyAlignment="1">
      <alignment horizontal="center"/>
    </xf>
    <xf numFmtId="169" fontId="5" fillId="0" borderId="0" xfId="0" applyNumberFormat="1" applyFont="1" applyAlignment="1">
      <alignment horizontal="right" vertical="center"/>
    </xf>
    <xf numFmtId="174" fontId="5" fillId="0" borderId="0" xfId="0" applyNumberFormat="1" applyFont="1" applyAlignment="1">
      <alignment horizontal="left" vertical="center" wrapText="1"/>
    </xf>
    <xf numFmtId="168" fontId="5" fillId="0" borderId="0" xfId="0" applyNumberFormat="1" applyFont="1" applyAlignment="1">
      <alignment horizontal="center" vertical="top"/>
    </xf>
    <xf numFmtId="174" fontId="5" fillId="0" borderId="0" xfId="0" applyNumberFormat="1" applyFont="1" applyAlignment="1">
      <alignment horizontal="center" vertical="top"/>
    </xf>
    <xf numFmtId="169" fontId="10" fillId="15" borderId="4" xfId="0" applyNumberFormat="1" applyFont="1" applyFill="1" applyBorder="1" applyAlignment="1">
      <alignment horizontal="left"/>
    </xf>
    <xf numFmtId="0" fontId="5" fillId="7" borderId="0" xfId="0" applyFont="1" applyFill="1" applyAlignment="1">
      <alignment horizontal="left" vertical="top"/>
    </xf>
    <xf numFmtId="169" fontId="5" fillId="7" borderId="0" xfId="0" applyNumberFormat="1" applyFont="1" applyFill="1" applyAlignment="1">
      <alignment horizontal="center" vertical="top"/>
    </xf>
    <xf numFmtId="0" fontId="5" fillId="7" borderId="0" xfId="0" applyFont="1" applyFill="1" applyAlignment="1">
      <alignment horizontal="center"/>
    </xf>
    <xf numFmtId="0" fontId="5" fillId="7" borderId="0" xfId="0" applyFont="1" applyFill="1" applyAlignment="1">
      <alignment horizontal="center" vertical="top"/>
    </xf>
    <xf numFmtId="0" fontId="5" fillId="20" borderId="0" xfId="0" applyFont="1" applyFill="1"/>
    <xf numFmtId="174" fontId="5" fillId="20" borderId="0" xfId="0" applyNumberFormat="1" applyFont="1" applyFill="1"/>
    <xf numFmtId="166" fontId="5" fillId="20" borderId="0" xfId="0" applyNumberFormat="1" applyFont="1" applyFill="1" applyAlignment="1">
      <alignment horizontal="center"/>
    </xf>
    <xf numFmtId="168" fontId="5" fillId="3" borderId="4" xfId="0" applyNumberFormat="1" applyFont="1" applyFill="1" applyBorder="1"/>
    <xf numFmtId="165" fontId="5" fillId="3" borderId="4" xfId="0" applyNumberFormat="1" applyFont="1" applyFill="1" applyBorder="1"/>
    <xf numFmtId="0" fontId="5" fillId="15" borderId="4" xfId="0" applyFont="1" applyFill="1" applyBorder="1" applyAlignment="1">
      <alignment horizontal="left" vertical="top"/>
    </xf>
    <xf numFmtId="166" fontId="5" fillId="0" borderId="0" xfId="0" applyNumberFormat="1" applyFont="1" applyAlignment="1">
      <alignment horizontal="center" vertical="top" wrapText="1"/>
    </xf>
    <xf numFmtId="0" fontId="2" fillId="15" borderId="4" xfId="0" applyFont="1" applyFill="1" applyBorder="1" applyAlignment="1">
      <alignment horizontal="left" vertical="top"/>
    </xf>
    <xf numFmtId="0" fontId="5" fillId="24" borderId="0" xfId="0" applyFont="1" applyFill="1" applyAlignment="1">
      <alignment vertical="center"/>
    </xf>
    <xf numFmtId="0" fontId="5" fillId="24" borderId="0" xfId="0" applyFont="1" applyFill="1" applyAlignment="1">
      <alignment horizontal="center" vertical="center" wrapText="1"/>
    </xf>
    <xf numFmtId="169" fontId="5" fillId="24" borderId="0" xfId="0" applyNumberFormat="1" applyFont="1" applyFill="1" applyAlignment="1">
      <alignment horizontal="center" vertical="center"/>
    </xf>
    <xf numFmtId="166" fontId="5" fillId="24" borderId="0" xfId="0" applyNumberFormat="1" applyFont="1" applyFill="1" applyAlignment="1">
      <alignment horizontal="center" vertical="center"/>
    </xf>
    <xf numFmtId="0" fontId="5" fillId="20" borderId="0" xfId="0" applyFont="1" applyFill="1" applyAlignment="1">
      <alignment vertical="center"/>
    </xf>
    <xf numFmtId="176" fontId="5" fillId="20" borderId="0" xfId="0" applyNumberFormat="1" applyFont="1" applyFill="1" applyAlignment="1">
      <alignment horizontal="center" vertical="center"/>
    </xf>
    <xf numFmtId="179" fontId="5" fillId="20" borderId="0" xfId="0" applyNumberFormat="1" applyFont="1" applyFill="1" applyAlignment="1">
      <alignment horizontal="center" vertical="center"/>
    </xf>
    <xf numFmtId="0" fontId="5" fillId="21" borderId="0" xfId="0" applyFont="1" applyFill="1" applyAlignment="1">
      <alignment vertical="center"/>
    </xf>
    <xf numFmtId="176" fontId="5" fillId="21" borderId="0" xfId="0" applyNumberFormat="1" applyFont="1" applyFill="1" applyAlignment="1">
      <alignment horizontal="center" vertical="center"/>
    </xf>
    <xf numFmtId="0" fontId="5" fillId="15" borderId="4" xfId="0" applyFont="1" applyFill="1" applyBorder="1" applyAlignment="1">
      <alignment horizontal="left" vertical="top" wrapText="1"/>
    </xf>
    <xf numFmtId="176" fontId="5" fillId="0" borderId="0" xfId="0" applyNumberFormat="1" applyFont="1" applyAlignment="1">
      <alignment horizontal="left" vertical="top"/>
    </xf>
    <xf numFmtId="3" fontId="5" fillId="0" borderId="0" xfId="0" applyNumberFormat="1" applyFont="1" applyAlignment="1">
      <alignment horizontal="center" vertical="top"/>
    </xf>
    <xf numFmtId="179" fontId="5" fillId="0" borderId="0" xfId="0" applyNumberFormat="1" applyFont="1" applyAlignment="1">
      <alignment horizontal="left" vertical="top"/>
    </xf>
    <xf numFmtId="0" fontId="5" fillId="13" borderId="4" xfId="0" applyFont="1" applyFill="1" applyBorder="1" applyAlignment="1">
      <alignment horizontal="left" vertical="top"/>
    </xf>
    <xf numFmtId="166" fontId="5" fillId="13" borderId="4" xfId="0" applyNumberFormat="1" applyFont="1" applyFill="1" applyBorder="1" applyAlignment="1">
      <alignment horizontal="left" vertical="top"/>
    </xf>
    <xf numFmtId="169" fontId="5" fillId="0" borderId="43" xfId="0" applyNumberFormat="1" applyFont="1" applyBorder="1" applyAlignment="1">
      <alignment horizontal="left" vertical="top"/>
    </xf>
    <xf numFmtId="0" fontId="3" fillId="22" borderId="32" xfId="0" applyFont="1" applyFill="1" applyBorder="1"/>
    <xf numFmtId="0" fontId="3" fillId="22" borderId="34" xfId="0" applyFont="1" applyFill="1" applyBorder="1"/>
    <xf numFmtId="0" fontId="3" fillId="22" borderId="34" xfId="0" applyFont="1" applyFill="1" applyBorder="1" applyAlignment="1">
      <alignment wrapText="1"/>
    </xf>
    <xf numFmtId="0" fontId="10" fillId="0" borderId="33" xfId="0" applyFont="1" applyBorder="1"/>
    <xf numFmtId="0" fontId="10" fillId="0" borderId="35" xfId="0" applyFont="1" applyBorder="1"/>
    <xf numFmtId="0" fontId="10" fillId="0" borderId="36" xfId="0" applyFont="1" applyBorder="1" applyAlignment="1">
      <alignment wrapText="1"/>
    </xf>
    <xf numFmtId="176" fontId="5" fillId="0" borderId="0" xfId="0" applyNumberFormat="1" applyFont="1" applyAlignment="1">
      <alignment horizontal="center" vertical="top"/>
    </xf>
    <xf numFmtId="173" fontId="5" fillId="0" borderId="0" xfId="0" applyNumberFormat="1" applyFont="1" applyAlignment="1">
      <alignment horizontal="center" vertical="top"/>
    </xf>
    <xf numFmtId="0" fontId="10" fillId="0" borderId="0" xfId="0" applyFont="1" applyAlignment="1">
      <alignment wrapText="1"/>
    </xf>
    <xf numFmtId="176" fontId="5" fillId="19" borderId="0" xfId="0" applyNumberFormat="1" applyFont="1" applyFill="1" applyAlignment="1">
      <alignment horizontal="center" vertical="top"/>
    </xf>
    <xf numFmtId="0" fontId="3" fillId="23" borderId="32" xfId="0" applyFont="1" applyFill="1" applyBorder="1" applyAlignment="1">
      <alignment wrapText="1"/>
    </xf>
    <xf numFmtId="0" fontId="3" fillId="23" borderId="37" xfId="0" applyFont="1" applyFill="1" applyBorder="1" applyAlignment="1">
      <alignment wrapText="1"/>
    </xf>
    <xf numFmtId="0" fontId="10" fillId="0" borderId="38" xfId="0" applyFont="1" applyBorder="1" applyAlignment="1">
      <alignment wrapText="1"/>
    </xf>
    <xf numFmtId="0" fontId="10" fillId="0" borderId="39" xfId="0" applyFont="1" applyBorder="1" applyAlignment="1">
      <alignment wrapText="1"/>
    </xf>
    <xf numFmtId="175" fontId="5" fillId="0" borderId="0" xfId="0" applyNumberFormat="1" applyFont="1" applyAlignment="1">
      <alignment horizontal="left" vertical="top"/>
    </xf>
    <xf numFmtId="0" fontId="10" fillId="0" borderId="40" xfId="0" applyFont="1" applyBorder="1" applyAlignment="1">
      <alignment wrapText="1"/>
    </xf>
    <xf numFmtId="0" fontId="10" fillId="0" borderId="41" xfId="0" applyFont="1" applyBorder="1" applyAlignment="1">
      <alignment wrapText="1"/>
    </xf>
    <xf numFmtId="0" fontId="10" fillId="0" borderId="42" xfId="0" applyFont="1" applyBorder="1" applyAlignment="1">
      <alignment wrapText="1"/>
    </xf>
    <xf numFmtId="9" fontId="5" fillId="0" borderId="0" xfId="0" applyNumberFormat="1" applyFont="1" applyAlignment="1">
      <alignment horizontal="left" vertical="top"/>
    </xf>
    <xf numFmtId="169" fontId="2" fillId="0" borderId="0" xfId="0" applyNumberFormat="1" applyFont="1" applyAlignment="1">
      <alignment horizontal="left" vertical="top"/>
    </xf>
    <xf numFmtId="169" fontId="5" fillId="0" borderId="0" xfId="0" applyNumberFormat="1" applyFont="1" applyAlignment="1">
      <alignment horizontal="left" vertical="top" wrapText="1"/>
    </xf>
    <xf numFmtId="9" fontId="5" fillId="0" borderId="0" xfId="0" applyNumberFormat="1" applyFont="1" applyAlignment="1">
      <alignment horizontal="left" vertical="top" wrapText="1"/>
    </xf>
    <xf numFmtId="169" fontId="5" fillId="0" borderId="0" xfId="0" applyNumberFormat="1" applyFont="1" applyAlignment="1">
      <alignment horizontal="center" vertical="center"/>
    </xf>
    <xf numFmtId="0" fontId="2" fillId="26" borderId="0" xfId="0" applyFont="1" applyFill="1" applyAlignment="1">
      <alignment horizontal="left" vertical="top"/>
    </xf>
    <xf numFmtId="169" fontId="2" fillId="26" borderId="0" xfId="0" applyNumberFormat="1" applyFont="1" applyFill="1" applyAlignment="1">
      <alignment horizontal="left" vertical="top"/>
    </xf>
    <xf numFmtId="9" fontId="2" fillId="26" borderId="0" xfId="0" applyNumberFormat="1" applyFont="1" applyFill="1" applyAlignment="1">
      <alignment horizontal="left" vertical="top"/>
    </xf>
    <xf numFmtId="168" fontId="5" fillId="0" borderId="0" xfId="0" applyNumberFormat="1" applyFont="1" applyAlignment="1">
      <alignment horizontal="left" vertical="top"/>
    </xf>
    <xf numFmtId="0" fontId="2" fillId="13" borderId="1" xfId="0" applyFont="1" applyFill="1" applyBorder="1" applyAlignment="1">
      <alignment horizontal="left" vertical="top"/>
    </xf>
    <xf numFmtId="0" fontId="5" fillId="13" borderId="1" xfId="0" applyFont="1" applyFill="1" applyBorder="1" applyAlignment="1">
      <alignment horizontal="left" vertical="top"/>
    </xf>
    <xf numFmtId="170" fontId="5" fillId="13" borderId="1" xfId="0" applyNumberFormat="1" applyFont="1" applyFill="1" applyBorder="1" applyAlignment="1">
      <alignment horizontal="left" vertical="top"/>
    </xf>
    <xf numFmtId="166" fontId="5" fillId="13" borderId="1" xfId="0" applyNumberFormat="1" applyFont="1" applyFill="1" applyBorder="1" applyAlignment="1">
      <alignment horizontal="left" vertical="top"/>
    </xf>
    <xf numFmtId="170" fontId="2" fillId="0" borderId="1" xfId="0" applyNumberFormat="1" applyFont="1" applyBorder="1" applyAlignment="1">
      <alignment horizontal="left" vertical="top"/>
    </xf>
    <xf numFmtId="166" fontId="5" fillId="0" borderId="1" xfId="0" applyNumberFormat="1" applyFont="1" applyBorder="1" applyAlignment="1">
      <alignment horizontal="left" vertical="top"/>
    </xf>
    <xf numFmtId="166" fontId="5" fillId="0" borderId="0" xfId="0" applyNumberFormat="1" applyFont="1" applyAlignment="1">
      <alignment horizontal="left" vertical="top"/>
    </xf>
    <xf numFmtId="0" fontId="10" fillId="0" borderId="0" xfId="0" applyFont="1" applyAlignment="1">
      <alignment horizontal="left" vertical="top"/>
    </xf>
    <xf numFmtId="166" fontId="10" fillId="0" borderId="0" xfId="0" applyNumberFormat="1" applyFont="1" applyAlignment="1">
      <alignment horizontal="left" vertical="top"/>
    </xf>
    <xf numFmtId="169" fontId="10" fillId="0" borderId="0" xfId="0" applyNumberFormat="1" applyFont="1" applyAlignment="1">
      <alignment horizontal="left" vertical="top"/>
    </xf>
    <xf numFmtId="10" fontId="10" fillId="9" borderId="0" xfId="0" applyNumberFormat="1" applyFont="1" applyFill="1" applyAlignment="1">
      <alignment horizontal="left" vertical="top"/>
    </xf>
    <xf numFmtId="171" fontId="5" fillId="0" borderId="0" xfId="0" applyNumberFormat="1" applyFont="1" applyAlignment="1">
      <alignment horizontal="left" vertical="top"/>
    </xf>
    <xf numFmtId="169" fontId="5" fillId="0" borderId="16" xfId="0" applyNumberFormat="1" applyFont="1" applyBorder="1" applyAlignment="1">
      <alignment horizontal="left" vertical="top"/>
    </xf>
    <xf numFmtId="169" fontId="5" fillId="0" borderId="19" xfId="0" applyNumberFormat="1" applyFont="1" applyBorder="1" applyAlignment="1">
      <alignment horizontal="left" vertical="top"/>
    </xf>
    <xf numFmtId="0" fontId="5" fillId="14" borderId="4" xfId="0" applyFont="1" applyFill="1" applyBorder="1" applyAlignment="1">
      <alignment horizontal="left" vertical="top"/>
    </xf>
    <xf numFmtId="166" fontId="5" fillId="14" borderId="4" xfId="0" applyNumberFormat="1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166" fontId="5" fillId="5" borderId="4" xfId="0" applyNumberFormat="1" applyFont="1" applyFill="1" applyBorder="1" applyAlignment="1">
      <alignment horizontal="left" vertical="top"/>
    </xf>
    <xf numFmtId="169" fontId="10" fillId="0" borderId="8" xfId="0" applyNumberFormat="1" applyFont="1" applyBorder="1" applyAlignment="1">
      <alignment horizontal="left" vertical="top"/>
    </xf>
    <xf numFmtId="169" fontId="10" fillId="0" borderId="23" xfId="0" applyNumberFormat="1" applyFont="1" applyBorder="1" applyAlignment="1">
      <alignment horizontal="left" vertical="top"/>
    </xf>
    <xf numFmtId="166" fontId="5" fillId="9" borderId="4" xfId="0" applyNumberFormat="1" applyFont="1" applyFill="1" applyBorder="1" applyAlignment="1">
      <alignment horizontal="left" vertical="top"/>
    </xf>
    <xf numFmtId="169" fontId="5" fillId="0" borderId="0" xfId="0" applyNumberFormat="1" applyFont="1" applyAlignment="1">
      <alignment horizontal="right" vertical="top"/>
    </xf>
    <xf numFmtId="0" fontId="5" fillId="16" borderId="24" xfId="0" applyFont="1" applyFill="1" applyBorder="1" applyAlignment="1">
      <alignment horizontal="left" vertical="top"/>
    </xf>
    <xf numFmtId="0" fontId="5" fillId="16" borderId="4" xfId="0" applyFont="1" applyFill="1" applyBorder="1" applyAlignment="1">
      <alignment horizontal="left" vertical="top"/>
    </xf>
    <xf numFmtId="169" fontId="5" fillId="16" borderId="25" xfId="0" applyNumberFormat="1" applyFont="1" applyFill="1" applyBorder="1" applyAlignment="1">
      <alignment horizontal="right" vertical="top"/>
    </xf>
    <xf numFmtId="0" fontId="5" fillId="0" borderId="24" xfId="0" applyFont="1" applyBorder="1" applyAlignment="1">
      <alignment horizontal="left" vertical="top"/>
    </xf>
    <xf numFmtId="166" fontId="5" fillId="0" borderId="25" xfId="0" applyNumberFormat="1" applyFont="1" applyBorder="1" applyAlignment="1">
      <alignment horizontal="right" vertical="top"/>
    </xf>
    <xf numFmtId="0" fontId="2" fillId="0" borderId="24" xfId="0" applyFont="1" applyBorder="1" applyAlignment="1">
      <alignment horizontal="left" vertical="top"/>
    </xf>
    <xf numFmtId="166" fontId="5" fillId="9" borderId="25" xfId="0" applyNumberFormat="1" applyFont="1" applyFill="1" applyBorder="1" applyAlignment="1">
      <alignment horizontal="right" vertical="top"/>
    </xf>
    <xf numFmtId="169" fontId="5" fillId="0" borderId="25" xfId="0" applyNumberFormat="1" applyFont="1" applyBorder="1" applyAlignment="1">
      <alignment horizontal="right" vertical="top"/>
    </xf>
    <xf numFmtId="0" fontId="5" fillId="0" borderId="23" xfId="0" applyFont="1" applyBorder="1" applyAlignment="1">
      <alignment horizontal="left" vertical="top"/>
    </xf>
    <xf numFmtId="0" fontId="5" fillId="0" borderId="27" xfId="0" applyFont="1" applyBorder="1" applyAlignment="1">
      <alignment horizontal="left" vertical="top"/>
    </xf>
    <xf numFmtId="169" fontId="5" fillId="9" borderId="26" xfId="0" applyNumberFormat="1" applyFont="1" applyFill="1" applyBorder="1" applyAlignment="1">
      <alignment horizontal="right" vertical="top"/>
    </xf>
    <xf numFmtId="0" fontId="2" fillId="11" borderId="1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3" fontId="5" fillId="0" borderId="24" xfId="0" applyNumberFormat="1" applyFont="1" applyBorder="1" applyAlignment="1">
      <alignment horizontal="left" vertical="top"/>
    </xf>
    <xf numFmtId="169" fontId="5" fillId="0" borderId="4" xfId="0" applyNumberFormat="1" applyFont="1" applyBorder="1" applyAlignment="1">
      <alignment horizontal="center" vertical="top"/>
    </xf>
    <xf numFmtId="169" fontId="5" fillId="0" borderId="25" xfId="0" applyNumberFormat="1" applyFont="1" applyBorder="1" applyAlignment="1">
      <alignment horizontal="center" vertical="top"/>
    </xf>
    <xf numFmtId="169" fontId="5" fillId="16" borderId="4" xfId="0" applyNumberFormat="1" applyFont="1" applyFill="1" applyBorder="1" applyAlignment="1">
      <alignment horizontal="right" vertical="top"/>
    </xf>
    <xf numFmtId="166" fontId="5" fillId="0" borderId="4" xfId="0" applyNumberFormat="1" applyFont="1" applyBorder="1" applyAlignment="1">
      <alignment horizontal="center"/>
    </xf>
    <xf numFmtId="166" fontId="5" fillId="0" borderId="25" xfId="0" applyNumberFormat="1" applyFont="1" applyBorder="1" applyAlignment="1">
      <alignment horizontal="center"/>
    </xf>
    <xf numFmtId="166" fontId="2" fillId="0" borderId="4" xfId="0" applyNumberFormat="1" applyFont="1" applyBorder="1" applyAlignment="1">
      <alignment horizontal="center"/>
    </xf>
    <xf numFmtId="166" fontId="2" fillId="0" borderId="25" xfId="0" applyNumberFormat="1" applyFont="1" applyBorder="1" applyAlignment="1">
      <alignment horizontal="center"/>
    </xf>
    <xf numFmtId="166" fontId="5" fillId="0" borderId="4" xfId="0" applyNumberFormat="1" applyFont="1" applyBorder="1" applyAlignment="1">
      <alignment horizontal="right" vertical="top"/>
    </xf>
    <xf numFmtId="166" fontId="2" fillId="0" borderId="4" xfId="0" applyNumberFormat="1" applyFont="1" applyBorder="1" applyAlignment="1">
      <alignment horizontal="right" vertical="top"/>
    </xf>
    <xf numFmtId="166" fontId="2" fillId="0" borderId="25" xfId="0" applyNumberFormat="1" applyFont="1" applyBorder="1" applyAlignment="1">
      <alignment horizontal="right" vertical="top"/>
    </xf>
    <xf numFmtId="9" fontId="2" fillId="4" borderId="4" xfId="0" applyNumberFormat="1" applyFont="1" applyFill="1" applyBorder="1" applyAlignment="1">
      <alignment horizontal="center" vertical="top"/>
    </xf>
    <xf numFmtId="9" fontId="2" fillId="4" borderId="25" xfId="0" applyNumberFormat="1" applyFont="1" applyFill="1" applyBorder="1" applyAlignment="1">
      <alignment horizontal="center" vertical="top"/>
    </xf>
    <xf numFmtId="166" fontId="5" fillId="0" borderId="0" xfId="0" applyNumberFormat="1" applyFont="1" applyAlignment="1">
      <alignment horizontal="right" vertical="top"/>
    </xf>
    <xf numFmtId="166" fontId="5" fillId="16" borderId="4" xfId="0" applyNumberFormat="1" applyFont="1" applyFill="1" applyBorder="1" applyAlignment="1">
      <alignment horizontal="right" vertical="top"/>
    </xf>
    <xf numFmtId="166" fontId="5" fillId="16" borderId="0" xfId="0" applyNumberFormat="1" applyFont="1" applyFill="1" applyAlignment="1">
      <alignment horizontal="right" vertical="top"/>
    </xf>
    <xf numFmtId="0" fontId="5" fillId="0" borderId="16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29" xfId="0" applyFont="1" applyBorder="1" applyAlignment="1">
      <alignment horizontal="left" vertical="top"/>
    </xf>
    <xf numFmtId="0" fontId="5" fillId="0" borderId="30" xfId="0" applyFont="1" applyBorder="1" applyAlignment="1">
      <alignment horizontal="left" vertical="top"/>
    </xf>
    <xf numFmtId="166" fontId="5" fillId="0" borderId="19" xfId="0" applyNumberFormat="1" applyFont="1" applyBorder="1" applyAlignment="1">
      <alignment horizontal="left" vertical="top"/>
    </xf>
    <xf numFmtId="0" fontId="5" fillId="0" borderId="21" xfId="0" applyFont="1" applyBorder="1" applyAlignment="1">
      <alignment horizontal="left" vertical="top"/>
    </xf>
    <xf numFmtId="0" fontId="5" fillId="16" borderId="23" xfId="0" applyFont="1" applyFill="1" applyBorder="1" applyAlignment="1">
      <alignment horizontal="left" vertical="top"/>
    </xf>
    <xf numFmtId="169" fontId="5" fillId="16" borderId="27" xfId="0" applyNumberFormat="1" applyFont="1" applyFill="1" applyBorder="1" applyAlignment="1">
      <alignment horizontal="right" vertical="top"/>
    </xf>
    <xf numFmtId="169" fontId="5" fillId="16" borderId="26" xfId="0" applyNumberFormat="1" applyFont="1" applyFill="1" applyBorder="1" applyAlignment="1">
      <alignment horizontal="right" vertical="top"/>
    </xf>
    <xf numFmtId="169" fontId="5" fillId="0" borderId="4" xfId="0" applyNumberFormat="1" applyFont="1" applyBorder="1" applyAlignment="1">
      <alignment horizontal="left" vertical="top"/>
    </xf>
    <xf numFmtId="166" fontId="5" fillId="0" borderId="4" xfId="0" applyNumberFormat="1" applyFont="1" applyBorder="1" applyAlignment="1">
      <alignment horizontal="left" vertical="top"/>
    </xf>
    <xf numFmtId="166" fontId="2" fillId="0" borderId="0" xfId="0" applyNumberFormat="1" applyFont="1" applyAlignment="1">
      <alignment horizontal="right" vertical="top"/>
    </xf>
    <xf numFmtId="166" fontId="5" fillId="16" borderId="25" xfId="0" applyNumberFormat="1" applyFont="1" applyFill="1" applyBorder="1" applyAlignment="1">
      <alignment horizontal="right" vertical="top"/>
    </xf>
    <xf numFmtId="169" fontId="2" fillId="0" borderId="0" xfId="0" applyNumberFormat="1" applyFont="1" applyAlignment="1">
      <alignment horizontal="right" vertical="top"/>
    </xf>
    <xf numFmtId="10" fontId="2" fillId="0" borderId="0" xfId="0" applyNumberFormat="1" applyFont="1" applyAlignment="1">
      <alignment horizontal="right" vertical="top"/>
    </xf>
    <xf numFmtId="0" fontId="5" fillId="21" borderId="1" xfId="0" applyFont="1" applyFill="1" applyBorder="1" applyAlignment="1">
      <alignment horizontal="left" vertical="top"/>
    </xf>
    <xf numFmtId="166" fontId="5" fillId="0" borderId="1" xfId="0" applyNumberFormat="1" applyFont="1" applyBorder="1" applyAlignment="1">
      <alignment horizontal="right" vertical="top"/>
    </xf>
    <xf numFmtId="169" fontId="5" fillId="0" borderId="1" xfId="0" applyNumberFormat="1" applyFont="1" applyBorder="1" applyAlignment="1">
      <alignment horizontal="center" vertical="top"/>
    </xf>
    <xf numFmtId="9" fontId="5" fillId="0" borderId="1" xfId="0" applyNumberFormat="1" applyFont="1" applyBorder="1" applyAlignment="1">
      <alignment horizontal="right" vertical="top"/>
    </xf>
    <xf numFmtId="169" fontId="5" fillId="0" borderId="1" xfId="0" applyNumberFormat="1" applyFont="1" applyBorder="1" applyAlignment="1">
      <alignment horizontal="right" vertical="top"/>
    </xf>
    <xf numFmtId="169" fontId="2" fillId="0" borderId="28" xfId="0" applyNumberFormat="1" applyFont="1" applyBorder="1" applyAlignment="1">
      <alignment horizontal="right" vertical="top"/>
    </xf>
    <xf numFmtId="166" fontId="2" fillId="0" borderId="22" xfId="0" applyNumberFormat="1" applyFont="1" applyBorder="1" applyAlignment="1">
      <alignment horizontal="right" vertical="top"/>
    </xf>
    <xf numFmtId="167" fontId="2" fillId="0" borderId="25" xfId="0" applyNumberFormat="1" applyFont="1" applyBorder="1" applyAlignment="1">
      <alignment horizontal="right" vertical="top"/>
    </xf>
    <xf numFmtId="2" fontId="2" fillId="0" borderId="25" xfId="0" applyNumberFormat="1" applyFont="1" applyBorder="1" applyAlignment="1">
      <alignment horizontal="right" vertical="top"/>
    </xf>
    <xf numFmtId="0" fontId="10" fillId="0" borderId="43" xfId="0" applyFont="1" applyBorder="1"/>
    <xf numFmtId="10" fontId="10" fillId="0" borderId="45" xfId="0" applyNumberFormat="1" applyFont="1" applyBorder="1"/>
    <xf numFmtId="169" fontId="5" fillId="0" borderId="4" xfId="0" applyNumberFormat="1" applyFont="1" applyBorder="1" applyAlignment="1">
      <alignment horizontal="right" vertical="top"/>
    </xf>
    <xf numFmtId="0" fontId="10" fillId="0" borderId="44" xfId="0" applyFont="1" applyBorder="1"/>
    <xf numFmtId="10" fontId="10" fillId="0" borderId="46" xfId="0" applyNumberFormat="1" applyFont="1" applyBorder="1"/>
    <xf numFmtId="0" fontId="10" fillId="0" borderId="19" xfId="0" applyFont="1" applyBorder="1"/>
    <xf numFmtId="0" fontId="10" fillId="0" borderId="20" xfId="0" applyFont="1" applyBorder="1"/>
    <xf numFmtId="0" fontId="10" fillId="0" borderId="21" xfId="0" applyFont="1" applyBorder="1"/>
    <xf numFmtId="0" fontId="3" fillId="0" borderId="47" xfId="0" applyFont="1" applyBorder="1"/>
    <xf numFmtId="0" fontId="3" fillId="0" borderId="48" xfId="0" applyFont="1" applyBorder="1"/>
    <xf numFmtId="0" fontId="10" fillId="0" borderId="24" xfId="0" applyFont="1" applyBorder="1"/>
    <xf numFmtId="178" fontId="10" fillId="0" borderId="25" xfId="0" applyNumberFormat="1" applyFont="1" applyBorder="1"/>
    <xf numFmtId="176" fontId="10" fillId="0" borderId="25" xfId="0" applyNumberFormat="1" applyFont="1" applyBorder="1"/>
    <xf numFmtId="0" fontId="25" fillId="0" borderId="24" xfId="0" applyFont="1" applyBorder="1"/>
    <xf numFmtId="176" fontId="5" fillId="0" borderId="0" xfId="0" applyNumberFormat="1" applyFont="1"/>
    <xf numFmtId="0" fontId="10" fillId="0" borderId="47" xfId="0" applyFont="1" applyBorder="1"/>
    <xf numFmtId="174" fontId="10" fillId="0" borderId="48" xfId="0" applyNumberFormat="1" applyFont="1" applyBorder="1"/>
    <xf numFmtId="0" fontId="37" fillId="26" borderId="4" xfId="0" applyFont="1" applyFill="1" applyBorder="1"/>
    <xf numFmtId="9" fontId="38" fillId="26" borderId="4" xfId="0" applyNumberFormat="1" applyFont="1" applyFill="1" applyBorder="1"/>
    <xf numFmtId="0" fontId="37" fillId="21" borderId="4" xfId="0" applyFont="1" applyFill="1" applyBorder="1"/>
    <xf numFmtId="178" fontId="38" fillId="21" borderId="4" xfId="0" applyNumberFormat="1" applyFont="1" applyFill="1" applyBorder="1" applyAlignment="1">
      <alignment wrapText="1"/>
    </xf>
    <xf numFmtId="180" fontId="38" fillId="21" borderId="4" xfId="0" applyNumberFormat="1" applyFont="1" applyFill="1" applyBorder="1" applyAlignment="1">
      <alignment wrapText="1"/>
    </xf>
    <xf numFmtId="178" fontId="0" fillId="0" borderId="4" xfId="0" applyNumberFormat="1" applyBorder="1"/>
    <xf numFmtId="10" fontId="0" fillId="0" borderId="0" xfId="0" applyNumberFormat="1"/>
    <xf numFmtId="9" fontId="0" fillId="0" borderId="0" xfId="0" applyNumberFormat="1"/>
    <xf numFmtId="1" fontId="0" fillId="0" borderId="0" xfId="0" applyNumberFormat="1"/>
    <xf numFmtId="0" fontId="39" fillId="2" borderId="1" xfId="0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3" fontId="40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3" fontId="41" fillId="0" borderId="1" xfId="0" applyNumberFormat="1" applyFont="1" applyBorder="1" applyAlignment="1">
      <alignment horizontal="center" vertical="center" wrapText="1"/>
    </xf>
    <xf numFmtId="3" fontId="40" fillId="0" borderId="7" xfId="0" applyNumberFormat="1" applyFont="1" applyBorder="1" applyAlignment="1">
      <alignment horizontal="center" vertical="center" wrapText="1"/>
    </xf>
    <xf numFmtId="0" fontId="41" fillId="0" borderId="5" xfId="0" applyFont="1" applyBorder="1" applyAlignment="1">
      <alignment horizontal="left" vertical="center" wrapText="1"/>
    </xf>
    <xf numFmtId="9" fontId="42" fillId="0" borderId="1" xfId="0" applyNumberFormat="1" applyFont="1" applyBorder="1" applyAlignment="1">
      <alignment horizontal="center"/>
    </xf>
    <xf numFmtId="0" fontId="2" fillId="13" borderId="1" xfId="0" applyFont="1" applyFill="1" applyBorder="1" applyAlignment="1">
      <alignment horizontal="center" vertical="top"/>
    </xf>
    <xf numFmtId="174" fontId="5" fillId="0" borderId="0" xfId="0" applyNumberFormat="1" applyFont="1" applyAlignment="1">
      <alignment vertical="top"/>
    </xf>
    <xf numFmtId="174" fontId="5" fillId="0" borderId="1" xfId="0" applyNumberFormat="1" applyFont="1" applyBorder="1" applyAlignment="1">
      <alignment horizontal="center" vertical="top"/>
    </xf>
    <xf numFmtId="0" fontId="2" fillId="13" borderId="7" xfId="0" applyFont="1" applyFill="1" applyBorder="1" applyAlignment="1">
      <alignment horizontal="center" vertical="top"/>
    </xf>
    <xf numFmtId="0" fontId="2" fillId="13" borderId="8" xfId="0" applyFont="1" applyFill="1" applyBorder="1" applyAlignment="1">
      <alignment horizontal="center" vertical="top"/>
    </xf>
    <xf numFmtId="174" fontId="5" fillId="0" borderId="5" xfId="0" applyNumberFormat="1" applyFont="1" applyBorder="1" applyAlignment="1">
      <alignment horizontal="center" vertical="top"/>
    </xf>
    <xf numFmtId="0" fontId="2" fillId="13" borderId="22" xfId="0" applyFont="1" applyFill="1" applyBorder="1" applyAlignment="1">
      <alignment horizontal="center" vertical="top"/>
    </xf>
    <xf numFmtId="174" fontId="5" fillId="0" borderId="11" xfId="0" applyNumberFormat="1" applyFont="1" applyBorder="1" applyAlignment="1">
      <alignment horizontal="center" vertical="top"/>
    </xf>
    <xf numFmtId="0" fontId="11" fillId="0" borderId="8" xfId="0" applyFont="1" applyBorder="1" applyAlignment="1">
      <alignment horizontal="left" vertical="top"/>
    </xf>
    <xf numFmtId="0" fontId="11" fillId="0" borderId="23" xfId="0" applyFont="1" applyBorder="1" applyAlignment="1">
      <alignment horizontal="left" vertical="top"/>
    </xf>
    <xf numFmtId="174" fontId="11" fillId="0" borderId="26" xfId="0" applyNumberFormat="1" applyFont="1" applyBorder="1" applyAlignment="1">
      <alignment horizontal="left" vertical="top"/>
    </xf>
    <xf numFmtId="174" fontId="11" fillId="0" borderId="22" xfId="0" applyNumberFormat="1" applyFont="1" applyBorder="1" applyAlignment="1">
      <alignment horizontal="left" vertical="top"/>
    </xf>
    <xf numFmtId="174" fontId="11" fillId="0" borderId="4" xfId="0" applyNumberFormat="1" applyFont="1" applyBorder="1" applyAlignment="1">
      <alignment horizontal="left" vertical="top"/>
    </xf>
    <xf numFmtId="174" fontId="11" fillId="0" borderId="0" xfId="0" applyNumberFormat="1" applyFont="1" applyAlignment="1">
      <alignment horizontal="left" vertical="top"/>
    </xf>
    <xf numFmtId="0" fontId="11" fillId="27" borderId="0" xfId="0" applyFont="1" applyFill="1" applyAlignment="1">
      <alignment horizontal="left" vertical="top"/>
    </xf>
    <xf numFmtId="169" fontId="11" fillId="27" borderId="0" xfId="0" applyNumberFormat="1" applyFont="1" applyFill="1" applyAlignment="1">
      <alignment horizontal="left" vertical="top"/>
    </xf>
    <xf numFmtId="0" fontId="13" fillId="27" borderId="4" xfId="0" applyFont="1" applyFill="1" applyBorder="1" applyAlignment="1">
      <alignment horizontal="left" vertical="top"/>
    </xf>
    <xf numFmtId="169" fontId="13" fillId="27" borderId="4" xfId="0" applyNumberFormat="1" applyFont="1" applyFill="1" applyBorder="1" applyAlignment="1">
      <alignment horizontal="left" vertical="top"/>
    </xf>
    <xf numFmtId="43" fontId="0" fillId="0" borderId="0" xfId="3" applyFont="1"/>
    <xf numFmtId="179" fontId="21" fillId="24" borderId="0" xfId="0" applyNumberFormat="1" applyFont="1" applyFill="1" applyAlignment="1">
      <alignment horizontal="center" vertical="center"/>
    </xf>
    <xf numFmtId="1" fontId="43" fillId="0" borderId="0" xfId="0" applyNumberFormat="1" applyFont="1" applyAlignment="1">
      <alignment horizontal="right" vertical="top" wrapText="1"/>
    </xf>
    <xf numFmtId="0" fontId="3" fillId="2" borderId="5" xfId="0" applyFont="1" applyFill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5" borderId="5" xfId="0" applyFont="1" applyFill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168" fontId="21" fillId="7" borderId="4" xfId="0" applyNumberFormat="1" applyFont="1" applyFill="1" applyBorder="1" applyAlignment="1">
      <alignment horizontal="center" vertical="top" wrapText="1"/>
    </xf>
    <xf numFmtId="168" fontId="21" fillId="7" borderId="31" xfId="0" applyNumberFormat="1" applyFont="1" applyFill="1" applyBorder="1" applyAlignment="1">
      <alignment horizontal="center" vertical="top" wrapText="1"/>
    </xf>
    <xf numFmtId="168" fontId="21" fillId="7" borderId="4" xfId="0" applyNumberFormat="1" applyFont="1" applyFill="1" applyBorder="1" applyAlignment="1">
      <alignment horizontal="center" vertical="top"/>
    </xf>
    <xf numFmtId="168" fontId="21" fillId="7" borderId="31" xfId="0" applyNumberFormat="1" applyFont="1" applyFill="1" applyBorder="1" applyAlignment="1">
      <alignment horizontal="center" vertical="top"/>
    </xf>
    <xf numFmtId="166" fontId="5" fillId="0" borderId="1" xfId="0" applyNumberFormat="1" applyFont="1" applyBorder="1" applyAlignment="1">
      <alignment horizontal="left" vertical="top"/>
    </xf>
    <xf numFmtId="0" fontId="2" fillId="0" borderId="8" xfId="0" applyFont="1" applyBorder="1" applyAlignment="1">
      <alignment horizontal="center" vertical="top"/>
    </xf>
    <xf numFmtId="0" fontId="2" fillId="0" borderId="24" xfId="0" applyFont="1" applyBorder="1" applyAlignment="1">
      <alignment horizontal="center" vertical="top"/>
    </xf>
    <xf numFmtId="0" fontId="5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top"/>
    </xf>
    <xf numFmtId="169" fontId="41" fillId="0" borderId="0" xfId="0" applyNumberFormat="1" applyFont="1" applyAlignment="1">
      <alignment horizontal="center" vertical="top"/>
    </xf>
    <xf numFmtId="166" fontId="41" fillId="0" borderId="0" xfId="0" applyNumberFormat="1" applyFont="1" applyAlignment="1">
      <alignment horizontal="center" vertical="top"/>
    </xf>
    <xf numFmtId="165" fontId="0" fillId="0" borderId="0" xfId="4" applyNumberFormat="1" applyFont="1"/>
    <xf numFmtId="0" fontId="5" fillId="0" borderId="28" xfId="0" applyFont="1" applyBorder="1" applyAlignment="1">
      <alignment horizontal="center" vertical="top"/>
    </xf>
    <xf numFmtId="169" fontId="5" fillId="0" borderId="28" xfId="0" applyNumberFormat="1" applyFont="1" applyBorder="1" applyAlignment="1">
      <alignment horizontal="center" vertical="top"/>
    </xf>
    <xf numFmtId="0" fontId="5" fillId="0" borderId="46" xfId="0" applyFont="1" applyBorder="1" applyAlignment="1">
      <alignment horizontal="left" vertical="top"/>
    </xf>
    <xf numFmtId="169" fontId="5" fillId="0" borderId="46" xfId="0" applyNumberFormat="1" applyFont="1" applyBorder="1" applyAlignment="1">
      <alignment horizontal="left" vertical="top"/>
    </xf>
    <xf numFmtId="169" fontId="5" fillId="0" borderId="51" xfId="0" applyNumberFormat="1" applyFont="1" applyBorder="1" applyAlignment="1">
      <alignment horizontal="center" vertical="top"/>
    </xf>
    <xf numFmtId="0" fontId="9" fillId="0" borderId="6" xfId="0" applyFont="1" applyBorder="1" applyAlignment="1"/>
    <xf numFmtId="0" fontId="9" fillId="0" borderId="11" xfId="0" applyFont="1" applyBorder="1" applyAlignment="1"/>
    <xf numFmtId="0" fontId="20" fillId="0" borderId="6" xfId="0" applyFont="1" applyBorder="1" applyAlignment="1"/>
    <xf numFmtId="0" fontId="20" fillId="0" borderId="11" xfId="0" applyFont="1" applyBorder="1" applyAlignment="1"/>
    <xf numFmtId="0" fontId="5" fillId="0" borderId="0" xfId="0" applyFont="1" applyAlignment="1"/>
    <xf numFmtId="0" fontId="20" fillId="0" borderId="28" xfId="0" applyFont="1" applyBorder="1" applyAlignment="1"/>
    <xf numFmtId="0" fontId="20" fillId="0" borderId="22" xfId="0" applyFont="1" applyBorder="1" applyAlignment="1"/>
    <xf numFmtId="0" fontId="20" fillId="0" borderId="25" xfId="0" applyFont="1" applyBorder="1" applyAlignment="1"/>
    <xf numFmtId="0" fontId="5" fillId="0" borderId="28" xfId="0" applyFont="1" applyBorder="1" applyAlignment="1"/>
    <xf numFmtId="0" fontId="0" fillId="0" borderId="0" xfId="0" applyAlignment="1"/>
    <xf numFmtId="0" fontId="10" fillId="0" borderId="16" xfId="0" applyFont="1" applyBorder="1" applyAlignment="1"/>
    <xf numFmtId="0" fontId="10" fillId="0" borderId="17" xfId="0" applyFont="1" applyBorder="1" applyAlignment="1"/>
    <xf numFmtId="0" fontId="10" fillId="0" borderId="18" xfId="0" applyFont="1" applyBorder="1" applyAlignment="1"/>
  </cellXfs>
  <cellStyles count="5">
    <cellStyle name="Hyperlink" xfId="1" xr:uid="{00000000-000B-0000-0000-000008000000}"/>
    <cellStyle name="Millares" xfId="3" builtinId="3"/>
    <cellStyle name="Moneda" xfId="4" builtinId="4"/>
    <cellStyle name="Normal" xfId="0" builtinId="0"/>
    <cellStyle name="Porcentaje" xfId="2" builtinId="5"/>
  </cellStyles>
  <dxfs count="292"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6" formatCode="[$ $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6" formatCode="[$ $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6" formatCode="[$ $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6" formatCode="[$ $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6" formatCode="[$ $]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6" formatCode="[$ $]#,##0"/>
      <alignment horizontal="center" vertical="bottom" textRotation="0" wrapText="0" indent="0" justifyLastLine="0" shrinkToFit="0" readingOrder="0"/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  <fill>
        <patternFill patternType="solid">
          <fgColor indexed="64"/>
          <bgColor theme="4" tint="0.59999389629810485"/>
        </patternFill>
      </fill>
    </dxf>
    <dxf>
      <font>
        <sz val="12"/>
        <name val="Times New Roman"/>
      </font>
      <alignment horizontal="center"/>
    </dxf>
    <dxf>
      <font>
        <sz val="12"/>
        <name val="Times New Roman"/>
      </font>
      <alignment horizontal="center"/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  <alignment horizontal="center"/>
    </dxf>
    <dxf>
      <font>
        <sz val="12"/>
        <name val="Times New Roman"/>
      </font>
      <alignment horizontal="center"/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  <alignment horizontal="center"/>
    </dxf>
    <dxf>
      <font>
        <sz val="12"/>
        <name val="Times New Roman"/>
      </font>
      <alignment horizontal="center"/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66" formatCode="[$ $]#,##0"/>
      <alignment horizontal="center" vertical="bottom" textRotation="0" wrapText="0" indent="0" justifyLastLine="0" shrinkToFit="0" readingOrder="0"/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  <numFmt numFmtId="164" formatCode="&quot;$&quot;\ #,##0;[Red]\-&quot;$&quot;\ #,##0"/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alignment horizontal="left" vertical="top" textRotation="0" wrapText="0" indent="0" justifyLastLine="0" shrinkToFit="0" readingOrder="0"/>
    </dxf>
    <dxf>
      <font>
        <sz val="12"/>
        <name val="Times New Roman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alignment horizontal="left" vertical="top" textRotation="0" wrapText="0" indent="0" justifyLastLine="0" shrinkToFit="0" readingOrder="0"/>
    </dxf>
    <dxf>
      <font>
        <sz val="12"/>
        <name val="Times New Roman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alignment horizontal="left" vertical="top" textRotation="0" wrapText="0" indent="0" justifyLastLine="0" shrinkToFit="0" readingOrder="0"/>
    </dxf>
    <dxf>
      <font>
        <sz val="12"/>
        <name val="Times New Roman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alignment horizontal="left" vertical="top" textRotation="0" wrapText="0" indent="0" justifyLastLine="0" shrinkToFit="0" readingOrder="0"/>
    </dxf>
    <dxf>
      <font>
        <sz val="12"/>
        <name val="Times New Roman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alignment horizontal="left" vertical="top" textRotation="0" wrapText="0" indent="0" justifyLastLine="0" shrinkToFit="0" readingOrder="0"/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ont>
        <sz val="12"/>
        <name val="Times New Roman"/>
      </font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9">
    <tableStyle name="VentasMes-style" pivot="0" count="4" xr9:uid="{00000000-0011-0000-FFFF-FFFF00000000}">
      <tableStyleElement type="headerRow" dxfId="291"/>
      <tableStyleElement type="totalRow" dxfId="290"/>
      <tableStyleElement type="firstRowStripe" dxfId="289"/>
      <tableStyleElement type="secondRowStripe" dxfId="288"/>
    </tableStyle>
    <tableStyle name="VentasMes-style 2" pivot="0" count="4" xr9:uid="{00000000-0011-0000-FFFF-FFFF01000000}">
      <tableStyleElement type="headerRow" dxfId="287"/>
      <tableStyleElement type="totalRow" dxfId="286"/>
      <tableStyleElement type="firstRowStripe" dxfId="285"/>
      <tableStyleElement type="secondRowStripe" dxfId="284"/>
    </tableStyle>
    <tableStyle name="VentasAños-style" pivot="0" count="3" xr9:uid="{00000000-0011-0000-FFFF-FFFF02000000}">
      <tableStyleElement type="headerRow" dxfId="283"/>
      <tableStyleElement type="firstRowStripe" dxfId="282"/>
      <tableStyleElement type="secondRowStripe" dxfId="281"/>
    </tableStyle>
    <tableStyle name="VentasAños-style 2" pivot="0" count="3" xr9:uid="{00000000-0011-0000-FFFF-FFFF03000000}">
      <tableStyleElement type="headerRow" dxfId="280"/>
      <tableStyleElement type="firstRowStripe" dxfId="279"/>
      <tableStyleElement type="secondRowStripe" dxfId="278"/>
    </tableStyle>
    <tableStyle name="Nomina-style" pivot="0" count="3" xr9:uid="{00000000-0011-0000-FFFF-FFFF04000000}">
      <tableStyleElement type="headerRow" dxfId="277"/>
      <tableStyleElement type="firstRowStripe" dxfId="276"/>
      <tableStyleElement type="secondRowStripe" dxfId="275"/>
    </tableStyle>
    <tableStyle name="Nomina-style 2" pivot="0" count="4" xr9:uid="{00000000-0011-0000-FFFF-FFFF05000000}">
      <tableStyleElement type="headerRow" dxfId="274"/>
      <tableStyleElement type="totalRow" dxfId="273"/>
      <tableStyleElement type="firstRowStripe" dxfId="272"/>
      <tableStyleElement type="secondRowStripe" dxfId="271"/>
    </tableStyle>
    <tableStyle name="Maquinas-style" pivot="0" count="4" xr9:uid="{00000000-0011-0000-FFFF-FFFF06000000}">
      <tableStyleElement type="headerRow" dxfId="270"/>
      <tableStyleElement type="totalRow" dxfId="269"/>
      <tableStyleElement type="firstRowStripe" dxfId="268"/>
      <tableStyleElement type="secondRowStripe" dxfId="267"/>
    </tableStyle>
    <tableStyle name="Maquinas-style 2" pivot="0" count="4" xr9:uid="{00000000-0011-0000-FFFF-FFFF07000000}">
      <tableStyleElement type="headerRow" dxfId="266"/>
      <tableStyleElement type="totalRow" dxfId="265"/>
      <tableStyleElement type="firstRowStripe" dxfId="264"/>
      <tableStyleElement type="secondRowStripe" dxfId="263"/>
    </tableStyle>
    <tableStyle name="Maquinas-style 3" pivot="0" count="4" xr9:uid="{00000000-0011-0000-FFFF-FFFF08000000}">
      <tableStyleElement type="headerRow" dxfId="262"/>
      <tableStyleElement type="totalRow" dxfId="261"/>
      <tableStyleElement type="firstRowStripe" dxfId="260"/>
      <tableStyleElement type="secondRowStripe" dxfId="259"/>
    </tableStyle>
    <tableStyle name="Gastos-style" pivot="0" count="2" xr9:uid="{00000000-0011-0000-FFFF-FFFF09000000}">
      <tableStyleElement type="firstRowStripe" dxfId="258"/>
      <tableStyleElement type="secondRowStripe" dxfId="257"/>
    </tableStyle>
    <tableStyle name="Gastos-style 2" pivot="0" count="4" xr9:uid="{00000000-0011-0000-FFFF-FFFF0A000000}">
      <tableStyleElement type="headerRow" dxfId="256"/>
      <tableStyleElement type="totalRow" dxfId="255"/>
      <tableStyleElement type="firstRowStripe" dxfId="254"/>
      <tableStyleElement type="secondRowStripe" dxfId="253"/>
    </tableStyle>
    <tableStyle name="Gastos-style 3" pivot="0" count="4" xr9:uid="{00000000-0011-0000-FFFF-FFFF0B000000}">
      <tableStyleElement type="headerRow" dxfId="252"/>
      <tableStyleElement type="totalRow" dxfId="251"/>
      <tableStyleElement type="firstRowStripe" dxfId="250"/>
      <tableStyleElement type="secondRowStripe" dxfId="249"/>
    </tableStyle>
    <tableStyle name="Gastos-style 4" pivot="0" count="4" xr9:uid="{00000000-0011-0000-FFFF-FFFF0C000000}">
      <tableStyleElement type="headerRow" dxfId="248"/>
      <tableStyleElement type="totalRow" dxfId="247"/>
      <tableStyleElement type="firstRowStripe" dxfId="246"/>
      <tableStyleElement type="secondRowStripe" dxfId="245"/>
    </tableStyle>
    <tableStyle name="Compras-style" pivot="0" count="4" xr9:uid="{00000000-0011-0000-FFFF-FFFF0D000000}">
      <tableStyleElement type="headerRow" dxfId="244"/>
      <tableStyleElement type="totalRow" dxfId="243"/>
      <tableStyleElement type="firstRowStripe" dxfId="242"/>
      <tableStyleElement type="secondRowStripe" dxfId="241"/>
    </tableStyle>
    <tableStyle name="Compras-style 2" pivot="0" count="4" xr9:uid="{00000000-0011-0000-FFFF-FFFF0E000000}">
      <tableStyleElement type="headerRow" dxfId="240"/>
      <tableStyleElement type="totalRow" dxfId="239"/>
      <tableStyleElement type="firstRowStripe" dxfId="238"/>
      <tableStyleElement type="secondRowStripe" dxfId="237"/>
    </tableStyle>
    <tableStyle name="Compras-style 3" pivot="0" count="4" xr9:uid="{00000000-0011-0000-FFFF-FFFF0F000000}">
      <tableStyleElement type="headerRow" dxfId="236"/>
      <tableStyleElement type="totalRow" dxfId="235"/>
      <tableStyleElement type="firstRowStripe" dxfId="234"/>
      <tableStyleElement type="secondRowStripe" dxfId="233"/>
    </tableStyle>
    <tableStyle name="Compras-style 4" pivot="0" count="4" xr9:uid="{00000000-0011-0000-FFFF-FFFF10000000}">
      <tableStyleElement type="headerRow" dxfId="232"/>
      <tableStyleElement type="totalRow" dxfId="231"/>
      <tableStyleElement type="firstRowStripe" dxfId="230"/>
      <tableStyleElement type="secondRowStripe" dxfId="229"/>
    </tableStyle>
    <tableStyle name="Depre-style" pivot="0" count="4" xr9:uid="{00000000-0011-0000-FFFF-FFFF11000000}">
      <tableStyleElement type="headerRow" dxfId="228"/>
      <tableStyleElement type="totalRow" dxfId="227"/>
      <tableStyleElement type="firstRowStripe" dxfId="226"/>
      <tableStyleElement type="secondRowStripe" dxfId="225"/>
    </tableStyle>
    <tableStyle name="Capital-style" pivot="0" count="4" xr9:uid="{00000000-0011-0000-FFFF-FFFF12000000}">
      <tableStyleElement type="headerRow" dxfId="224"/>
      <tableStyleElement type="totalRow" dxfId="223"/>
      <tableStyleElement type="firstRowStripe" dxfId="222"/>
      <tableStyleElement type="secondRowStripe" dxfId="221"/>
    </tableStyle>
    <tableStyle name="Amorti-style" pivot="0" count="3" xr9:uid="{00000000-0011-0000-FFFF-FFFF13000000}">
      <tableStyleElement type="headerRow" dxfId="220"/>
      <tableStyleElement type="firstRowStripe" dxfId="219"/>
      <tableStyleElement type="secondRowStripe" dxfId="218"/>
    </tableStyle>
    <tableStyle name="Amorti-style 2" pivot="0" count="2" xr9:uid="{00000000-0011-0000-FFFF-FFFF14000000}">
      <tableStyleElement type="firstRowStripe" dxfId="217"/>
      <tableStyleElement type="secondRowStripe" dxfId="216"/>
    </tableStyle>
    <tableStyle name="Amorti-style 3" pivot="0" count="2" xr9:uid="{00000000-0011-0000-FFFF-FFFF15000000}">
      <tableStyleElement type="firstRowStripe" dxfId="215"/>
      <tableStyleElement type="secondRowStripe" dxfId="214"/>
    </tableStyle>
    <tableStyle name="Amorti-style 4" pivot="0" count="2" xr9:uid="{00000000-0011-0000-FFFF-FFFF16000000}">
      <tableStyleElement type="firstRowStripe" dxfId="213"/>
      <tableStyleElement type="secondRowStripe" dxfId="212"/>
    </tableStyle>
    <tableStyle name="Amorti-style 5" pivot="0" count="2" xr9:uid="{00000000-0011-0000-FFFF-FFFF17000000}">
      <tableStyleElement type="firstRowStripe" dxfId="211"/>
      <tableStyleElement type="secondRowStripe" dxfId="210"/>
    </tableStyle>
    <tableStyle name="Amorti-style 6" pivot="0" count="2" xr9:uid="{00000000-0011-0000-FFFF-FFFF18000000}">
      <tableStyleElement type="firstRowStripe" dxfId="209"/>
      <tableStyleElement type="secondRowStripe" dxfId="208"/>
    </tableStyle>
    <tableStyle name="ER-style" pivot="0" count="2" xr9:uid="{00000000-0011-0000-FFFF-FFFF19000000}">
      <tableStyleElement type="firstRowStripe" dxfId="207"/>
      <tableStyleElement type="secondRowStripe" dxfId="206"/>
    </tableStyle>
    <tableStyle name="FlujoCaja-style" pivot="0" count="2" xr9:uid="{00000000-0011-0000-FFFF-FFFF1A000000}">
      <tableStyleElement type="firstRowStripe" dxfId="205"/>
      <tableStyleElement type="secondRowStripe" dxfId="204"/>
    </tableStyle>
    <tableStyle name="Invisible" pivot="0" table="0" count="0" xr9:uid="{81A7AFBC-3CE3-41D3-9E9C-472DE75D5D27}"/>
    <tableStyle name="Propuesta-style" pivot="0" count="4" xr9:uid="{00000000-0011-0000-FFFF-FFFF1B000000}">
      <tableStyleElement type="headerRow" dxfId="203"/>
      <tableStyleElement type="totalRow" dxfId="202"/>
      <tableStyleElement type="firstRowStripe" dxfId="201"/>
      <tableStyleElement type="secondRowStripe" dxfId="20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0</xdr:row>
      <xdr:rowOff>0</xdr:rowOff>
    </xdr:from>
    <xdr:to>
      <xdr:col>10</xdr:col>
      <xdr:colOff>647700</xdr:colOff>
      <xdr:row>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1120CA-EF69-0020-3145-D9693361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9150" y="0"/>
          <a:ext cx="2066925" cy="9429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971550</xdr:colOff>
      <xdr:row>0</xdr:row>
      <xdr:rowOff>47625</xdr:rowOff>
    </xdr:from>
    <xdr:to>
      <xdr:col>4</xdr:col>
      <xdr:colOff>304800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B3820C-44DE-415D-941E-69098ECE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47625"/>
          <a:ext cx="2066925" cy="942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0</xdr:row>
      <xdr:rowOff>0</xdr:rowOff>
    </xdr:from>
    <xdr:to>
      <xdr:col>8</xdr:col>
      <xdr:colOff>314325</xdr:colOff>
      <xdr:row>4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00264A-816C-4702-B344-5B8FF09A5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5575" y="0"/>
          <a:ext cx="2066925" cy="942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6</xdr:col>
      <xdr:colOff>276225</xdr:colOff>
      <xdr:row>4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EF81CA-9A29-4930-8616-2CBBD5C6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0"/>
          <a:ext cx="206692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24</xdr:row>
      <xdr:rowOff>9525</xdr:rowOff>
    </xdr:from>
    <xdr:to>
      <xdr:col>2</xdr:col>
      <xdr:colOff>400050</xdr:colOff>
      <xdr:row>25</xdr:row>
      <xdr:rowOff>187376</xdr:rowOff>
    </xdr:to>
    <xdr:pic>
      <xdr:nvPicPr>
        <xdr:cNvPr id="33" name="Imagen 2">
          <a:extLst>
            <a:ext uri="{FF2B5EF4-FFF2-40B4-BE49-F238E27FC236}">
              <a16:creationId xmlns:a16="http://schemas.microsoft.com/office/drawing/2014/main" id="{80FF6F78-CE3C-4038-B022-D914179E4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0300" y="4810125"/>
          <a:ext cx="1581150" cy="377876"/>
        </a:xfrm>
        <a:prstGeom prst="rect">
          <a:avLst/>
        </a:prstGeom>
      </xdr:spPr>
    </xdr:pic>
    <xdr:clientData/>
  </xdr:twoCellAnchor>
  <xdr:twoCellAnchor editAs="oneCell">
    <xdr:from>
      <xdr:col>0</xdr:col>
      <xdr:colOff>613965</xdr:colOff>
      <xdr:row>24</xdr:row>
      <xdr:rowOff>28575</xdr:rowOff>
    </xdr:from>
    <xdr:to>
      <xdr:col>1</xdr:col>
      <xdr:colOff>1285875</xdr:colOff>
      <xdr:row>25</xdr:row>
      <xdr:rowOff>180975</xdr:rowOff>
    </xdr:to>
    <xdr:pic>
      <xdr:nvPicPr>
        <xdr:cNvPr id="34" name="Imagen 4">
          <a:extLst>
            <a:ext uri="{FF2B5EF4-FFF2-40B4-BE49-F238E27FC236}">
              <a16:creationId xmlns:a16="http://schemas.microsoft.com/office/drawing/2014/main" id="{39D7211C-57B5-D855-9F77-3CC323833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9644"/>
        <a:stretch/>
      </xdr:blipFill>
      <xdr:spPr>
        <a:xfrm>
          <a:off x="613965" y="4829175"/>
          <a:ext cx="1433910" cy="352425"/>
        </a:xfrm>
        <a:prstGeom prst="rect">
          <a:avLst/>
        </a:prstGeom>
      </xdr:spPr>
    </xdr:pic>
    <xdr:clientData/>
  </xdr:twoCellAnchor>
  <xdr:oneCellAnchor>
    <xdr:from>
      <xdr:col>1</xdr:col>
      <xdr:colOff>1381125</xdr:colOff>
      <xdr:row>24</xdr:row>
      <xdr:rowOff>47625</xdr:rowOff>
    </xdr:from>
    <xdr:ext cx="253403" cy="264560"/>
    <xdr:sp macro="" textlink="">
      <xdr:nvSpPr>
        <xdr:cNvPr id="32" name="CuadroTexto 5">
          <a:extLst>
            <a:ext uri="{FF2B5EF4-FFF2-40B4-BE49-F238E27FC236}">
              <a16:creationId xmlns:a16="http://schemas.microsoft.com/office/drawing/2014/main" id="{8DF3F706-73D9-B513-5659-7B5CD87F1A3D}"/>
            </a:ext>
          </a:extLst>
        </xdr:cNvPr>
        <xdr:cNvSpPr txBox="1"/>
      </xdr:nvSpPr>
      <xdr:spPr>
        <a:xfrm>
          <a:off x="2143125" y="4848225"/>
          <a:ext cx="2534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Y</a:t>
          </a:r>
        </a:p>
      </xdr:txBody>
    </xdr:sp>
    <xdr:clientData/>
  </xdr:oneCellAnchor>
  <xdr:twoCellAnchor editAs="oneCell">
    <xdr:from>
      <xdr:col>3</xdr:col>
      <xdr:colOff>561975</xdr:colOff>
      <xdr:row>23</xdr:row>
      <xdr:rowOff>114300</xdr:rowOff>
    </xdr:from>
    <xdr:to>
      <xdr:col>3</xdr:col>
      <xdr:colOff>1808884</xdr:colOff>
      <xdr:row>25</xdr:row>
      <xdr:rowOff>171893</xdr:rowOff>
    </xdr:to>
    <xdr:pic>
      <xdr:nvPicPr>
        <xdr:cNvPr id="37" name="Imagen 6">
          <a:extLst>
            <a:ext uri="{FF2B5EF4-FFF2-40B4-BE49-F238E27FC236}">
              <a16:creationId xmlns:a16="http://schemas.microsoft.com/office/drawing/2014/main" id="{69ABC4AF-96C8-425F-810C-E0FF0C19C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9" b="5446"/>
        <a:stretch/>
      </xdr:blipFill>
      <xdr:spPr bwMode="auto">
        <a:xfrm>
          <a:off x="4905375" y="4714875"/>
          <a:ext cx="1246909" cy="4576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0</xdr:row>
      <xdr:rowOff>0</xdr:rowOff>
    </xdr:from>
    <xdr:to>
      <xdr:col>12</xdr:col>
      <xdr:colOff>581025</xdr:colOff>
      <xdr:row>4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7F586C-F121-44B9-8CF9-CFD4834B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01425" y="0"/>
          <a:ext cx="206692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26</xdr:row>
      <xdr:rowOff>28575</xdr:rowOff>
    </xdr:from>
    <xdr:to>
      <xdr:col>1</xdr:col>
      <xdr:colOff>1567260</xdr:colOff>
      <xdr:row>27</xdr:row>
      <xdr:rowOff>180975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24DB5512-468F-4201-A8DD-963FE3BC0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9644"/>
        <a:stretch/>
      </xdr:blipFill>
      <xdr:spPr>
        <a:xfrm>
          <a:off x="895350" y="5229225"/>
          <a:ext cx="1433910" cy="352425"/>
        </a:xfrm>
        <a:prstGeom prst="rect">
          <a:avLst/>
        </a:prstGeom>
      </xdr:spPr>
    </xdr:pic>
    <xdr:clientData/>
  </xdr:twoCellAnchor>
  <xdr:oneCellAnchor>
    <xdr:from>
      <xdr:col>1</xdr:col>
      <xdr:colOff>1600200</xdr:colOff>
      <xdr:row>26</xdr:row>
      <xdr:rowOff>38100</xdr:rowOff>
    </xdr:from>
    <xdr:ext cx="253403" cy="264560"/>
    <xdr:sp macro="" textlink="">
      <xdr:nvSpPr>
        <xdr:cNvPr id="9" name="CuadroTexto 3">
          <a:extLst>
            <a:ext uri="{FF2B5EF4-FFF2-40B4-BE49-F238E27FC236}">
              <a16:creationId xmlns:a16="http://schemas.microsoft.com/office/drawing/2014/main" id="{E3E2975A-E830-4B21-8666-EB00003AAC4F}"/>
            </a:ext>
          </a:extLst>
        </xdr:cNvPr>
        <xdr:cNvSpPr txBox="1"/>
      </xdr:nvSpPr>
      <xdr:spPr>
        <a:xfrm>
          <a:off x="2362200" y="5238750"/>
          <a:ext cx="2534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Y</a:t>
          </a:r>
        </a:p>
      </xdr:txBody>
    </xdr:sp>
    <xdr:clientData/>
  </xdr:oneCellAnchor>
  <xdr:twoCellAnchor editAs="oneCell">
    <xdr:from>
      <xdr:col>1</xdr:col>
      <xdr:colOff>1876425</xdr:colOff>
      <xdr:row>25</xdr:row>
      <xdr:rowOff>190500</xdr:rowOff>
    </xdr:from>
    <xdr:to>
      <xdr:col>2</xdr:col>
      <xdr:colOff>1104900</xdr:colOff>
      <xdr:row>27</xdr:row>
      <xdr:rowOff>168326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D22643A3-72CA-482B-B92B-0AEF59F76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38425" y="5191125"/>
          <a:ext cx="1581150" cy="377876"/>
        </a:xfrm>
        <a:prstGeom prst="rect">
          <a:avLst/>
        </a:prstGeom>
      </xdr:spPr>
    </xdr:pic>
    <xdr:clientData/>
  </xdr:twoCellAnchor>
  <xdr:twoCellAnchor editAs="oneCell">
    <xdr:from>
      <xdr:col>4</xdr:col>
      <xdr:colOff>1181100</xdr:colOff>
      <xdr:row>25</xdr:row>
      <xdr:rowOff>130309</xdr:rowOff>
    </xdr:from>
    <xdr:to>
      <xdr:col>6</xdr:col>
      <xdr:colOff>122959</xdr:colOff>
      <xdr:row>27</xdr:row>
      <xdr:rowOff>187902</xdr:rowOff>
    </xdr:to>
    <xdr:pic>
      <xdr:nvPicPr>
        <xdr:cNvPr id="13" name="Imagen 5">
          <a:extLst>
            <a:ext uri="{FF2B5EF4-FFF2-40B4-BE49-F238E27FC236}">
              <a16:creationId xmlns:a16="http://schemas.microsoft.com/office/drawing/2014/main" id="{1ECB2581-ED43-428B-BFBF-BBC70076F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9" b="5446"/>
        <a:stretch/>
      </xdr:blipFill>
      <xdr:spPr bwMode="auto">
        <a:xfrm>
          <a:off x="6553200" y="5130934"/>
          <a:ext cx="1246909" cy="4576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0</xdr:rowOff>
    </xdr:from>
    <xdr:to>
      <xdr:col>11</xdr:col>
      <xdr:colOff>209550</xdr:colOff>
      <xdr:row>3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A58B62-C463-4D3E-906A-00EAD2574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7850" y="0"/>
          <a:ext cx="2066925" cy="7715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0</xdr:row>
      <xdr:rowOff>152400</xdr:rowOff>
    </xdr:from>
    <xdr:to>
      <xdr:col>5</xdr:col>
      <xdr:colOff>2152650</xdr:colOff>
      <xdr:row>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690CAF-4504-4C29-8FE3-99C4A9504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152400"/>
          <a:ext cx="2066925" cy="9429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1276350</xdr:colOff>
      <xdr:row>0</xdr:row>
      <xdr:rowOff>0</xdr:rowOff>
    </xdr:from>
    <xdr:to>
      <xdr:col>5</xdr:col>
      <xdr:colOff>276225</xdr:colOff>
      <xdr:row>4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3C3A07-0FD9-46E2-9413-1A89053E8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25" y="0"/>
          <a:ext cx="2066925" cy="942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0</xdr:row>
      <xdr:rowOff>38100</xdr:rowOff>
    </xdr:from>
    <xdr:to>
      <xdr:col>7</xdr:col>
      <xdr:colOff>657225</xdr:colOff>
      <xdr:row>4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CE61B7-3608-49FA-A803-3D3E8281A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2450" y="38100"/>
          <a:ext cx="2066925" cy="942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1914525</xdr:colOff>
      <xdr:row>4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76799A-3DCB-4546-910E-4A340C033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14525" cy="942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0</xdr:rowOff>
    </xdr:from>
    <xdr:to>
      <xdr:col>10</xdr:col>
      <xdr:colOff>352425</xdr:colOff>
      <xdr:row>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A17951-674B-4853-94BE-30556614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6550" y="0"/>
          <a:ext cx="2066925" cy="942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0</xdr:row>
      <xdr:rowOff>0</xdr:rowOff>
    </xdr:from>
    <xdr:to>
      <xdr:col>12</xdr:col>
      <xdr:colOff>161925</xdr:colOff>
      <xdr:row>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D55F1B-3313-4458-B315-3FA1BDB4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39650" y="0"/>
          <a:ext cx="2066925" cy="9429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1085850</xdr:colOff>
      <xdr:row>0</xdr:row>
      <xdr:rowOff>104775</xdr:rowOff>
    </xdr:from>
    <xdr:to>
      <xdr:col>2</xdr:col>
      <xdr:colOff>3152775</xdr:colOff>
      <xdr:row>4</xdr:row>
      <xdr:rowOff>247650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BC4994-24E0-422D-B62F-958631E38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0950" y="104775"/>
          <a:ext cx="2066925" cy="9429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0</xdr:row>
      <xdr:rowOff>0</xdr:rowOff>
    </xdr:from>
    <xdr:to>
      <xdr:col>5</xdr:col>
      <xdr:colOff>190500</xdr:colOff>
      <xdr:row>3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C5F3D7-E8A5-413C-B73E-CE38BB0E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2950" y="0"/>
          <a:ext cx="2066925" cy="781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123825</xdr:rowOff>
    </xdr:from>
    <xdr:to>
      <xdr:col>4</xdr:col>
      <xdr:colOff>1276350</xdr:colOff>
      <xdr:row>5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B43385-DB31-4C7F-B5AC-93CCB3E1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23825"/>
          <a:ext cx="2066925" cy="942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0</xdr:row>
      <xdr:rowOff>0</xdr:rowOff>
    </xdr:from>
    <xdr:to>
      <xdr:col>4</xdr:col>
      <xdr:colOff>1095375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0A3001-B5C1-41EC-B237-9C8612AA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0"/>
          <a:ext cx="2066925" cy="762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8:F21" headerRowDxfId="199" dataDxfId="198" totalsRowDxfId="197">
  <tableColumns count="5">
    <tableColumn id="1" xr3:uid="{00000000-0010-0000-0000-000001000000}" name="Mes" dataDxfId="196"/>
    <tableColumn id="2" xr3:uid="{00000000-0010-0000-0000-000002000000}" name="Ocupación" dataDxfId="195"/>
    <tableColumn id="3" xr3:uid="{00000000-0010-0000-0000-000003000000}" name="Unidades" dataDxfId="194"/>
    <tableColumn id="4" xr3:uid="{00000000-0010-0000-0000-000004000000}" name="Precio" dataDxfId="193"/>
    <tableColumn id="5" xr3:uid="{00000000-0010-0000-0000-000005000000}" name="Total" dataDxfId="192"/>
  </tableColumns>
  <tableStyleInfo name="VentasMe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L5:L9" headerRowCount="0">
  <tableColumns count="1">
    <tableColumn id="1" xr3:uid="{00000000-0010-0000-0900-000001000000}" name="Column1"/>
  </tableColumns>
  <tableStyleInfo name="Gasto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6:I10" headerRowDxfId="111" dataDxfId="110" totalsRowDxfId="109">
  <tableColumns count="8">
    <tableColumn id="1" xr3:uid="{00000000-0010-0000-0A00-000001000000}" name="Columna1" dataDxfId="108"/>
    <tableColumn id="2" xr3:uid="{00000000-0010-0000-0A00-000002000000}" name="Columna2" dataDxfId="107"/>
    <tableColumn id="3" xr3:uid="{00000000-0010-0000-0A00-000003000000}" name="Columna3" dataDxfId="106"/>
    <tableColumn id="4" xr3:uid="{00000000-0010-0000-0A00-000004000000}" name="Columna4" dataDxfId="105"/>
    <tableColumn id="5" xr3:uid="{00000000-0010-0000-0A00-000005000000}" name="Columna5" dataDxfId="104"/>
    <tableColumn id="6" xr3:uid="{00000000-0010-0000-0A00-000006000000}" name="Columna6" dataDxfId="103"/>
    <tableColumn id="7" xr3:uid="{00000000-0010-0000-0A00-000007000000}" name="Columna7" dataDxfId="102"/>
    <tableColumn id="8" xr3:uid="{00000000-0010-0000-0A00-000008000000}" name="Columna8" dataDxfId="101"/>
  </tableColumns>
  <tableStyleInfo name="Gastos-style 2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13:I15" headerRowDxfId="100" dataDxfId="99" totalsRowDxfId="98">
  <tableColumns count="8">
    <tableColumn id="1" xr3:uid="{00000000-0010-0000-0B00-000001000000}" name="Descripción" dataDxfId="97"/>
    <tableColumn id="2" xr3:uid="{00000000-0010-0000-0B00-000002000000}" name="Costo (Mes)" dataDxfId="96"/>
    <tableColumn id="3" xr3:uid="{00000000-0010-0000-0B00-000003000000}" name="Año 1" dataDxfId="95"/>
    <tableColumn id="4" xr3:uid="{00000000-0010-0000-0B00-000004000000}" name="Año 2" dataDxfId="94"/>
    <tableColumn id="5" xr3:uid="{00000000-0010-0000-0B00-000005000000}" name="Año 3" dataDxfId="93"/>
    <tableColumn id="6" xr3:uid="{00000000-0010-0000-0B00-000006000000}" name="Año 4" dataDxfId="92"/>
    <tableColumn id="7" xr3:uid="{00000000-0010-0000-0B00-000007000000}" name="Año 5" dataDxfId="91"/>
    <tableColumn id="8" xr3:uid="{00000000-0010-0000-0B00-000008000000}" name="Año 0" dataDxfId="90"/>
  </tableColumns>
  <tableStyleInfo name="Gastos-style 3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18:I24" headerRowDxfId="89" dataDxfId="88" totalsRowDxfId="87">
  <tableColumns count="8">
    <tableColumn id="1" xr3:uid="{00000000-0010-0000-0C00-000001000000}" name="Descripción" dataDxfId="86"/>
    <tableColumn id="2" xr3:uid="{00000000-0010-0000-0C00-000002000000}" name="Costo (Mes)" dataDxfId="85"/>
    <tableColumn id="3" xr3:uid="{00000000-0010-0000-0C00-000003000000}" name="Año 1" dataDxfId="84"/>
    <tableColumn id="4" xr3:uid="{00000000-0010-0000-0C00-000004000000}" name="Año 2" dataDxfId="83"/>
    <tableColumn id="5" xr3:uid="{00000000-0010-0000-0C00-000005000000}" name="Año 3" dataDxfId="82"/>
    <tableColumn id="6" xr3:uid="{00000000-0010-0000-0C00-000006000000}" name="Año 4" dataDxfId="81"/>
    <tableColumn id="7" xr3:uid="{00000000-0010-0000-0C00-000007000000}" name="Año 5" dataDxfId="80"/>
    <tableColumn id="8" xr3:uid="{00000000-0010-0000-0C00-000008000000}" name="Año 0" dataDxfId="79"/>
  </tableColumns>
  <tableStyleInfo name="Gastos-style 4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_15" displayName="Table_15" ref="B31:G38" headerRowDxfId="78" dataDxfId="77" totalsRowDxfId="76">
  <tableColumns count="6">
    <tableColumn id="1" xr3:uid="{00000000-0010-0000-0E00-000001000000}" name="Descripción" dataDxfId="75"/>
    <tableColumn id="2" xr3:uid="{00000000-0010-0000-0E00-000002000000}" name="Tiempo" dataDxfId="74"/>
    <tableColumn id="3" xr3:uid="{00000000-0010-0000-0E00-000003000000}" name="Cantidad" dataDxfId="73"/>
    <tableColumn id="4" xr3:uid="{00000000-0010-0000-0E00-000004000000}" name="Unidad de_x000a_medida" dataDxfId="72"/>
    <tableColumn id="5" xr3:uid="{00000000-0010-0000-0E00-000005000000}" name="Precio" dataDxfId="71"/>
    <tableColumn id="6" xr3:uid="{00000000-0010-0000-0E00-000006000000}" name="Total" dataDxfId="70"/>
  </tableColumns>
  <tableStyleInfo name="Compras-style 2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_16" displayName="Table_16" ref="B43:G51" headerRowDxfId="69" dataDxfId="68" totalsRowDxfId="67">
  <tableColumns count="6">
    <tableColumn id="1" xr3:uid="{00000000-0010-0000-0F00-000001000000}" name="Descripción" dataDxfId="66"/>
    <tableColumn id="2" xr3:uid="{00000000-0010-0000-0F00-000002000000}" name="Tiempo" dataDxfId="65"/>
    <tableColumn id="3" xr3:uid="{00000000-0010-0000-0F00-000003000000}" name="Cantidad" dataDxfId="64"/>
    <tableColumn id="4" xr3:uid="{00000000-0010-0000-0F00-000004000000}" name="Unidad de_x000a_medida" dataDxfId="63"/>
    <tableColumn id="5" xr3:uid="{00000000-0010-0000-0F00-000005000000}" name="Precio" dataDxfId="62"/>
    <tableColumn id="6" xr3:uid="{00000000-0010-0000-0F00-000006000000}" name="Total" dataDxfId="61"/>
  </tableColumns>
  <tableStyleInfo name="Compras-style 3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Table_17" displayName="Table_17" ref="B56:G65" headerRowDxfId="60" dataDxfId="59" totalsRowDxfId="58">
  <tableColumns count="6">
    <tableColumn id="1" xr3:uid="{00000000-0010-0000-1000-000001000000}" name="Descripción" dataDxfId="57"/>
    <tableColumn id="2" xr3:uid="{00000000-0010-0000-1000-000002000000}" name="Tiempo" dataDxfId="56"/>
    <tableColumn id="3" xr3:uid="{00000000-0010-0000-1000-000003000000}" name="Cantidad" dataDxfId="55"/>
    <tableColumn id="4" xr3:uid="{00000000-0010-0000-1000-000004000000}" name="Unidad de_x000a_medida" dataDxfId="54"/>
    <tableColumn id="5" xr3:uid="{00000000-0010-0000-1000-000005000000}" name="CI Unitario" dataDxfId="53"/>
    <tableColumn id="6" xr3:uid="{00000000-0010-0000-1000-000006000000}" name="Total" dataDxfId="52"/>
  </tableColumns>
  <tableStyleInfo name="Compras-style 4" showFirstColumn="1" showLastColumn="1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1000000}" name="Table_18" displayName="Table_18" ref="B5:F9" headerRowDxfId="51" dataDxfId="50" totalsRowDxfId="49">
  <tableColumns count="5">
    <tableColumn id="1" xr3:uid="{00000000-0010-0000-1100-000001000000}" name="Concepto" dataDxfId="48"/>
    <tableColumn id="2" xr3:uid="{00000000-0010-0000-1100-000002000000}" name="Monto" dataDxfId="47"/>
    <tableColumn id="3" xr3:uid="{00000000-0010-0000-1100-000003000000}" name="Vida útil_x000a_(Años)" dataDxfId="46"/>
    <tableColumn id="4" xr3:uid="{00000000-0010-0000-1100-000004000000}" name="Depreciación_x000a_(%)" dataDxfId="45"/>
    <tableColumn id="5" xr3:uid="{00000000-0010-0000-1100-000005000000}" name="Depreciación_x000a_(Anual)" dataDxfId="44"/>
  </tableColumns>
  <tableStyleInfo name="Depre-style" showFirstColumn="1" showLastColumn="1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2000000}" name="Table_19" displayName="Table_19" ref="B7:E16" headerRowDxfId="43" dataDxfId="42" totalsRowDxfId="41">
  <tableColumns count="4">
    <tableColumn id="1" xr3:uid="{00000000-0010-0000-1200-000001000000}" name="Concepto" dataDxfId="40"/>
    <tableColumn id="2" xr3:uid="{00000000-0010-0000-1200-000002000000}" name="Aporte del emprendedor" dataDxfId="39"/>
    <tableColumn id="3" xr3:uid="{00000000-0010-0000-1200-000003000000}" name="Otras fuentes" dataDxfId="38"/>
    <tableColumn id="4" xr3:uid="{00000000-0010-0000-1200-000004000000}" name="Total" dataDxfId="37"/>
  </tableColumns>
  <tableStyleInfo name="Capital-style" showFirstColumn="1" showLastColumn="1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3000000}" name="Table_20" displayName="Table_20" ref="B10:G41" headerRowDxfId="36" dataDxfId="35" totalsRowDxfId="34">
  <tableColumns count="6">
    <tableColumn id="1" xr3:uid="{00000000-0010-0000-1300-000001000000}" name="Meses" dataDxfId="33"/>
    <tableColumn id="2" xr3:uid="{00000000-0010-0000-1300-000002000000}" name="Saldo" dataDxfId="32"/>
    <tableColumn id="3" xr3:uid="{00000000-0010-0000-1300-000003000000}" name="Abono a capital" dataDxfId="31"/>
    <tableColumn id="4" xr3:uid="{00000000-0010-0000-1300-000004000000}" name="Interés" dataDxfId="30"/>
    <tableColumn id="5" xr3:uid="{00000000-0010-0000-1300-000005000000}" name="Seguro" dataDxfId="29"/>
    <tableColumn id="6" xr3:uid="{00000000-0010-0000-1300-000006000000}" name="Valor de cuota" dataDxfId="28"/>
  </tableColumns>
  <tableStyleInfo name="Amorti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5:F39" totalsRowCount="1" headerRowDxfId="191" dataDxfId="190" totalsRowDxfId="189">
  <tableColumns count="5">
    <tableColumn id="1" xr3:uid="{00000000-0010-0000-0100-000001000000}" name="Mes" dataDxfId="187" totalsRowDxfId="188"/>
    <tableColumn id="2" xr3:uid="{00000000-0010-0000-0100-000002000000}" name="Ocupación" dataDxfId="185" totalsRowDxfId="186"/>
    <tableColumn id="3" xr3:uid="{00000000-0010-0000-0100-000003000000}" name="Unidades" dataDxfId="183" totalsRowDxfId="184"/>
    <tableColumn id="4" xr3:uid="{00000000-0010-0000-0100-000004000000}" name="Precio" dataDxfId="181" totalsRowDxfId="182"/>
    <tableColumn id="5" xr3:uid="{00000000-0010-0000-0100-000005000000}" name="Total" dataDxfId="179" totalsRowDxfId="180"/>
  </tableColumns>
  <tableStyleInfo name="VentasMes-style 2" showFirstColumn="1" showLastColumn="1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Table_21" displayName="Table_21" ref="B42:B43" headerRowCount="0" headerRowDxfId="27" dataDxfId="26" totalsRowDxfId="25">
  <tableColumns count="1">
    <tableColumn id="1" xr3:uid="{00000000-0010-0000-1400-000001000000}" name="Column1" dataDxfId="24"/>
  </tableColumns>
  <tableStyleInfo name="Amorti-style 2" showFirstColumn="1" showLastColumn="1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Table_22" displayName="Table_22" ref="B44:B52" headerRowCount="0" headerRowDxfId="23" dataDxfId="22" totalsRowDxfId="21">
  <tableColumns count="1">
    <tableColumn id="1" xr3:uid="{00000000-0010-0000-1500-000001000000}" name="Column1" dataDxfId="20"/>
  </tableColumns>
  <tableStyleInfo name="Amorti-style 3" showFirstColumn="1" showLastColumn="1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6000000}" name="Table_23" displayName="Table_23" ref="B53" headerRowCount="0" headerRowDxfId="19" dataDxfId="18" totalsRowDxfId="17">
  <tableColumns count="1">
    <tableColumn id="1" xr3:uid="{00000000-0010-0000-1600-000001000000}" name="Column1" dataDxfId="16"/>
  </tableColumns>
  <tableStyleInfo name="Amorti-style 4" showFirstColumn="1" showLastColumn="1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7000000}" name="Table_24" displayName="Table_24" ref="B54:B57" headerRowCount="0" headerRowDxfId="15" dataDxfId="14" totalsRowDxfId="13">
  <tableColumns count="1">
    <tableColumn id="1" xr3:uid="{00000000-0010-0000-1700-000001000000}" name="Column1" dataDxfId="12"/>
  </tableColumns>
  <tableStyleInfo name="Amorti-style 5" showFirstColumn="1" showLastColumn="1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8000000}" name="Table_25" displayName="Table_25" ref="B58" headerRowCount="0" headerRowDxfId="11" dataDxfId="10" totalsRowDxfId="9">
  <tableColumns count="1">
    <tableColumn id="1" xr3:uid="{00000000-0010-0000-1800-000001000000}" name="Column1" dataDxfId="8"/>
  </tableColumns>
  <tableStyleInfo name="Amorti-style 6" showFirstColumn="1" showLastColumn="1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9000000}" name="Table_26" displayName="Table_26" ref="J3:J7" headerRowCount="0" headerRowDxfId="7" dataDxfId="6" totalsRowDxfId="5">
  <tableColumns count="1">
    <tableColumn id="1" xr3:uid="{00000000-0010-0000-1900-000001000000}" name="Column1" dataDxfId="4"/>
  </tableColumns>
  <tableStyleInfo name="ER-style" showFirstColumn="1" showLastColumn="1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A000000}" name="Table_27" displayName="Table_27" ref="K6:K10" headerRowCount="0" headerRowDxfId="3" dataDxfId="2" totalsRowDxfId="1">
  <tableColumns count="1">
    <tableColumn id="1" xr3:uid="{00000000-0010-0000-1A00-000001000000}" name="Column1" dataDxfId="0"/>
  </tableColumns>
  <tableStyleInfo name="FlujoCaja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5:G6" headerRowDxfId="178" dataDxfId="177" totalsRowDxfId="176">
  <tableColumns count="6">
    <tableColumn id="1" xr3:uid="{00000000-0010-0000-0200-000001000000}" name="Años" dataDxfId="175"/>
    <tableColumn id="2" xr3:uid="{00000000-0010-0000-0200-000002000000}" name="Año 1" dataDxfId="174">
      <calculatedColumnFormula>(VentasMes!F45*G11)+VentasMes!F45</calculatedColumnFormula>
    </tableColumn>
    <tableColumn id="3" xr3:uid="{00000000-0010-0000-0200-000003000000}" name="Año 2" dataDxfId="173">
      <calculatedColumnFormula>(C6*G12)+C6</calculatedColumnFormula>
    </tableColumn>
    <tableColumn id="4" xr3:uid="{00000000-0010-0000-0200-000004000000}" name="Año 3" dataDxfId="172">
      <calculatedColumnFormula>(D6*G13)+D6</calculatedColumnFormula>
    </tableColumn>
    <tableColumn id="5" xr3:uid="{00000000-0010-0000-0200-000005000000}" name="Año 4" dataDxfId="171">
      <calculatedColumnFormula>(E6*G14)+E6</calculatedColumnFormula>
    </tableColumn>
    <tableColumn id="6" xr3:uid="{00000000-0010-0000-0200-000006000000}" name="Año 5" dataDxfId="170">
      <calculatedColumnFormula>(F6*G15)+F6</calculatedColumnFormula>
    </tableColumn>
  </tableColumns>
  <tableStyleInfo name="VentasAño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10:G15" headerRowDxfId="169" dataDxfId="168" totalsRowDxfId="167">
  <tableColumns count="6">
    <tableColumn id="1" xr3:uid="{00000000-0010-0000-0300-000001000000}" name="VENTAS " dataDxfId="166"/>
    <tableColumn id="2" xr3:uid="{00000000-0010-0000-0300-000002000000}" name="$" dataDxfId="165">
      <calculatedColumnFormula>(VentasMes!F45*G11)+VentasMes!F45</calculatedColumnFormula>
    </tableColumn>
    <tableColumn id="3" xr3:uid="{00000000-0010-0000-0300-000003000000}" name="IPC" dataDxfId="164"/>
    <tableColumn id="4" xr3:uid="{00000000-0010-0000-0300-000004000000}" name="%" dataDxfId="163"/>
    <tableColumn id="5" xr3:uid="{00000000-0010-0000-0300-000005000000}" name="Politica de Ventas" dataDxfId="162"/>
    <tableColumn id="6" xr3:uid="{00000000-0010-0000-0300-000006000000}" name="Total % Crecimiento" dataDxfId="161"/>
  </tableColumns>
  <tableStyleInfo name="VentasAños-style 2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5:J10" headerRowDxfId="160" dataDxfId="159" totalsRowDxfId="158">
  <tableColumns count="9">
    <tableColumn id="1" xr3:uid="{00000000-0010-0000-0400-000001000000}" name="Cargo" dataDxfId="157"/>
    <tableColumn id="2" xr3:uid="{00000000-0010-0000-0400-000002000000}" name="Valor_x000a_Sueldo" dataDxfId="156"/>
    <tableColumn id="3" xr3:uid="{00000000-0010-0000-0400-000003000000}" name="Auxilio de_x000a_transporte" dataDxfId="155"/>
    <tableColumn id="4" xr3:uid="{00000000-0010-0000-0400-000004000000}" name="Total_x000a_devengado" dataDxfId="154"/>
    <tableColumn id="5" xr3:uid="{00000000-0010-0000-0400-000005000000}" name="Deducciones_x000a_(Salud-Pensión)" dataDxfId="153"/>
    <tableColumn id="6" xr3:uid="{00000000-0010-0000-0400-000006000000}" name="Total_x000a_Nómina" dataDxfId="152"/>
    <tableColumn id="7" xr3:uid="{00000000-0010-0000-0400-000007000000}" name="Componente_x000a_Prestacional" dataDxfId="151"/>
    <tableColumn id="8" xr3:uid="{00000000-0010-0000-0400-000008000000}" name="(ARL y CCF)" dataDxfId="150"/>
    <tableColumn id="9" xr3:uid="{00000000-0010-0000-0400-000009000000}" name="Subtotal" dataDxfId="149"/>
  </tableColumns>
  <tableStyleInfo name="Nomina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15:K21" headerRowDxfId="148" dataDxfId="147" totalsRowDxfId="146">
  <tableColumns count="10">
    <tableColumn id="1" xr3:uid="{00000000-0010-0000-0500-000001000000}" name="ICBF" dataDxfId="145"/>
    <tableColumn id="2" xr3:uid="{00000000-0010-0000-0500-000002000000}" name="SENA" dataDxfId="144"/>
    <tableColumn id="3" xr3:uid="{00000000-0010-0000-0500-000003000000}" name="Salud" dataDxfId="143"/>
    <tableColumn id="4" xr3:uid="{00000000-0010-0000-0500-000004000000}" name="Pensión" dataDxfId="142"/>
    <tableColumn id="5" xr3:uid="{00000000-0010-0000-0500-000005000000}" name="Cesantías" dataDxfId="141"/>
    <tableColumn id="6" xr3:uid="{00000000-0010-0000-0500-000006000000}" name="Int. Cesantías" dataDxfId="140"/>
    <tableColumn id="7" xr3:uid="{00000000-0010-0000-0500-000007000000}" name="CCF" dataDxfId="139"/>
    <tableColumn id="8" xr3:uid="{00000000-0010-0000-0500-000008000000}" name="ARL (clase I)" dataDxfId="138"/>
    <tableColumn id="10" xr3:uid="{3B99AAAF-5D04-47AC-AD1E-FC3F37D8B058}" name="ARL (clase II)" dataDxfId="137"/>
    <tableColumn id="9" xr3:uid="{00000000-0010-0000-0500-000009000000}" name="Total" dataDxfId="136"/>
  </tableColumns>
  <tableStyleInfo name="Nomina-style 2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6:F25" headerRowDxfId="135" dataDxfId="134" totalsRowDxfId="133">
  <tableColumns count="5">
    <tableColumn id="1" xr3:uid="{00000000-0010-0000-0600-000001000000}" name="Nombre" dataDxfId="132"/>
    <tableColumn id="2" xr3:uid="{00000000-0010-0000-0600-000002000000}" name="Descripción" dataDxfId="131"/>
    <tableColumn id="3" xr3:uid="{00000000-0010-0000-0600-000003000000}" name="Cantidad" dataDxfId="130"/>
    <tableColumn id="4" xr3:uid="{00000000-0010-0000-0600-000004000000}" name="Costo" dataDxfId="129"/>
    <tableColumn id="5" xr3:uid="{00000000-0010-0000-0600-000005000000}" name="Subtotal" dataDxfId="128"/>
  </tableColumns>
  <tableStyleInfo name="Maquina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8:F36" headerRowDxfId="127" dataDxfId="126" totalsRowDxfId="125">
  <tableColumns count="5">
    <tableColumn id="1" xr3:uid="{00000000-0010-0000-0700-000001000000}" name="Nombre" dataDxfId="124"/>
    <tableColumn id="2" xr3:uid="{00000000-0010-0000-0700-000002000000}" name="Descripción" dataDxfId="123"/>
    <tableColumn id="3" xr3:uid="{00000000-0010-0000-0700-000003000000}" name="Cantidad" dataDxfId="122"/>
    <tableColumn id="4" xr3:uid="{00000000-0010-0000-0700-000004000000}" name="Costo" dataDxfId="121"/>
    <tableColumn id="5" xr3:uid="{00000000-0010-0000-0700-000005000000}" name="Subtotal" dataDxfId="120"/>
  </tableColumns>
  <tableStyleInfo name="Maquinas-style 2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8:F42" headerRowDxfId="119" dataDxfId="118" totalsRowDxfId="117">
  <tableColumns count="5">
    <tableColumn id="1" xr3:uid="{00000000-0010-0000-0800-000001000000}" name="Nombre" dataDxfId="116"/>
    <tableColumn id="2" xr3:uid="{00000000-0010-0000-0800-000002000000}" name="Descripción" dataDxfId="115"/>
    <tableColumn id="3" xr3:uid="{00000000-0010-0000-0800-000003000000}" name="Cantidad" dataDxfId="114"/>
    <tableColumn id="4" xr3:uid="{00000000-0010-0000-0800-000004000000}" name="Costo" dataDxfId="113"/>
    <tableColumn id="5" xr3:uid="{00000000-0010-0000-0800-000005000000}" name="Subtotal" dataDxfId="112"/>
  </tableColumns>
  <tableStyleInfo name="Maquinas-style 3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7" Type="http://schemas.openxmlformats.org/officeDocument/2006/relationships/table" Target="../tables/table24.xml"/><Relationship Id="rId2" Type="http://schemas.openxmlformats.org/officeDocument/2006/relationships/table" Target="../tables/table19.xml"/><Relationship Id="rId1" Type="http://schemas.openxmlformats.org/officeDocument/2006/relationships/drawing" Target="../drawings/drawing11.xml"/><Relationship Id="rId6" Type="http://schemas.openxmlformats.org/officeDocument/2006/relationships/table" Target="../tables/table23.xml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4.xml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articulo.mercadolibre.com.co/MCO-1203780646-estantes-de-pared-flotantes-de-estilo-unico-juego-de-2-24-_JM" TargetMode="External"/><Relationship Id="rId7" Type="http://schemas.openxmlformats.org/officeDocument/2006/relationships/table" Target="../tables/table9.xml"/><Relationship Id="rId2" Type="http://schemas.openxmlformats.org/officeDocument/2006/relationships/hyperlink" Target="https://articulo.mercadolibre.com.co/MCO-868844284-set-de-repisas-hexagonal-por-3-unidades-_JM?variation=174292245569" TargetMode="External"/><Relationship Id="rId1" Type="http://schemas.openxmlformats.org/officeDocument/2006/relationships/hyperlink" Target="https://www.amazon.com/-/es/sspa/click?ie=UTF8&amp;spc=MTo2NDExNTc4NTUzOTQ3NjYyOjE2OTgyNjQ5Nzc6c3BfYXRmOjIwMDA1NDQ5MDc3MDc5ODo6MDo6&amp;url=%2FFristaden-sobremesa-precisi%25C3%25B3n-cient%25C3%25ADfico-electrodo%2Fdp%2FB089LKXS65%2Fref%3Dsr_1_1_sspa%3Fadgrpid%3D125272285802%26hvadid%3D673144585875%26hvdev%3Dc%26hvlocphy%3D1029332%26hvnetw%3Dg%26hvqmt%3Db%26hvrand%3D7942657598377066565%26hvtargid%3Dkwd-436257787666%26hydadcr%3D29245_14775281%26keywords%3Dmedidor%2Bde%2Bph%2Bpara%2Blaboratorio%26qid%3D1698264977%26sr%3D8-1-spons%26sp_csd%3Dd2lkZ2V0TmFtZT1zcF9hdGY%26psc%3D1" TargetMode="External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7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table" Target="../tables/table14.xml"/><Relationship Id="rId1" Type="http://schemas.openxmlformats.org/officeDocument/2006/relationships/drawing" Target="../drawings/drawing8.xml"/><Relationship Id="rId4" Type="http://schemas.openxmlformats.org/officeDocument/2006/relationships/table" Target="../tables/table1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K1000"/>
  <sheetViews>
    <sheetView workbookViewId="0">
      <selection activeCell="H10" sqref="H10"/>
    </sheetView>
  </sheetViews>
  <sheetFormatPr defaultColWidth="14.42578125" defaultRowHeight="15" customHeight="1"/>
  <cols>
    <col min="1" max="1" width="10.7109375" customWidth="1"/>
    <col min="2" max="2" width="19" customWidth="1"/>
    <col min="3" max="3" width="16.42578125" customWidth="1"/>
    <col min="4" max="4" width="17.28515625" customWidth="1"/>
    <col min="5" max="5" width="15.7109375" customWidth="1"/>
    <col min="6" max="6" width="15" customWidth="1"/>
    <col min="7" max="7" width="15.85546875" customWidth="1"/>
    <col min="8" max="8" width="16.42578125" customWidth="1"/>
    <col min="9" max="26" width="10.7109375" customWidth="1"/>
  </cols>
  <sheetData>
    <row r="1" spans="1:11" ht="15.75">
      <c r="A1" s="1"/>
      <c r="B1" s="1"/>
      <c r="C1" s="1"/>
      <c r="D1" s="1"/>
      <c r="E1" s="1"/>
      <c r="F1" s="1"/>
      <c r="G1" s="64">
        <v>0.64200000000000002</v>
      </c>
      <c r="H1" s="57" t="s">
        <v>0</v>
      </c>
      <c r="I1" s="1"/>
      <c r="J1" s="1"/>
      <c r="K1" s="1"/>
    </row>
    <row r="2" spans="1:11" ht="15.75">
      <c r="A2" s="1"/>
      <c r="B2" s="1"/>
      <c r="C2" s="1"/>
      <c r="D2" s="1"/>
      <c r="E2" s="1"/>
      <c r="F2" s="1"/>
      <c r="G2" s="65">
        <v>0.26</v>
      </c>
      <c r="H2" s="57" t="s">
        <v>1</v>
      </c>
      <c r="I2" s="2"/>
      <c r="J2" s="1"/>
      <c r="K2" s="1"/>
    </row>
    <row r="3" spans="1:11">
      <c r="A3" s="1"/>
      <c r="B3" s="1"/>
      <c r="C3" s="1"/>
      <c r="D3" s="1"/>
      <c r="E3" s="1"/>
      <c r="F3" s="1"/>
      <c r="G3" s="3"/>
      <c r="H3" s="4"/>
      <c r="I3" s="1"/>
      <c r="J3" s="1"/>
      <c r="K3" s="1"/>
    </row>
    <row r="4" spans="1:11" ht="15.75">
      <c r="A4" s="54"/>
      <c r="B4" s="55" t="s">
        <v>2</v>
      </c>
      <c r="C4" s="55" t="s">
        <v>3</v>
      </c>
      <c r="D4" s="55" t="s">
        <v>4</v>
      </c>
      <c r="E4" s="55" t="s">
        <v>5</v>
      </c>
      <c r="F4" s="55" t="s">
        <v>6</v>
      </c>
      <c r="G4" s="55" t="s">
        <v>7</v>
      </c>
      <c r="H4" s="55" t="s">
        <v>8</v>
      </c>
      <c r="I4" s="1"/>
      <c r="J4" s="1"/>
      <c r="K4" s="1"/>
    </row>
    <row r="5" spans="1:11" ht="78.75">
      <c r="A5" s="55" t="s">
        <v>9</v>
      </c>
      <c r="B5" s="56" t="s">
        <v>10</v>
      </c>
      <c r="C5" s="56" t="s">
        <v>11</v>
      </c>
      <c r="D5" s="56" t="s">
        <v>12</v>
      </c>
      <c r="E5" s="56" t="s">
        <v>13</v>
      </c>
      <c r="F5" s="55" t="s">
        <v>14</v>
      </c>
      <c r="G5" s="56" t="s">
        <v>15</v>
      </c>
      <c r="H5" s="56" t="s">
        <v>16</v>
      </c>
      <c r="I5" s="1"/>
      <c r="J5" s="1"/>
      <c r="K5" s="1"/>
    </row>
    <row r="6" spans="1:11" ht="15.75">
      <c r="A6" s="57">
        <v>2019</v>
      </c>
      <c r="B6" s="58">
        <v>1335313</v>
      </c>
      <c r="C6" s="58">
        <v>533351</v>
      </c>
      <c r="D6" s="59">
        <f>C6*$G$1</f>
        <v>342411.342</v>
      </c>
      <c r="E6" s="58">
        <f t="shared" ref="E6:E10" si="0">(D6*52.2%)</f>
        <v>178738.720524</v>
      </c>
      <c r="F6" s="58">
        <f>D6*$G$2</f>
        <v>89026.94892000001</v>
      </c>
      <c r="G6" s="58">
        <f>(F6*2%)</f>
        <v>1780.5389784000001</v>
      </c>
      <c r="H6" s="58">
        <f>(G6*12)</f>
        <v>21366.467740800003</v>
      </c>
      <c r="I6" s="1"/>
      <c r="J6" s="1"/>
      <c r="K6" s="1"/>
    </row>
    <row r="7" spans="1:11" ht="15.75">
      <c r="A7" s="57">
        <v>2020</v>
      </c>
      <c r="B7" s="58">
        <v>1339998</v>
      </c>
      <c r="C7" s="58">
        <v>538467</v>
      </c>
      <c r="D7" s="59">
        <f>C7*$G$1</f>
        <v>345695.81400000001</v>
      </c>
      <c r="E7" s="58">
        <f t="shared" si="0"/>
        <v>180453.21490800002</v>
      </c>
      <c r="F7" s="58">
        <f>D7*$G$2</f>
        <v>89880.911640000006</v>
      </c>
      <c r="G7" s="58">
        <f t="shared" ref="G7:G9" si="1">(F7*2%)</f>
        <v>1797.6182328000002</v>
      </c>
      <c r="H7" s="58">
        <f t="shared" ref="H7:H10" si="2">(G7*12)</f>
        <v>21571.418793600002</v>
      </c>
      <c r="I7" s="1"/>
      <c r="J7" s="1"/>
      <c r="K7" s="1"/>
    </row>
    <row r="8" spans="1:11" ht="15.75">
      <c r="A8" s="57">
        <v>2021</v>
      </c>
      <c r="B8" s="58">
        <v>1343898</v>
      </c>
      <c r="C8" s="58">
        <v>542724</v>
      </c>
      <c r="D8" s="59">
        <f>C8*$G$1</f>
        <v>348428.80800000002</v>
      </c>
      <c r="E8" s="58">
        <f t="shared" si="0"/>
        <v>181879.83777600003</v>
      </c>
      <c r="F8" s="58">
        <f>D8*$G$2</f>
        <v>90591.490080000003</v>
      </c>
      <c r="G8" s="58">
        <f t="shared" si="1"/>
        <v>1811.8298016000001</v>
      </c>
      <c r="H8" s="58">
        <f t="shared" si="2"/>
        <v>21741.957619200002</v>
      </c>
      <c r="I8" s="1"/>
      <c r="J8" s="1"/>
      <c r="K8" s="1"/>
    </row>
    <row r="9" spans="1:11" ht="15.75">
      <c r="A9" s="60">
        <v>2022</v>
      </c>
      <c r="B9" s="61">
        <v>1346935</v>
      </c>
      <c r="C9" s="61">
        <v>543949</v>
      </c>
      <c r="D9" s="62">
        <f>C9*$G$1</f>
        <v>349215.25800000003</v>
      </c>
      <c r="E9" s="61">
        <f t="shared" si="0"/>
        <v>182290.36467600003</v>
      </c>
      <c r="F9" s="61">
        <f>D9*$G$2</f>
        <v>90795.967080000017</v>
      </c>
      <c r="G9" s="58">
        <f t="shared" si="1"/>
        <v>1815.9193416000003</v>
      </c>
      <c r="H9" s="61">
        <f t="shared" si="2"/>
        <v>21791.032099200005</v>
      </c>
      <c r="I9" s="1"/>
      <c r="J9" s="1"/>
      <c r="K9" s="1"/>
    </row>
    <row r="10" spans="1:11" ht="15.75">
      <c r="A10" s="57">
        <v>2023</v>
      </c>
      <c r="B10" s="58">
        <v>1374384</v>
      </c>
      <c r="C10" s="58">
        <v>545210</v>
      </c>
      <c r="D10" s="63">
        <f>C10*$G$1</f>
        <v>350024.82</v>
      </c>
      <c r="E10" s="58">
        <f t="shared" si="0"/>
        <v>182712.95604000002</v>
      </c>
      <c r="F10" s="58">
        <f>D10*$G$2</f>
        <v>91006.453200000004</v>
      </c>
      <c r="G10" s="58">
        <f>(F10*2%)</f>
        <v>1820.1290640000002</v>
      </c>
      <c r="H10" s="58">
        <f t="shared" si="2"/>
        <v>21841.548768000001</v>
      </c>
      <c r="I10" s="1"/>
      <c r="J10" s="1"/>
      <c r="K10" s="1"/>
    </row>
    <row r="11" spans="1:11" ht="19.5">
      <c r="A11" s="4"/>
      <c r="B11" s="5"/>
      <c r="C11" s="4"/>
      <c r="D11" s="4"/>
      <c r="E11" s="6"/>
      <c r="F11" s="4"/>
      <c r="G11" s="1"/>
      <c r="H11" s="4"/>
      <c r="I11" s="1"/>
      <c r="J11" s="1"/>
      <c r="K11" s="1"/>
    </row>
    <row r="12" spans="1:11">
      <c r="A12" s="4"/>
      <c r="B12" s="7"/>
      <c r="C12" s="4"/>
      <c r="D12" s="4"/>
      <c r="E12" s="4"/>
      <c r="F12" s="4"/>
      <c r="G12" s="1"/>
      <c r="H12" s="4"/>
      <c r="I12" s="1"/>
      <c r="J12" s="1"/>
      <c r="K12" s="1"/>
    </row>
    <row r="13" spans="1:11">
      <c r="A13" s="4"/>
      <c r="B13" s="52"/>
      <c r="C13" s="4"/>
      <c r="D13" s="4"/>
      <c r="E13" s="4"/>
      <c r="F13" s="4"/>
      <c r="G13" s="1"/>
      <c r="H13" s="4"/>
      <c r="I13" s="1"/>
      <c r="J13" s="1"/>
      <c r="K13" s="1"/>
    </row>
    <row r="14" spans="1:11" ht="15.75">
      <c r="A14" s="4"/>
      <c r="B14" s="53"/>
      <c r="C14" s="8"/>
      <c r="D14" s="4"/>
      <c r="E14" s="4"/>
      <c r="F14" s="4"/>
      <c r="G14" s="1"/>
      <c r="H14" s="4"/>
      <c r="I14" s="1"/>
      <c r="J14" s="1"/>
      <c r="K14" s="1"/>
    </row>
    <row r="15" spans="1:11" ht="15.75">
      <c r="A15" s="4"/>
      <c r="B15" s="52"/>
      <c r="C15" s="9"/>
      <c r="D15" s="4"/>
      <c r="E15" s="4"/>
      <c r="F15" s="4"/>
      <c r="G15" s="1"/>
      <c r="H15" s="4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Z1000"/>
  <sheetViews>
    <sheetView showGridLines="0" topLeftCell="A4" workbookViewId="0">
      <selection activeCell="I9" sqref="I9"/>
    </sheetView>
  </sheetViews>
  <sheetFormatPr defaultColWidth="14.42578125" defaultRowHeight="15" customHeight="1"/>
  <cols>
    <col min="1" max="1" width="11.42578125" customWidth="1"/>
    <col min="2" max="2" width="29.140625" customWidth="1"/>
    <col min="3" max="3" width="25.7109375" customWidth="1"/>
    <col min="4" max="4" width="15.28515625" customWidth="1"/>
    <col min="5" max="5" width="14.140625" bestFit="1" customWidth="1"/>
    <col min="6" max="6" width="11.42578125" customWidth="1"/>
    <col min="7" max="7" width="28.42578125" customWidth="1"/>
    <col min="8" max="8" width="25.42578125" customWidth="1"/>
    <col min="9" max="9" width="20.140625" customWidth="1"/>
    <col min="10" max="10" width="17.28515625" bestFit="1" customWidth="1"/>
    <col min="11" max="11" width="18.42578125" bestFit="1" customWidth="1"/>
    <col min="12" max="12" width="18.85546875" customWidth="1"/>
    <col min="13" max="26" width="11.42578125" customWidth="1"/>
  </cols>
  <sheetData>
    <row r="1" spans="1:26" ht="15.75">
      <c r="A1" s="13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3"/>
      <c r="B2" s="158" t="s">
        <v>301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3"/>
      <c r="B3" s="158" t="s">
        <v>302</v>
      </c>
      <c r="C3" s="140" t="s">
        <v>39</v>
      </c>
      <c r="D3" s="140"/>
      <c r="E3" s="140"/>
      <c r="F3" s="140"/>
      <c r="G3" s="140"/>
      <c r="H3" s="140"/>
      <c r="I3" s="140"/>
      <c r="J3" s="140"/>
      <c r="K3" s="140"/>
      <c r="L3" s="140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3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>
      <c r="A5" s="13"/>
      <c r="B5" s="140" t="s">
        <v>303</v>
      </c>
      <c r="C5" s="276"/>
      <c r="D5" s="140"/>
      <c r="E5" s="140"/>
      <c r="F5" s="140"/>
      <c r="G5" s="284"/>
      <c r="H5" s="284">
        <f>G5*30%</f>
        <v>0</v>
      </c>
      <c r="I5" s="140"/>
      <c r="J5" s="140"/>
      <c r="K5" s="140"/>
      <c r="L5" s="140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3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>
      <c r="A7" s="13"/>
      <c r="B7" s="140" t="s">
        <v>293</v>
      </c>
      <c r="C7" s="154" t="s">
        <v>304</v>
      </c>
      <c r="D7" s="154" t="s">
        <v>305</v>
      </c>
      <c r="E7" s="154" t="s">
        <v>51</v>
      </c>
      <c r="F7" s="140"/>
      <c r="G7" s="285" t="s">
        <v>306</v>
      </c>
      <c r="H7" s="285" t="s">
        <v>307</v>
      </c>
      <c r="I7" s="285" t="s">
        <v>308</v>
      </c>
      <c r="J7" s="285" t="s">
        <v>309</v>
      </c>
      <c r="K7" s="285" t="s">
        <v>310</v>
      </c>
      <c r="L7" s="285" t="s">
        <v>311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>
      <c r="A8" s="13"/>
      <c r="B8" s="140" t="s">
        <v>312</v>
      </c>
      <c r="C8" s="139"/>
      <c r="D8" s="139"/>
      <c r="E8" s="139">
        <f>Capital!$C8+Capital!$D8</f>
        <v>0</v>
      </c>
      <c r="F8" s="140"/>
      <c r="G8" s="286"/>
      <c r="H8" s="287">
        <f>Nomina!$J$12</f>
        <v>25463296.367400002</v>
      </c>
      <c r="I8" s="287">
        <f>(Gastos!$C$26)</f>
        <v>22692600</v>
      </c>
      <c r="J8" s="288">
        <f>(Compras!$C$70)</f>
        <v>219985400</v>
      </c>
      <c r="K8" s="287">
        <f>(Maquinas!$F$43)</f>
        <v>25353084</v>
      </c>
      <c r="L8" s="287">
        <f>SUM(H8:K8)</f>
        <v>293494380.36739999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3"/>
      <c r="B9" s="140" t="s">
        <v>313</v>
      </c>
      <c r="C9" s="139">
        <f>(H13)</f>
        <v>205446066.25717998</v>
      </c>
      <c r="D9" s="139"/>
      <c r="E9" s="139">
        <f>(C9)</f>
        <v>205446066.25717998</v>
      </c>
      <c r="F9" s="140"/>
      <c r="G9" s="140"/>
      <c r="H9" s="140"/>
      <c r="I9" s="140"/>
      <c r="J9" s="140"/>
      <c r="K9" s="140"/>
      <c r="L9" s="140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3"/>
      <c r="B10" s="140" t="s">
        <v>314</v>
      </c>
      <c r="C10" s="139"/>
      <c r="D10" s="139">
        <f>(H14)</f>
        <v>88048314.11022</v>
      </c>
      <c r="E10" s="139">
        <f>(D10)</f>
        <v>88048314.11022</v>
      </c>
      <c r="F10" s="140"/>
      <c r="G10" s="140"/>
      <c r="H10" s="140"/>
      <c r="I10" s="140"/>
      <c r="J10" s="140"/>
      <c r="K10" s="140"/>
      <c r="L10" s="140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3"/>
      <c r="B11" s="140" t="s">
        <v>315</v>
      </c>
      <c r="C11" s="139"/>
      <c r="D11" s="139"/>
      <c r="E11" s="139"/>
      <c r="F11" s="140"/>
      <c r="G11" s="140"/>
      <c r="H11" s="140"/>
      <c r="I11" s="140"/>
      <c r="J11" s="140" t="s">
        <v>316</v>
      </c>
      <c r="K11" s="140"/>
      <c r="L11" s="140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3"/>
      <c r="B12" s="140" t="s">
        <v>317</v>
      </c>
      <c r="C12" s="139"/>
      <c r="D12" s="139"/>
      <c r="E12" s="139"/>
      <c r="F12" s="140"/>
      <c r="G12" s="160" t="s">
        <v>318</v>
      </c>
      <c r="H12" s="289">
        <f>(L8)</f>
        <v>293494380.36739999</v>
      </c>
      <c r="I12" s="140"/>
      <c r="J12" s="15" t="s">
        <v>319</v>
      </c>
      <c r="K12" s="129">
        <f>H13*L12</f>
        <v>102723033.12858999</v>
      </c>
      <c r="L12" s="131">
        <v>0.5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3"/>
      <c r="B13" s="140" t="s">
        <v>320</v>
      </c>
      <c r="C13" s="139"/>
      <c r="D13" s="139"/>
      <c r="E13" s="139"/>
      <c r="F13" s="140"/>
      <c r="G13" s="160" t="s">
        <v>321</v>
      </c>
      <c r="H13" s="290">
        <f>(H12*70%)</f>
        <v>205446066.25717998</v>
      </c>
      <c r="I13" s="140"/>
      <c r="J13" s="15" t="s">
        <v>322</v>
      </c>
      <c r="K13" s="130">
        <f>H13*L13</f>
        <v>102723033.12858999</v>
      </c>
      <c r="L13" s="132">
        <v>0.5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3"/>
      <c r="B14" s="140" t="s">
        <v>323</v>
      </c>
      <c r="C14" s="139"/>
      <c r="D14" s="139"/>
      <c r="E14" s="139"/>
      <c r="F14" s="140"/>
      <c r="G14" s="160" t="s">
        <v>324</v>
      </c>
      <c r="H14" s="290">
        <f>(H12*30%)</f>
        <v>88048314.11022</v>
      </c>
      <c r="I14" s="140"/>
      <c r="J14" s="140"/>
      <c r="K14" s="140"/>
      <c r="L14" s="140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3"/>
      <c r="B15" s="140" t="s">
        <v>325</v>
      </c>
      <c r="C15" s="139"/>
      <c r="D15" s="139"/>
      <c r="E15" s="139"/>
      <c r="F15" s="140"/>
      <c r="G15" s="176"/>
      <c r="H15" s="140"/>
      <c r="I15" s="140"/>
      <c r="J15" s="140"/>
      <c r="K15" s="176"/>
      <c r="L15" s="176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3"/>
      <c r="B16" s="140" t="s">
        <v>51</v>
      </c>
      <c r="C16" s="139"/>
      <c r="D16" s="139"/>
      <c r="E16" s="139">
        <f>SUM(E8:E15)</f>
        <v>293494380.36739999</v>
      </c>
      <c r="F16" s="176"/>
      <c r="G16" s="425" t="s">
        <v>326</v>
      </c>
      <c r="H16" s="401" t="s">
        <v>307</v>
      </c>
      <c r="I16" s="398" t="s">
        <v>308</v>
      </c>
      <c r="J16" s="399" t="s">
        <v>309</v>
      </c>
      <c r="K16" s="395" t="s">
        <v>311</v>
      </c>
      <c r="L16" s="177"/>
      <c r="M16" s="50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3"/>
      <c r="B17" s="140"/>
      <c r="C17" s="140"/>
      <c r="D17" s="140"/>
      <c r="E17" s="140"/>
      <c r="F17" s="176"/>
      <c r="G17" s="425"/>
      <c r="H17" s="402">
        <f>Nomina!J12</f>
        <v>25463296.367400002</v>
      </c>
      <c r="I17" s="397">
        <f>Gastos!C27</f>
        <v>5673150</v>
      </c>
      <c r="J17" s="400">
        <f>Compras!C71</f>
        <v>54996350</v>
      </c>
      <c r="K17" s="397">
        <f>SUM(H17:J17)</f>
        <v>86132796.367400005</v>
      </c>
      <c r="L17" s="176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3"/>
      <c r="B18" s="140"/>
      <c r="C18" s="140"/>
      <c r="D18" s="140"/>
      <c r="E18" s="140"/>
      <c r="F18" s="140"/>
      <c r="G18" s="176"/>
      <c r="H18" s="176"/>
      <c r="I18" s="176"/>
      <c r="J18" s="176"/>
      <c r="K18" s="176"/>
      <c r="L18" s="140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">
    <mergeCell ref="G16:G17"/>
  </mergeCells>
  <pageMargins left="0.7" right="0.7" top="0.75" bottom="0.75" header="0" footer="0"/>
  <pageSetup orientation="landscape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Z971"/>
  <sheetViews>
    <sheetView showGridLines="0" workbookViewId="0">
      <selection activeCell="K12" sqref="K12"/>
    </sheetView>
  </sheetViews>
  <sheetFormatPr defaultColWidth="14.42578125" defaultRowHeight="15" customHeight="1"/>
  <cols>
    <col min="1" max="1" width="11.42578125" customWidth="1"/>
    <col min="2" max="2" width="20.7109375" customWidth="1"/>
    <col min="3" max="3" width="14.28515625" bestFit="1" customWidth="1"/>
    <col min="4" max="4" width="18.42578125" customWidth="1"/>
    <col min="5" max="5" width="18.85546875" customWidth="1"/>
    <col min="6" max="6" width="10.85546875" customWidth="1"/>
    <col min="7" max="7" width="17.42578125" customWidth="1"/>
    <col min="8" max="8" width="11.85546875" customWidth="1"/>
    <col min="9" max="9" width="12.5703125" bestFit="1" customWidth="1"/>
    <col min="10" max="10" width="18.140625" customWidth="1"/>
    <col min="11" max="11" width="19.140625" customWidth="1"/>
    <col min="12" max="12" width="15.140625" customWidth="1"/>
    <col min="13" max="26" width="11.42578125" customWidth="1"/>
  </cols>
  <sheetData>
    <row r="1" spans="1:26" ht="15.75">
      <c r="A1" s="140"/>
      <c r="B1" s="140"/>
      <c r="C1" s="142"/>
      <c r="D1" s="142"/>
      <c r="E1" s="142"/>
      <c r="F1" s="142"/>
      <c r="G1" s="142"/>
      <c r="H1" s="142"/>
      <c r="I1" s="106"/>
      <c r="J1" s="106"/>
      <c r="K1" s="106"/>
      <c r="L1" s="142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40"/>
      <c r="B2" s="158" t="s">
        <v>327</v>
      </c>
      <c r="C2" s="142"/>
      <c r="D2" s="142"/>
      <c r="E2" s="142"/>
      <c r="F2" s="142"/>
      <c r="G2" s="142"/>
      <c r="H2" s="142"/>
      <c r="I2" s="106"/>
      <c r="J2" s="106"/>
      <c r="K2" s="106"/>
      <c r="L2" s="142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40"/>
      <c r="B3" s="158" t="s">
        <v>302</v>
      </c>
      <c r="C3" s="142"/>
      <c r="D3" s="142"/>
      <c r="E3" s="142"/>
      <c r="F3" s="142"/>
      <c r="G3" s="142"/>
      <c r="H3" s="142"/>
      <c r="I3" s="106"/>
      <c r="J3" s="106"/>
      <c r="K3" s="106"/>
      <c r="L3" s="142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40"/>
      <c r="B4" s="140"/>
      <c r="C4" s="142"/>
      <c r="D4" s="142"/>
      <c r="E4" s="142"/>
      <c r="F4" s="142"/>
      <c r="G4" s="142"/>
      <c r="H4" s="142"/>
      <c r="I4" s="142"/>
      <c r="J4" s="155"/>
      <c r="K4" s="155"/>
      <c r="L4" s="155"/>
      <c r="N4" s="19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>
      <c r="A5" s="140"/>
      <c r="B5" s="292" t="s">
        <v>328</v>
      </c>
      <c r="C5" s="293">
        <f>(Capital!E10)</f>
        <v>88048314.11022</v>
      </c>
      <c r="D5" s="294"/>
      <c r="E5" s="142" t="s">
        <v>329</v>
      </c>
      <c r="F5" s="142"/>
      <c r="G5" s="142"/>
      <c r="H5" s="142"/>
      <c r="I5" s="142"/>
      <c r="J5" s="155"/>
      <c r="K5" s="155"/>
      <c r="L5" s="155"/>
      <c r="N5" s="19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40"/>
      <c r="B6" s="292" t="s">
        <v>330</v>
      </c>
      <c r="C6" s="295">
        <f>E6/12</f>
        <v>2.0833333333333332E-2</v>
      </c>
      <c r="D6" s="294"/>
      <c r="E6" s="276">
        <v>0.25</v>
      </c>
      <c r="F6" s="142"/>
      <c r="G6" s="142"/>
      <c r="H6" s="142"/>
      <c r="I6" s="296"/>
      <c r="J6" s="155"/>
      <c r="K6" s="155"/>
      <c r="L6" s="155"/>
      <c r="N6" s="28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>
      <c r="A7" s="140"/>
      <c r="B7" s="292" t="s">
        <v>331</v>
      </c>
      <c r="C7" s="294">
        <v>50</v>
      </c>
      <c r="D7" s="294"/>
      <c r="E7" s="142"/>
      <c r="F7" s="142"/>
      <c r="G7" s="142"/>
      <c r="H7" s="142"/>
      <c r="I7" s="106"/>
      <c r="J7" s="106"/>
      <c r="K7" s="106"/>
      <c r="L7" s="142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>
      <c r="A8" s="140"/>
      <c r="B8" s="292" t="s">
        <v>332</v>
      </c>
      <c r="C8" s="293">
        <v>24000</v>
      </c>
      <c r="D8" s="294"/>
      <c r="E8" s="142"/>
      <c r="F8" s="142"/>
      <c r="G8" s="142"/>
      <c r="H8" s="142"/>
      <c r="I8" s="106"/>
      <c r="J8" s="106"/>
      <c r="K8" s="106"/>
      <c r="L8" s="142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40"/>
      <c r="B9" s="140"/>
      <c r="C9" s="142"/>
      <c r="D9" s="142"/>
      <c r="E9" s="142"/>
      <c r="F9" s="142"/>
      <c r="G9" s="142"/>
      <c r="H9" s="142"/>
      <c r="I9" s="106"/>
      <c r="J9" s="106"/>
      <c r="K9" s="106"/>
      <c r="L9" s="142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40"/>
      <c r="B10" s="140" t="s">
        <v>333</v>
      </c>
      <c r="C10" s="142" t="s">
        <v>334</v>
      </c>
      <c r="D10" s="142" t="s">
        <v>335</v>
      </c>
      <c r="E10" s="142" t="s">
        <v>336</v>
      </c>
      <c r="F10" s="142" t="s">
        <v>337</v>
      </c>
      <c r="G10" s="142" t="s">
        <v>338</v>
      </c>
      <c r="H10" s="142"/>
      <c r="I10" s="106"/>
      <c r="J10" s="106"/>
      <c r="K10" s="106"/>
      <c r="L10" s="142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40"/>
      <c r="B11" s="140" t="s">
        <v>339</v>
      </c>
      <c r="C11" s="291">
        <f>(C5)</f>
        <v>88048314.11022</v>
      </c>
      <c r="D11" s="291">
        <f t="shared" ref="D11:D60" si="0">(C$5/C$7)</f>
        <v>1760966.2822044</v>
      </c>
      <c r="E11" s="291">
        <f t="shared" ref="E11:E60" si="1">C11*C$6</f>
        <v>1834339.8772962498</v>
      </c>
      <c r="F11" s="291">
        <f t="shared" ref="F11:F60" si="2">(C$8)</f>
        <v>24000</v>
      </c>
      <c r="G11" s="291">
        <f t="shared" ref="G11:G60" si="3">SUM(D11:F11)</f>
        <v>3619306.1595006501</v>
      </c>
      <c r="H11" s="142"/>
      <c r="I11" s="106"/>
      <c r="J11" s="106"/>
      <c r="K11" s="106"/>
      <c r="L11" s="142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40"/>
      <c r="B12" s="140" t="s">
        <v>340</v>
      </c>
      <c r="C12" s="291">
        <f t="shared" ref="C12:C61" si="4">(C11-D11)</f>
        <v>86287347.828015596</v>
      </c>
      <c r="D12" s="291">
        <f t="shared" si="0"/>
        <v>1760966.2822044</v>
      </c>
      <c r="E12" s="291">
        <f t="shared" si="1"/>
        <v>1797653.0797503248</v>
      </c>
      <c r="F12" s="291">
        <f t="shared" si="2"/>
        <v>24000</v>
      </c>
      <c r="G12" s="291">
        <f t="shared" si="3"/>
        <v>3582619.3619547249</v>
      </c>
      <c r="H12" s="142"/>
      <c r="I12" s="106"/>
      <c r="J12" s="106"/>
      <c r="K12" s="106"/>
      <c r="L12" s="142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40"/>
      <c r="B13" s="140" t="s">
        <v>341</v>
      </c>
      <c r="C13" s="291">
        <f t="shared" si="4"/>
        <v>84526381.545811191</v>
      </c>
      <c r="D13" s="291">
        <f t="shared" si="0"/>
        <v>1760966.2822044</v>
      </c>
      <c r="E13" s="291">
        <f t="shared" si="1"/>
        <v>1760966.2822043998</v>
      </c>
      <c r="F13" s="291">
        <f t="shared" si="2"/>
        <v>24000</v>
      </c>
      <c r="G13" s="291">
        <f t="shared" si="3"/>
        <v>3545932.5644087996</v>
      </c>
      <c r="H13" s="142"/>
      <c r="I13" s="106"/>
      <c r="J13" s="106"/>
      <c r="K13" s="106"/>
      <c r="L13" s="142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40"/>
      <c r="B14" s="140" t="s">
        <v>342</v>
      </c>
      <c r="C14" s="291">
        <f t="shared" si="4"/>
        <v>82765415.263606787</v>
      </c>
      <c r="D14" s="291">
        <f t="shared" si="0"/>
        <v>1760966.2822044</v>
      </c>
      <c r="E14" s="291">
        <f t="shared" si="1"/>
        <v>1724279.4846584746</v>
      </c>
      <c r="F14" s="291">
        <f t="shared" si="2"/>
        <v>24000</v>
      </c>
      <c r="G14" s="291">
        <f t="shared" si="3"/>
        <v>3509245.7668628749</v>
      </c>
      <c r="H14" s="142"/>
      <c r="I14" s="106"/>
      <c r="J14" s="106"/>
      <c r="K14" s="106"/>
      <c r="L14" s="142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40"/>
      <c r="B15" s="140" t="s">
        <v>343</v>
      </c>
      <c r="C15" s="291">
        <f t="shared" si="4"/>
        <v>81004448.981402382</v>
      </c>
      <c r="D15" s="291">
        <f t="shared" si="0"/>
        <v>1760966.2822044</v>
      </c>
      <c r="E15" s="291">
        <f t="shared" si="1"/>
        <v>1687592.6871125496</v>
      </c>
      <c r="F15" s="291">
        <f t="shared" si="2"/>
        <v>24000</v>
      </c>
      <c r="G15" s="291">
        <f t="shared" si="3"/>
        <v>3472558.9693169496</v>
      </c>
      <c r="H15" s="142"/>
      <c r="I15" s="106"/>
      <c r="J15" s="106"/>
      <c r="K15" s="106"/>
      <c r="L15" s="142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40"/>
      <c r="B16" s="140" t="s">
        <v>344</v>
      </c>
      <c r="C16" s="291">
        <f t="shared" si="4"/>
        <v>79243482.699197978</v>
      </c>
      <c r="D16" s="291">
        <f t="shared" si="0"/>
        <v>1760966.2822044</v>
      </c>
      <c r="E16" s="291">
        <f>C16*C$6</f>
        <v>1650905.8895666245</v>
      </c>
      <c r="F16" s="291">
        <f t="shared" si="2"/>
        <v>24000</v>
      </c>
      <c r="G16" s="291">
        <f t="shared" si="3"/>
        <v>3435872.1717710244</v>
      </c>
      <c r="H16" s="142"/>
      <c r="I16" s="106"/>
      <c r="J16" s="106"/>
      <c r="K16" s="106"/>
      <c r="L16" s="142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40"/>
      <c r="B17" s="140" t="s">
        <v>345</v>
      </c>
      <c r="C17" s="291">
        <f t="shared" si="4"/>
        <v>77482516.416993573</v>
      </c>
      <c r="D17" s="291">
        <f t="shared" si="0"/>
        <v>1760966.2822044</v>
      </c>
      <c r="E17" s="291">
        <f t="shared" si="1"/>
        <v>1614219.0920206993</v>
      </c>
      <c r="F17" s="291">
        <f t="shared" si="2"/>
        <v>24000</v>
      </c>
      <c r="G17" s="291">
        <f t="shared" si="3"/>
        <v>3399185.3742250996</v>
      </c>
      <c r="H17" s="142"/>
      <c r="I17" s="106"/>
      <c r="J17" s="106"/>
      <c r="K17" s="106"/>
      <c r="L17" s="142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40"/>
      <c r="B18" s="140" t="s">
        <v>346</v>
      </c>
      <c r="C18" s="291">
        <f t="shared" si="4"/>
        <v>75721550.134789169</v>
      </c>
      <c r="D18" s="291">
        <f t="shared" si="0"/>
        <v>1760966.2822044</v>
      </c>
      <c r="E18" s="291">
        <f t="shared" si="1"/>
        <v>1577532.2944747743</v>
      </c>
      <c r="F18" s="291">
        <f t="shared" si="2"/>
        <v>24000</v>
      </c>
      <c r="G18" s="291">
        <f t="shared" si="3"/>
        <v>3362498.5766791743</v>
      </c>
      <c r="H18" s="142"/>
      <c r="I18" s="106"/>
      <c r="J18" s="106"/>
      <c r="K18" s="106"/>
      <c r="L18" s="142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>
      <c r="A19" s="140"/>
      <c r="B19" s="140" t="s">
        <v>347</v>
      </c>
      <c r="C19" s="291">
        <f t="shared" si="4"/>
        <v>73960583.852584764</v>
      </c>
      <c r="D19" s="291">
        <f t="shared" si="0"/>
        <v>1760966.2822044</v>
      </c>
      <c r="E19" s="291">
        <f t="shared" si="1"/>
        <v>1540845.4969288493</v>
      </c>
      <c r="F19" s="291">
        <f t="shared" si="2"/>
        <v>24000</v>
      </c>
      <c r="G19" s="291">
        <f t="shared" si="3"/>
        <v>3325811.7791332491</v>
      </c>
      <c r="H19" s="142"/>
      <c r="I19" s="106"/>
      <c r="J19" s="106"/>
      <c r="K19" s="106"/>
      <c r="L19" s="142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>
      <c r="A20" s="140"/>
      <c r="B20" s="140" t="s">
        <v>348</v>
      </c>
      <c r="C20" s="291">
        <f t="shared" si="4"/>
        <v>72199617.57038036</v>
      </c>
      <c r="D20" s="291">
        <f t="shared" si="0"/>
        <v>1760966.2822044</v>
      </c>
      <c r="E20" s="291">
        <f t="shared" si="1"/>
        <v>1504158.699382924</v>
      </c>
      <c r="F20" s="291">
        <f t="shared" si="2"/>
        <v>24000</v>
      </c>
      <c r="G20" s="291">
        <f t="shared" si="3"/>
        <v>3289124.9815873243</v>
      </c>
      <c r="H20" s="142"/>
      <c r="I20" s="106"/>
      <c r="J20" s="106"/>
      <c r="K20" s="106"/>
      <c r="L20" s="142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40"/>
      <c r="B21" s="140" t="s">
        <v>349</v>
      </c>
      <c r="C21" s="291">
        <f t="shared" si="4"/>
        <v>70438651.288175955</v>
      </c>
      <c r="D21" s="291">
        <f t="shared" si="0"/>
        <v>1760966.2822044</v>
      </c>
      <c r="E21" s="291">
        <f t="shared" si="1"/>
        <v>1467471.901836999</v>
      </c>
      <c r="F21" s="291">
        <f t="shared" si="2"/>
        <v>24000</v>
      </c>
      <c r="G21" s="291">
        <f t="shared" si="3"/>
        <v>3252438.184041399</v>
      </c>
      <c r="H21" s="297" t="s">
        <v>350</v>
      </c>
      <c r="I21" s="107" t="s">
        <v>336</v>
      </c>
      <c r="J21" s="107" t="s">
        <v>337</v>
      </c>
      <c r="K21" s="108" t="s">
        <v>351</v>
      </c>
      <c r="L21" s="142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40"/>
      <c r="B22" s="140" t="s">
        <v>352</v>
      </c>
      <c r="C22" s="291">
        <f t="shared" si="4"/>
        <v>68677685.005971551</v>
      </c>
      <c r="D22" s="291">
        <f t="shared" si="0"/>
        <v>1760966.2822044</v>
      </c>
      <c r="E22" s="291">
        <f t="shared" si="1"/>
        <v>1430785.104291074</v>
      </c>
      <c r="F22" s="291">
        <f t="shared" si="2"/>
        <v>24000</v>
      </c>
      <c r="G22" s="291">
        <f t="shared" si="3"/>
        <v>3215751.3864954738</v>
      </c>
      <c r="H22" s="298">
        <f t="shared" ref="H22:I22" si="5">SUM(D11:D22)</f>
        <v>21131595.386452805</v>
      </c>
      <c r="I22" s="109">
        <f t="shared" si="5"/>
        <v>19590749.889523942</v>
      </c>
      <c r="J22" s="109">
        <f>SUM(F11:F22)</f>
        <v>288000</v>
      </c>
      <c r="K22" s="110">
        <f>I22+J22</f>
        <v>19878749.889523942</v>
      </c>
      <c r="L22" s="142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40"/>
      <c r="B23" s="140" t="s">
        <v>353</v>
      </c>
      <c r="C23" s="291">
        <f t="shared" si="4"/>
        <v>66916718.723767154</v>
      </c>
      <c r="D23" s="291">
        <f t="shared" si="0"/>
        <v>1760966.2822044</v>
      </c>
      <c r="E23" s="291">
        <f t="shared" si="1"/>
        <v>1394098.306745149</v>
      </c>
      <c r="F23" s="291">
        <f t="shared" si="2"/>
        <v>24000</v>
      </c>
      <c r="G23" s="291">
        <f t="shared" si="3"/>
        <v>3179064.588949549</v>
      </c>
      <c r="H23" s="142"/>
      <c r="I23" s="106"/>
      <c r="J23" s="106"/>
      <c r="K23" s="106"/>
      <c r="L23" s="142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40"/>
      <c r="B24" s="140" t="s">
        <v>354</v>
      </c>
      <c r="C24" s="291">
        <f t="shared" si="4"/>
        <v>65155752.441562757</v>
      </c>
      <c r="D24" s="291">
        <f t="shared" si="0"/>
        <v>1760966.2822044</v>
      </c>
      <c r="E24" s="291">
        <f t="shared" si="1"/>
        <v>1357411.5091992239</v>
      </c>
      <c r="F24" s="291">
        <f t="shared" si="2"/>
        <v>24000</v>
      </c>
      <c r="G24" s="291">
        <f t="shared" si="3"/>
        <v>3142377.7914036242</v>
      </c>
      <c r="H24" s="142"/>
      <c r="I24" s="106"/>
      <c r="J24" s="106"/>
      <c r="K24" s="106"/>
      <c r="L24" s="142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40"/>
      <c r="B25" s="140" t="s">
        <v>355</v>
      </c>
      <c r="C25" s="291">
        <f t="shared" si="4"/>
        <v>63394786.15935836</v>
      </c>
      <c r="D25" s="291">
        <f t="shared" si="0"/>
        <v>1760966.2822044</v>
      </c>
      <c r="E25" s="291">
        <f t="shared" si="1"/>
        <v>1320724.7116532992</v>
      </c>
      <c r="F25" s="291">
        <f t="shared" si="2"/>
        <v>24000</v>
      </c>
      <c r="G25" s="291">
        <f t="shared" si="3"/>
        <v>3105690.9938576994</v>
      </c>
      <c r="H25" s="142"/>
      <c r="I25" s="106"/>
      <c r="J25" s="106"/>
      <c r="K25" s="106"/>
      <c r="L25" s="142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40"/>
      <c r="B26" s="140" t="s">
        <v>356</v>
      </c>
      <c r="C26" s="291">
        <f t="shared" si="4"/>
        <v>61633819.877153963</v>
      </c>
      <c r="D26" s="291">
        <f t="shared" si="0"/>
        <v>1760966.2822044</v>
      </c>
      <c r="E26" s="291">
        <f t="shared" si="1"/>
        <v>1284037.9141073741</v>
      </c>
      <c r="F26" s="291">
        <f t="shared" si="2"/>
        <v>24000</v>
      </c>
      <c r="G26" s="291">
        <f t="shared" si="3"/>
        <v>3069004.1963117742</v>
      </c>
      <c r="H26" s="142"/>
      <c r="I26" s="106"/>
      <c r="J26" s="106"/>
      <c r="K26" s="106"/>
      <c r="L26" s="142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40"/>
      <c r="B27" s="140" t="s">
        <v>357</v>
      </c>
      <c r="C27" s="291">
        <f t="shared" si="4"/>
        <v>59872853.594949566</v>
      </c>
      <c r="D27" s="291">
        <f t="shared" si="0"/>
        <v>1760966.2822044</v>
      </c>
      <c r="E27" s="291">
        <f t="shared" si="1"/>
        <v>1247351.1165614491</v>
      </c>
      <c r="F27" s="291">
        <f t="shared" si="2"/>
        <v>24000</v>
      </c>
      <c r="G27" s="291">
        <f t="shared" si="3"/>
        <v>3032317.3987658489</v>
      </c>
      <c r="H27" s="142"/>
      <c r="I27" s="106"/>
      <c r="J27" s="106"/>
      <c r="K27" s="106"/>
      <c r="L27" s="142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40"/>
      <c r="B28" s="140" t="s">
        <v>358</v>
      </c>
      <c r="C28" s="291">
        <f t="shared" si="4"/>
        <v>58111887.312745169</v>
      </c>
      <c r="D28" s="291">
        <f t="shared" si="0"/>
        <v>1760966.2822044</v>
      </c>
      <c r="E28" s="291">
        <f t="shared" si="1"/>
        <v>1210664.3190155244</v>
      </c>
      <c r="F28" s="291">
        <f t="shared" si="2"/>
        <v>24000</v>
      </c>
      <c r="G28" s="291">
        <f t="shared" si="3"/>
        <v>2995630.6012199242</v>
      </c>
      <c r="H28" s="142"/>
      <c r="I28" s="106"/>
      <c r="J28" s="106"/>
      <c r="K28" s="106"/>
      <c r="L28" s="142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40"/>
      <c r="B29" s="140" t="s">
        <v>359</v>
      </c>
      <c r="C29" s="291">
        <f t="shared" si="4"/>
        <v>56350921.030540772</v>
      </c>
      <c r="D29" s="291">
        <f t="shared" si="0"/>
        <v>1760966.2822044</v>
      </c>
      <c r="E29" s="291">
        <f t="shared" si="1"/>
        <v>1173977.5214695993</v>
      </c>
      <c r="F29" s="291">
        <f t="shared" si="2"/>
        <v>24000</v>
      </c>
      <c r="G29" s="291">
        <f t="shared" si="3"/>
        <v>2958943.8036739994</v>
      </c>
      <c r="H29" s="142"/>
      <c r="I29" s="106"/>
      <c r="J29" s="106"/>
      <c r="K29" s="106"/>
      <c r="L29" s="142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40"/>
      <c r="B30" s="140" t="s">
        <v>360</v>
      </c>
      <c r="C30" s="291">
        <f t="shared" si="4"/>
        <v>54589954.748336375</v>
      </c>
      <c r="D30" s="291">
        <f t="shared" si="0"/>
        <v>1760966.2822044</v>
      </c>
      <c r="E30" s="291">
        <f t="shared" si="1"/>
        <v>1137290.7239236743</v>
      </c>
      <c r="F30" s="291">
        <f t="shared" si="2"/>
        <v>24000</v>
      </c>
      <c r="G30" s="291">
        <f t="shared" si="3"/>
        <v>2922257.0061280746</v>
      </c>
      <c r="H30" s="142"/>
      <c r="I30" s="106"/>
      <c r="J30" s="106"/>
      <c r="K30" s="106"/>
      <c r="L30" s="142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40"/>
      <c r="B31" s="140" t="s">
        <v>361</v>
      </c>
      <c r="C31" s="291">
        <f t="shared" si="4"/>
        <v>52828988.466131978</v>
      </c>
      <c r="D31" s="291">
        <f t="shared" si="0"/>
        <v>1760966.2822044</v>
      </c>
      <c r="E31" s="291">
        <f t="shared" si="1"/>
        <v>1100603.9263777495</v>
      </c>
      <c r="F31" s="291">
        <f t="shared" si="2"/>
        <v>24000</v>
      </c>
      <c r="G31" s="291">
        <f t="shared" si="3"/>
        <v>2885570.2085821498</v>
      </c>
      <c r="H31" s="142"/>
      <c r="I31" s="106"/>
      <c r="J31" s="106"/>
      <c r="K31" s="106"/>
      <c r="L31" s="142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40"/>
      <c r="B32" s="140" t="s">
        <v>362</v>
      </c>
      <c r="C32" s="291">
        <f t="shared" si="4"/>
        <v>51068022.183927581</v>
      </c>
      <c r="D32" s="291">
        <f t="shared" si="0"/>
        <v>1760966.2822044</v>
      </c>
      <c r="E32" s="291">
        <f t="shared" si="1"/>
        <v>1063917.1288318245</v>
      </c>
      <c r="F32" s="291">
        <f t="shared" si="2"/>
        <v>24000</v>
      </c>
      <c r="G32" s="291">
        <f t="shared" si="3"/>
        <v>2848883.4110362246</v>
      </c>
      <c r="H32" s="142"/>
      <c r="I32" s="106"/>
      <c r="J32" s="106"/>
      <c r="K32" s="106"/>
      <c r="L32" s="142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40"/>
      <c r="B33" s="140" t="s">
        <v>363</v>
      </c>
      <c r="C33" s="291">
        <f t="shared" si="4"/>
        <v>49307055.901723184</v>
      </c>
      <c r="D33" s="291">
        <f t="shared" si="0"/>
        <v>1760966.2822044</v>
      </c>
      <c r="E33" s="291">
        <f t="shared" si="1"/>
        <v>1027230.3312858996</v>
      </c>
      <c r="F33" s="291">
        <f t="shared" si="2"/>
        <v>24000</v>
      </c>
      <c r="G33" s="291">
        <f t="shared" si="3"/>
        <v>2812196.6134902998</v>
      </c>
      <c r="H33" s="297" t="s">
        <v>350</v>
      </c>
      <c r="I33" s="107" t="s">
        <v>336</v>
      </c>
      <c r="J33" s="107" t="s">
        <v>337</v>
      </c>
      <c r="K33" s="108" t="s">
        <v>351</v>
      </c>
      <c r="L33" s="142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40"/>
      <c r="B34" s="140" t="s">
        <v>364</v>
      </c>
      <c r="C34" s="291">
        <f t="shared" si="4"/>
        <v>47546089.619518787</v>
      </c>
      <c r="D34" s="291">
        <f t="shared" si="0"/>
        <v>1760966.2822044</v>
      </c>
      <c r="E34" s="291">
        <f t="shared" si="1"/>
        <v>990543.53373997472</v>
      </c>
      <c r="F34" s="291">
        <f t="shared" si="2"/>
        <v>24000</v>
      </c>
      <c r="G34" s="291">
        <f t="shared" si="3"/>
        <v>2775509.8159443745</v>
      </c>
      <c r="H34" s="298">
        <f t="shared" ref="H34:J34" si="6">SUM(D23:D34)</f>
        <v>21131595.386452805</v>
      </c>
      <c r="I34" s="109">
        <f t="shared" si="6"/>
        <v>14307851.04291074</v>
      </c>
      <c r="J34" s="109">
        <f t="shared" si="6"/>
        <v>288000</v>
      </c>
      <c r="K34" s="110">
        <f>I34+J34</f>
        <v>14595851.04291074</v>
      </c>
      <c r="L34" s="142">
        <f>SUM(G23:G34)</f>
        <v>35727446.429363534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40"/>
      <c r="B35" s="140" t="s">
        <v>365</v>
      </c>
      <c r="C35" s="291">
        <f t="shared" si="4"/>
        <v>45785123.33731439</v>
      </c>
      <c r="D35" s="291">
        <f t="shared" si="0"/>
        <v>1760966.2822044</v>
      </c>
      <c r="E35" s="291">
        <f t="shared" si="1"/>
        <v>953856.73619404971</v>
      </c>
      <c r="F35" s="291">
        <f t="shared" si="2"/>
        <v>24000</v>
      </c>
      <c r="G35" s="291">
        <f t="shared" si="3"/>
        <v>2738823.0183984498</v>
      </c>
      <c r="H35" s="142"/>
      <c r="I35" s="106"/>
      <c r="J35" s="106"/>
      <c r="K35" s="106"/>
      <c r="L35" s="142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40"/>
      <c r="B36" s="140" t="s">
        <v>366</v>
      </c>
      <c r="C36" s="291">
        <f t="shared" si="4"/>
        <v>44024157.055109993</v>
      </c>
      <c r="D36" s="291">
        <f t="shared" si="0"/>
        <v>1760966.2822044</v>
      </c>
      <c r="E36" s="291">
        <f t="shared" si="1"/>
        <v>917169.93864812481</v>
      </c>
      <c r="F36" s="291">
        <f t="shared" si="2"/>
        <v>24000</v>
      </c>
      <c r="G36" s="291">
        <f t="shared" si="3"/>
        <v>2702136.220852525</v>
      </c>
      <c r="H36" s="142"/>
      <c r="I36" s="106"/>
      <c r="J36" s="106"/>
      <c r="K36" s="106"/>
      <c r="L36" s="142"/>
      <c r="M36" s="13"/>
      <c r="N36" s="13"/>
      <c r="O36" s="13"/>
      <c r="P36" s="13"/>
      <c r="Q36" s="13"/>
      <c r="R36" s="13"/>
      <c r="S36" s="13"/>
      <c r="T36" s="13"/>
      <c r="U36" s="30"/>
      <c r="V36" s="30"/>
      <c r="W36" s="30"/>
      <c r="X36" s="19"/>
      <c r="Y36" s="13"/>
      <c r="Z36" s="13"/>
    </row>
    <row r="37" spans="1:26" ht="15.75" customHeight="1">
      <c r="A37" s="140"/>
      <c r="B37" s="140" t="s">
        <v>367</v>
      </c>
      <c r="C37" s="291">
        <f t="shared" si="4"/>
        <v>42263190.772905596</v>
      </c>
      <c r="D37" s="291">
        <f t="shared" si="0"/>
        <v>1760966.2822044</v>
      </c>
      <c r="E37" s="291">
        <f t="shared" si="1"/>
        <v>880483.14110219991</v>
      </c>
      <c r="F37" s="291">
        <f t="shared" si="2"/>
        <v>24000</v>
      </c>
      <c r="G37" s="291">
        <f t="shared" si="3"/>
        <v>2665449.4233066002</v>
      </c>
      <c r="H37" s="142"/>
      <c r="I37" s="106"/>
      <c r="J37" s="106"/>
      <c r="K37" s="155"/>
      <c r="L37" s="142"/>
      <c r="M37" s="13"/>
      <c r="N37" s="13"/>
      <c r="O37" s="13"/>
      <c r="P37" s="13"/>
      <c r="Q37" s="13"/>
      <c r="R37" s="13"/>
      <c r="S37" s="13"/>
      <c r="T37" s="13"/>
      <c r="U37" s="31"/>
      <c r="V37" s="32"/>
      <c r="W37" s="32"/>
      <c r="X37" s="29"/>
      <c r="Y37" s="13"/>
      <c r="Z37" s="13"/>
    </row>
    <row r="38" spans="1:26" ht="15.75" customHeight="1">
      <c r="A38" s="140"/>
      <c r="B38" s="140" t="s">
        <v>368</v>
      </c>
      <c r="C38" s="291">
        <f t="shared" si="4"/>
        <v>40502224.490701199</v>
      </c>
      <c r="D38" s="291">
        <f t="shared" si="0"/>
        <v>1760966.2822044</v>
      </c>
      <c r="E38" s="291">
        <f t="shared" si="1"/>
        <v>843796.34355627489</v>
      </c>
      <c r="F38" s="291">
        <f t="shared" si="2"/>
        <v>24000</v>
      </c>
      <c r="G38" s="291">
        <f t="shared" si="3"/>
        <v>2628762.6257606749</v>
      </c>
      <c r="H38" s="111"/>
      <c r="I38" s="155"/>
      <c r="J38" s="155"/>
      <c r="K38" s="155"/>
      <c r="L38" s="155"/>
      <c r="M38" s="33"/>
      <c r="N38" s="33"/>
      <c r="O38" s="13"/>
      <c r="P38" s="13"/>
      <c r="Q38" s="13"/>
      <c r="R38" s="13"/>
      <c r="S38" s="13"/>
      <c r="T38" s="13"/>
      <c r="U38" s="34"/>
      <c r="V38" s="35"/>
      <c r="W38" s="35"/>
      <c r="X38" s="28"/>
      <c r="Y38" s="13"/>
      <c r="Z38" s="13"/>
    </row>
    <row r="39" spans="1:26" ht="15.75" customHeight="1">
      <c r="A39" s="140"/>
      <c r="B39" s="140" t="s">
        <v>369</v>
      </c>
      <c r="C39" s="291">
        <f t="shared" si="4"/>
        <v>38741258.208496802</v>
      </c>
      <c r="D39" s="291">
        <f t="shared" si="0"/>
        <v>1760966.2822044</v>
      </c>
      <c r="E39" s="291">
        <f t="shared" si="1"/>
        <v>807109.54601034999</v>
      </c>
      <c r="F39" s="291">
        <f t="shared" si="2"/>
        <v>24000</v>
      </c>
      <c r="G39" s="291">
        <f t="shared" si="3"/>
        <v>2592075.8282147502</v>
      </c>
      <c r="H39" s="111"/>
      <c r="I39" s="155"/>
      <c r="J39" s="155"/>
      <c r="K39" s="155"/>
      <c r="L39" s="155"/>
      <c r="M39" s="33"/>
      <c r="N39" s="3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40"/>
      <c r="B40" s="140" t="s">
        <v>370</v>
      </c>
      <c r="C40" s="291">
        <f t="shared" si="4"/>
        <v>36980291.926292405</v>
      </c>
      <c r="D40" s="291">
        <f t="shared" si="0"/>
        <v>1760966.2822044</v>
      </c>
      <c r="E40" s="291">
        <f t="shared" si="1"/>
        <v>770422.74846442509</v>
      </c>
      <c r="F40" s="291">
        <f t="shared" si="2"/>
        <v>24000</v>
      </c>
      <c r="G40" s="291">
        <f t="shared" si="3"/>
        <v>2555389.0306688249</v>
      </c>
      <c r="H40" s="111"/>
      <c r="I40" s="155"/>
      <c r="J40" s="155"/>
      <c r="K40" s="155"/>
      <c r="L40" s="155"/>
      <c r="M40" s="33"/>
      <c r="N40" s="3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40"/>
      <c r="B41" s="140" t="s">
        <v>371</v>
      </c>
      <c r="C41" s="291">
        <f t="shared" si="4"/>
        <v>35219325.644088008</v>
      </c>
      <c r="D41" s="291">
        <f t="shared" si="0"/>
        <v>1760966.2822044</v>
      </c>
      <c r="E41" s="291">
        <f t="shared" si="1"/>
        <v>733735.95091850008</v>
      </c>
      <c r="F41" s="291">
        <f t="shared" si="2"/>
        <v>24000</v>
      </c>
      <c r="G41" s="291">
        <f t="shared" si="3"/>
        <v>2518702.2331229001</v>
      </c>
      <c r="H41" s="111"/>
      <c r="I41" s="111"/>
      <c r="J41" s="111"/>
      <c r="K41" s="111"/>
      <c r="L41" s="142"/>
      <c r="M41" s="33"/>
      <c r="N41" s="3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40"/>
      <c r="B42" s="299" t="s">
        <v>372</v>
      </c>
      <c r="C42" s="300">
        <f t="shared" si="4"/>
        <v>33458359.361883607</v>
      </c>
      <c r="D42" s="300">
        <f t="shared" si="0"/>
        <v>1760966.2822044</v>
      </c>
      <c r="E42" s="300">
        <f t="shared" si="1"/>
        <v>697049.15337257506</v>
      </c>
      <c r="F42" s="300">
        <f t="shared" si="2"/>
        <v>24000</v>
      </c>
      <c r="G42" s="300">
        <f t="shared" si="3"/>
        <v>2482015.4355769753</v>
      </c>
      <c r="H42" s="142"/>
      <c r="I42" s="106"/>
      <c r="J42" s="106"/>
      <c r="K42" s="106"/>
      <c r="L42" s="142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40"/>
      <c r="B43" s="301" t="s">
        <v>373</v>
      </c>
      <c r="C43" s="302">
        <f t="shared" si="4"/>
        <v>31697393.079679206</v>
      </c>
      <c r="D43" s="302">
        <f t="shared" si="0"/>
        <v>1760966.2822044</v>
      </c>
      <c r="E43" s="302">
        <f t="shared" si="1"/>
        <v>660362.35582665005</v>
      </c>
      <c r="F43" s="302">
        <f t="shared" si="2"/>
        <v>24000</v>
      </c>
      <c r="G43" s="302">
        <f t="shared" si="3"/>
        <v>2445328.6380310501</v>
      </c>
      <c r="H43" s="142"/>
      <c r="I43" s="106"/>
      <c r="J43" s="106"/>
      <c r="K43" s="106"/>
      <c r="L43" s="142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40"/>
      <c r="B44" s="299" t="s">
        <v>374</v>
      </c>
      <c r="C44" s="300">
        <f t="shared" si="4"/>
        <v>29936426.797474805</v>
      </c>
      <c r="D44" s="300">
        <f t="shared" si="0"/>
        <v>1760966.2822044</v>
      </c>
      <c r="E44" s="300">
        <f t="shared" si="1"/>
        <v>623675.55828072503</v>
      </c>
      <c r="F44" s="300">
        <f t="shared" si="2"/>
        <v>24000</v>
      </c>
      <c r="G44" s="300">
        <f t="shared" si="3"/>
        <v>2408641.8404851248</v>
      </c>
      <c r="H44" s="142"/>
      <c r="I44" s="106"/>
      <c r="J44" s="106"/>
      <c r="K44" s="106"/>
      <c r="L44" s="142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40"/>
      <c r="B45" s="301" t="s">
        <v>375</v>
      </c>
      <c r="C45" s="302">
        <f t="shared" si="4"/>
        <v>28175460.515270405</v>
      </c>
      <c r="D45" s="302">
        <f t="shared" si="0"/>
        <v>1760966.2822044</v>
      </c>
      <c r="E45" s="302">
        <f t="shared" si="1"/>
        <v>586988.76073480002</v>
      </c>
      <c r="F45" s="302">
        <f t="shared" si="2"/>
        <v>24000</v>
      </c>
      <c r="G45" s="302">
        <f t="shared" si="3"/>
        <v>2371955.0429392001</v>
      </c>
      <c r="H45" s="303" t="s">
        <v>350</v>
      </c>
      <c r="I45" s="112" t="s">
        <v>336</v>
      </c>
      <c r="J45" s="112" t="s">
        <v>337</v>
      </c>
      <c r="K45" s="113" t="s">
        <v>351</v>
      </c>
      <c r="L45" s="294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40"/>
      <c r="B46" s="299" t="s">
        <v>376</v>
      </c>
      <c r="C46" s="300">
        <f t="shared" si="4"/>
        <v>26414494.233066004</v>
      </c>
      <c r="D46" s="300">
        <f t="shared" si="0"/>
        <v>1760966.2822044</v>
      </c>
      <c r="E46" s="300">
        <f t="shared" si="1"/>
        <v>550301.963188875</v>
      </c>
      <c r="F46" s="300">
        <f t="shared" si="2"/>
        <v>24000</v>
      </c>
      <c r="G46" s="300">
        <f t="shared" si="3"/>
        <v>2335268.2453932753</v>
      </c>
      <c r="H46" s="304">
        <f t="shared" ref="H46:J46" si="7">SUM(D35:D46)</f>
        <v>21131595.386452805</v>
      </c>
      <c r="I46" s="114">
        <f t="shared" si="7"/>
        <v>9024952.1962975506</v>
      </c>
      <c r="J46" s="114">
        <f t="shared" si="7"/>
        <v>288000</v>
      </c>
      <c r="K46" s="115">
        <f>I46+J46</f>
        <v>9312952.1962975506</v>
      </c>
      <c r="L46" s="294">
        <f>SUM(G35:G46)</f>
        <v>30444547.582750354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40"/>
      <c r="B47" s="301" t="s">
        <v>377</v>
      </c>
      <c r="C47" s="302">
        <f t="shared" si="4"/>
        <v>24653527.950861603</v>
      </c>
      <c r="D47" s="302">
        <f t="shared" si="0"/>
        <v>1760966.2822044</v>
      </c>
      <c r="E47" s="302">
        <f t="shared" si="1"/>
        <v>513615.16564295004</v>
      </c>
      <c r="F47" s="302">
        <f t="shared" si="2"/>
        <v>24000</v>
      </c>
      <c r="G47" s="302">
        <f t="shared" si="3"/>
        <v>2298581.44784735</v>
      </c>
      <c r="H47" s="142"/>
      <c r="I47" s="106"/>
      <c r="J47" s="106"/>
      <c r="K47" s="106"/>
      <c r="L47" s="142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40"/>
      <c r="B48" s="299" t="s">
        <v>378</v>
      </c>
      <c r="C48" s="300">
        <f t="shared" si="4"/>
        <v>22892561.668657202</v>
      </c>
      <c r="D48" s="300">
        <f t="shared" si="0"/>
        <v>1760966.2822044</v>
      </c>
      <c r="E48" s="300">
        <f t="shared" si="1"/>
        <v>476928.36809702503</v>
      </c>
      <c r="F48" s="300">
        <f t="shared" si="2"/>
        <v>24000</v>
      </c>
      <c r="G48" s="300">
        <f t="shared" si="3"/>
        <v>2261894.6503014253</v>
      </c>
      <c r="H48" s="142"/>
      <c r="I48" s="106"/>
      <c r="J48" s="106"/>
      <c r="K48" s="106"/>
      <c r="L48" s="142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40"/>
      <c r="B49" s="301" t="s">
        <v>379</v>
      </c>
      <c r="C49" s="302">
        <f t="shared" si="4"/>
        <v>21131595.386452802</v>
      </c>
      <c r="D49" s="302">
        <f t="shared" si="0"/>
        <v>1760966.2822044</v>
      </c>
      <c r="E49" s="302">
        <f t="shared" si="1"/>
        <v>440241.57055110001</v>
      </c>
      <c r="F49" s="302">
        <f t="shared" si="2"/>
        <v>24000</v>
      </c>
      <c r="G49" s="302">
        <f t="shared" si="3"/>
        <v>2225207.8527555</v>
      </c>
      <c r="H49" s="142"/>
      <c r="I49" s="106"/>
      <c r="J49" s="106"/>
      <c r="K49" s="106"/>
      <c r="L49" s="142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40"/>
      <c r="B50" s="299" t="s">
        <v>380</v>
      </c>
      <c r="C50" s="300">
        <f t="shared" si="4"/>
        <v>19370629.104248401</v>
      </c>
      <c r="D50" s="300">
        <f t="shared" si="0"/>
        <v>1760966.2822044</v>
      </c>
      <c r="E50" s="300">
        <f t="shared" si="1"/>
        <v>403554.773005175</v>
      </c>
      <c r="F50" s="300">
        <f t="shared" si="2"/>
        <v>24000</v>
      </c>
      <c r="G50" s="300">
        <f t="shared" si="3"/>
        <v>2188521.0552095752</v>
      </c>
      <c r="H50" s="142"/>
      <c r="I50" s="106"/>
      <c r="J50" s="106"/>
      <c r="K50" s="106"/>
      <c r="L50" s="142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40"/>
      <c r="B51" s="301" t="s">
        <v>381</v>
      </c>
      <c r="C51" s="302">
        <f t="shared" si="4"/>
        <v>17609662.822044</v>
      </c>
      <c r="D51" s="302">
        <f t="shared" si="0"/>
        <v>1760966.2822044</v>
      </c>
      <c r="E51" s="302">
        <f t="shared" si="1"/>
        <v>366867.97545924998</v>
      </c>
      <c r="F51" s="302">
        <f t="shared" si="2"/>
        <v>24000</v>
      </c>
      <c r="G51" s="302">
        <f t="shared" si="3"/>
        <v>2151834.25766365</v>
      </c>
      <c r="H51" s="142"/>
      <c r="I51" s="106"/>
      <c r="J51" s="106"/>
      <c r="K51" s="106"/>
      <c r="L51" s="142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40"/>
      <c r="B52" s="299" t="s">
        <v>382</v>
      </c>
      <c r="C52" s="300">
        <f t="shared" si="4"/>
        <v>15848696.539839599</v>
      </c>
      <c r="D52" s="300">
        <f t="shared" si="0"/>
        <v>1760966.2822044</v>
      </c>
      <c r="E52" s="300">
        <f t="shared" si="1"/>
        <v>330181.17791332497</v>
      </c>
      <c r="F52" s="300">
        <f t="shared" si="2"/>
        <v>24000</v>
      </c>
      <c r="G52" s="300">
        <f t="shared" si="3"/>
        <v>2115147.4601177247</v>
      </c>
      <c r="H52" s="142"/>
      <c r="I52" s="106"/>
      <c r="J52" s="106"/>
      <c r="K52" s="106"/>
      <c r="L52" s="142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40"/>
      <c r="B53" s="301" t="s">
        <v>383</v>
      </c>
      <c r="C53" s="302">
        <f t="shared" si="4"/>
        <v>14087730.257635199</v>
      </c>
      <c r="D53" s="302">
        <f t="shared" si="0"/>
        <v>1760966.2822044</v>
      </c>
      <c r="E53" s="302">
        <f t="shared" si="1"/>
        <v>293494.38036739995</v>
      </c>
      <c r="F53" s="302">
        <f t="shared" si="2"/>
        <v>24000</v>
      </c>
      <c r="G53" s="302">
        <f t="shared" si="3"/>
        <v>2078460.6625717999</v>
      </c>
      <c r="H53" s="142"/>
      <c r="I53" s="106"/>
      <c r="J53" s="106"/>
      <c r="K53" s="106"/>
      <c r="L53" s="142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40"/>
      <c r="B54" s="299" t="s">
        <v>384</v>
      </c>
      <c r="C54" s="300">
        <f t="shared" si="4"/>
        <v>12326763.975430798</v>
      </c>
      <c r="D54" s="300">
        <f t="shared" si="0"/>
        <v>1760966.2822044</v>
      </c>
      <c r="E54" s="300">
        <f t="shared" si="1"/>
        <v>256807.58282147493</v>
      </c>
      <c r="F54" s="300">
        <f t="shared" si="2"/>
        <v>24000</v>
      </c>
      <c r="G54" s="300">
        <f t="shared" si="3"/>
        <v>2041773.8650258749</v>
      </c>
      <c r="H54" s="142"/>
      <c r="I54" s="106"/>
      <c r="J54" s="106"/>
      <c r="K54" s="106"/>
      <c r="L54" s="142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40"/>
      <c r="B55" s="301" t="s">
        <v>385</v>
      </c>
      <c r="C55" s="302">
        <f t="shared" si="4"/>
        <v>10565797.693226397</v>
      </c>
      <c r="D55" s="302">
        <f t="shared" si="0"/>
        <v>1760966.2822044</v>
      </c>
      <c r="E55" s="302">
        <f t="shared" si="1"/>
        <v>220120.78527554992</v>
      </c>
      <c r="F55" s="302">
        <f t="shared" si="2"/>
        <v>24000</v>
      </c>
      <c r="G55" s="302">
        <f t="shared" si="3"/>
        <v>2005087.0674799499</v>
      </c>
      <c r="H55" s="142"/>
      <c r="I55" s="106"/>
      <c r="J55" s="106"/>
      <c r="K55" s="106"/>
      <c r="L55" s="142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40"/>
      <c r="B56" s="299" t="s">
        <v>386</v>
      </c>
      <c r="C56" s="300">
        <f t="shared" si="4"/>
        <v>8804831.4110219963</v>
      </c>
      <c r="D56" s="300">
        <f t="shared" si="0"/>
        <v>1760966.2822044</v>
      </c>
      <c r="E56" s="300">
        <f t="shared" si="1"/>
        <v>183433.9877296249</v>
      </c>
      <c r="F56" s="300">
        <f t="shared" si="2"/>
        <v>24000</v>
      </c>
      <c r="G56" s="300">
        <f t="shared" si="3"/>
        <v>1968400.2699340249</v>
      </c>
      <c r="H56" s="142"/>
      <c r="I56" s="106"/>
      <c r="J56" s="106"/>
      <c r="K56" s="106"/>
      <c r="L56" s="142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40"/>
      <c r="B57" s="301" t="s">
        <v>387</v>
      </c>
      <c r="C57" s="302">
        <f t="shared" si="4"/>
        <v>7043865.1288175965</v>
      </c>
      <c r="D57" s="302">
        <f t="shared" si="0"/>
        <v>1760966.2822044</v>
      </c>
      <c r="E57" s="302">
        <f t="shared" si="1"/>
        <v>146747.19018369992</v>
      </c>
      <c r="F57" s="302">
        <f t="shared" si="2"/>
        <v>24000</v>
      </c>
      <c r="G57" s="302">
        <f t="shared" si="3"/>
        <v>1931713.4723880999</v>
      </c>
      <c r="H57" s="303" t="s">
        <v>350</v>
      </c>
      <c r="I57" s="112" t="s">
        <v>336</v>
      </c>
      <c r="J57" s="112" t="s">
        <v>337</v>
      </c>
      <c r="K57" s="113" t="s">
        <v>351</v>
      </c>
      <c r="L57" s="294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40"/>
      <c r="B58" s="299" t="s">
        <v>388</v>
      </c>
      <c r="C58" s="300">
        <f t="shared" si="4"/>
        <v>5282898.8466131967</v>
      </c>
      <c r="D58" s="300">
        <f t="shared" si="0"/>
        <v>1760966.2822044</v>
      </c>
      <c r="E58" s="300">
        <f t="shared" si="1"/>
        <v>110060.39263777493</v>
      </c>
      <c r="F58" s="300">
        <f t="shared" si="2"/>
        <v>24000</v>
      </c>
      <c r="G58" s="300">
        <f t="shared" si="3"/>
        <v>1895026.6748421751</v>
      </c>
      <c r="H58" s="304">
        <f t="shared" ref="H58:J58" si="8">SUM(D47:D58)</f>
        <v>21131595.386452805</v>
      </c>
      <c r="I58" s="114">
        <f t="shared" si="8"/>
        <v>3742053.3496843497</v>
      </c>
      <c r="J58" s="114">
        <f t="shared" si="8"/>
        <v>288000</v>
      </c>
      <c r="K58" s="115">
        <f>I58+J58</f>
        <v>4030053.3496843497</v>
      </c>
      <c r="L58" s="294">
        <f>SUM(G47:G58)</f>
        <v>25161648.736137148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40"/>
      <c r="B59" s="301" t="s">
        <v>389</v>
      </c>
      <c r="C59" s="302">
        <f t="shared" si="4"/>
        <v>3521932.5644087968</v>
      </c>
      <c r="D59" s="302">
        <f t="shared" si="0"/>
        <v>1760966.2822044</v>
      </c>
      <c r="E59" s="302">
        <f t="shared" si="1"/>
        <v>73373.595091849929</v>
      </c>
      <c r="F59" s="302">
        <f t="shared" si="2"/>
        <v>24000</v>
      </c>
      <c r="G59" s="302">
        <f t="shared" si="3"/>
        <v>1858339.8772962501</v>
      </c>
      <c r="H59" s="142"/>
      <c r="I59" s="106"/>
      <c r="J59" s="106"/>
      <c r="K59" s="106"/>
      <c r="L59" s="142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40"/>
      <c r="B60" s="299" t="s">
        <v>390</v>
      </c>
      <c r="C60" s="300">
        <f t="shared" si="4"/>
        <v>1760966.2822043968</v>
      </c>
      <c r="D60" s="300">
        <f t="shared" si="0"/>
        <v>1760966.2822044</v>
      </c>
      <c r="E60" s="300">
        <f t="shared" si="1"/>
        <v>36686.797545924928</v>
      </c>
      <c r="F60" s="300">
        <f t="shared" si="2"/>
        <v>24000</v>
      </c>
      <c r="G60" s="300">
        <f t="shared" si="3"/>
        <v>1821653.0797503251</v>
      </c>
      <c r="H60" s="142"/>
      <c r="I60" s="106"/>
      <c r="J60" s="106"/>
      <c r="K60" s="106"/>
      <c r="L60" s="142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40"/>
      <c r="B61" s="140" t="s">
        <v>391</v>
      </c>
      <c r="C61" s="305">
        <f t="shared" si="4"/>
        <v>-3.2596290111541748E-9</v>
      </c>
      <c r="D61" s="142"/>
      <c r="E61" s="142"/>
      <c r="F61" s="142"/>
      <c r="G61" s="142"/>
      <c r="H61" s="142"/>
      <c r="I61" s="106"/>
      <c r="J61" s="106"/>
      <c r="K61" s="106"/>
      <c r="L61" s="142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19"/>
      <c r="D62" s="19"/>
      <c r="E62" s="19"/>
      <c r="F62" s="19"/>
      <c r="G62" s="19"/>
      <c r="H62" s="19"/>
      <c r="I62" s="28"/>
      <c r="J62" s="28"/>
      <c r="K62" s="28"/>
      <c r="L62" s="19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19"/>
      <c r="D63" s="19"/>
      <c r="E63" s="19"/>
      <c r="F63" s="19"/>
      <c r="G63" s="19"/>
      <c r="H63" s="19"/>
      <c r="I63" s="28"/>
      <c r="J63" s="28"/>
      <c r="K63" s="28"/>
      <c r="L63" s="19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19"/>
      <c r="D64" s="19"/>
      <c r="E64" s="19"/>
      <c r="F64" s="19"/>
      <c r="G64" s="19"/>
      <c r="H64" s="19"/>
      <c r="I64" s="28"/>
      <c r="J64" s="28"/>
      <c r="K64" s="28"/>
      <c r="L64" s="19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9"/>
      <c r="D65" s="19"/>
      <c r="E65" s="19"/>
      <c r="F65" s="19"/>
      <c r="G65" s="19"/>
      <c r="H65" s="19"/>
      <c r="I65" s="28"/>
      <c r="J65" s="28"/>
      <c r="K65" s="28"/>
      <c r="L65" s="19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9"/>
      <c r="D66" s="19"/>
      <c r="E66" s="19"/>
      <c r="F66" s="19"/>
      <c r="G66" s="19"/>
      <c r="H66" s="19"/>
      <c r="I66" s="28"/>
      <c r="J66" s="28"/>
      <c r="K66" s="28"/>
      <c r="L66" s="19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9"/>
      <c r="D67" s="19"/>
      <c r="E67" s="19"/>
      <c r="F67" s="19"/>
      <c r="G67" s="19"/>
      <c r="H67" s="19"/>
      <c r="I67" s="28"/>
      <c r="J67" s="28"/>
      <c r="K67" s="28"/>
      <c r="L67" s="19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9"/>
      <c r="D68" s="19"/>
      <c r="E68" s="19"/>
      <c r="F68" s="19"/>
      <c r="G68" s="19"/>
      <c r="H68" s="19"/>
      <c r="I68" s="28"/>
      <c r="J68" s="28"/>
      <c r="K68" s="28"/>
      <c r="L68" s="19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9"/>
      <c r="D69" s="19"/>
      <c r="E69" s="19"/>
      <c r="F69" s="19"/>
      <c r="G69" s="19"/>
      <c r="H69" s="19"/>
      <c r="I69" s="28"/>
      <c r="J69" s="28"/>
      <c r="K69" s="28"/>
      <c r="L69" s="19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9"/>
      <c r="D70" s="19"/>
      <c r="E70" s="19"/>
      <c r="F70" s="19"/>
      <c r="G70" s="19"/>
      <c r="H70" s="19"/>
      <c r="I70" s="28"/>
      <c r="J70" s="28"/>
      <c r="K70" s="28"/>
      <c r="L70" s="19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9"/>
      <c r="D71" s="19"/>
      <c r="E71" s="19"/>
      <c r="F71" s="19"/>
      <c r="G71" s="19"/>
      <c r="H71" s="19"/>
      <c r="I71" s="28"/>
      <c r="J71" s="28"/>
      <c r="K71" s="28"/>
      <c r="L71" s="19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9"/>
      <c r="D72" s="19"/>
      <c r="E72" s="19"/>
      <c r="F72" s="19"/>
      <c r="G72" s="19"/>
      <c r="H72" s="19"/>
      <c r="I72" s="28"/>
      <c r="J72" s="28"/>
      <c r="K72" s="28"/>
      <c r="L72" s="19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9"/>
      <c r="D73" s="19"/>
      <c r="E73" s="19"/>
      <c r="F73" s="19"/>
      <c r="G73" s="19"/>
      <c r="H73" s="19"/>
      <c r="I73" s="28"/>
      <c r="J73" s="28"/>
      <c r="K73" s="28"/>
      <c r="L73" s="19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9"/>
      <c r="D74" s="19"/>
      <c r="E74" s="19"/>
      <c r="F74" s="19"/>
      <c r="G74" s="19"/>
      <c r="H74" s="19"/>
      <c r="I74" s="28"/>
      <c r="J74" s="28"/>
      <c r="K74" s="28"/>
      <c r="L74" s="19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9"/>
      <c r="D75" s="19"/>
      <c r="E75" s="19"/>
      <c r="F75" s="19"/>
      <c r="G75" s="19"/>
      <c r="H75" s="19"/>
      <c r="I75" s="28"/>
      <c r="J75" s="28"/>
      <c r="K75" s="28"/>
      <c r="L75" s="19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9"/>
      <c r="D76" s="19"/>
      <c r="E76" s="19"/>
      <c r="F76" s="19"/>
      <c r="G76" s="19"/>
      <c r="H76" s="19"/>
      <c r="I76" s="28"/>
      <c r="J76" s="28"/>
      <c r="K76" s="28"/>
      <c r="L76" s="19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9"/>
      <c r="D77" s="19"/>
      <c r="E77" s="19"/>
      <c r="F77" s="19"/>
      <c r="G77" s="19"/>
      <c r="H77" s="19"/>
      <c r="I77" s="28"/>
      <c r="J77" s="28"/>
      <c r="K77" s="28"/>
      <c r="L77" s="19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9"/>
      <c r="D78" s="19"/>
      <c r="E78" s="19"/>
      <c r="F78" s="19"/>
      <c r="G78" s="19"/>
      <c r="H78" s="19"/>
      <c r="I78" s="28"/>
      <c r="J78" s="28"/>
      <c r="K78" s="28"/>
      <c r="L78" s="19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9"/>
      <c r="D79" s="19"/>
      <c r="E79" s="19"/>
      <c r="F79" s="19"/>
      <c r="G79" s="19"/>
      <c r="H79" s="19"/>
      <c r="I79" s="28"/>
      <c r="J79" s="28"/>
      <c r="K79" s="28"/>
      <c r="L79" s="19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9"/>
      <c r="D80" s="19"/>
      <c r="E80" s="19"/>
      <c r="F80" s="19"/>
      <c r="G80" s="19"/>
      <c r="H80" s="19"/>
      <c r="I80" s="28"/>
      <c r="J80" s="28"/>
      <c r="K80" s="28"/>
      <c r="L80" s="19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9"/>
      <c r="D81" s="19"/>
      <c r="E81" s="19"/>
      <c r="F81" s="19"/>
      <c r="G81" s="19"/>
      <c r="H81" s="19"/>
      <c r="I81" s="28"/>
      <c r="J81" s="28"/>
      <c r="K81" s="28"/>
      <c r="L81" s="19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9"/>
      <c r="D82" s="19"/>
      <c r="E82" s="19"/>
      <c r="F82" s="19"/>
      <c r="G82" s="19"/>
      <c r="H82" s="19"/>
      <c r="I82" s="28"/>
      <c r="J82" s="28"/>
      <c r="K82" s="28"/>
      <c r="L82" s="19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9"/>
      <c r="D83" s="19"/>
      <c r="E83" s="19"/>
      <c r="F83" s="19"/>
      <c r="G83" s="19"/>
      <c r="H83" s="19"/>
      <c r="I83" s="28"/>
      <c r="J83" s="28"/>
      <c r="K83" s="28"/>
      <c r="L83" s="19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9"/>
      <c r="D84" s="19"/>
      <c r="E84" s="19"/>
      <c r="F84" s="19"/>
      <c r="G84" s="19"/>
      <c r="H84" s="19"/>
      <c r="I84" s="28"/>
      <c r="J84" s="28"/>
      <c r="K84" s="28"/>
      <c r="L84" s="19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9"/>
      <c r="D85" s="19"/>
      <c r="E85" s="19"/>
      <c r="F85" s="19"/>
      <c r="G85" s="19"/>
      <c r="H85" s="19"/>
      <c r="I85" s="28"/>
      <c r="J85" s="28"/>
      <c r="K85" s="28"/>
      <c r="L85" s="19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9"/>
      <c r="D86" s="19"/>
      <c r="E86" s="19"/>
      <c r="F86" s="19"/>
      <c r="G86" s="19"/>
      <c r="H86" s="19"/>
      <c r="I86" s="28"/>
      <c r="J86" s="28"/>
      <c r="K86" s="28"/>
      <c r="L86" s="19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9"/>
      <c r="D87" s="19"/>
      <c r="E87" s="19"/>
      <c r="F87" s="19"/>
      <c r="G87" s="19"/>
      <c r="H87" s="19"/>
      <c r="I87" s="28"/>
      <c r="J87" s="28"/>
      <c r="K87" s="28"/>
      <c r="L87" s="19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9"/>
      <c r="D88" s="19"/>
      <c r="E88" s="19"/>
      <c r="F88" s="19"/>
      <c r="G88" s="19"/>
      <c r="H88" s="19"/>
      <c r="I88" s="28"/>
      <c r="J88" s="28"/>
      <c r="K88" s="28"/>
      <c r="L88" s="19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9"/>
      <c r="D89" s="19"/>
      <c r="E89" s="19"/>
      <c r="F89" s="19"/>
      <c r="G89" s="19"/>
      <c r="H89" s="19"/>
      <c r="I89" s="28"/>
      <c r="J89" s="28"/>
      <c r="K89" s="28"/>
      <c r="L89" s="19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9"/>
      <c r="D90" s="19"/>
      <c r="E90" s="19"/>
      <c r="F90" s="19"/>
      <c r="G90" s="19"/>
      <c r="H90" s="19"/>
      <c r="I90" s="28"/>
      <c r="J90" s="28"/>
      <c r="K90" s="28"/>
      <c r="L90" s="19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9"/>
      <c r="D91" s="19"/>
      <c r="E91" s="19"/>
      <c r="F91" s="19"/>
      <c r="G91" s="19"/>
      <c r="H91" s="19"/>
      <c r="I91" s="28"/>
      <c r="J91" s="28"/>
      <c r="K91" s="28"/>
      <c r="L91" s="19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9"/>
      <c r="D92" s="19"/>
      <c r="E92" s="19"/>
      <c r="F92" s="19"/>
      <c r="G92" s="19"/>
      <c r="H92" s="19"/>
      <c r="I92" s="28"/>
      <c r="J92" s="28"/>
      <c r="K92" s="28"/>
      <c r="L92" s="19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9"/>
      <c r="D93" s="19"/>
      <c r="E93" s="19"/>
      <c r="F93" s="19"/>
      <c r="G93" s="19"/>
      <c r="H93" s="19"/>
      <c r="I93" s="28"/>
      <c r="J93" s="28"/>
      <c r="K93" s="28"/>
      <c r="L93" s="19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9"/>
      <c r="D94" s="19"/>
      <c r="E94" s="19"/>
      <c r="F94" s="19"/>
      <c r="G94" s="19"/>
      <c r="H94" s="19"/>
      <c r="I94" s="28"/>
      <c r="J94" s="28"/>
      <c r="K94" s="28"/>
      <c r="L94" s="19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9"/>
      <c r="D95" s="19"/>
      <c r="E95" s="19"/>
      <c r="F95" s="19"/>
      <c r="G95" s="19"/>
      <c r="H95" s="19"/>
      <c r="I95" s="28"/>
      <c r="J95" s="28"/>
      <c r="K95" s="28"/>
      <c r="L95" s="19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9"/>
      <c r="D96" s="19"/>
      <c r="E96" s="19"/>
      <c r="F96" s="19"/>
      <c r="G96" s="19"/>
      <c r="H96" s="19"/>
      <c r="I96" s="28"/>
      <c r="J96" s="28"/>
      <c r="K96" s="28"/>
      <c r="L96" s="19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9"/>
      <c r="D97" s="19"/>
      <c r="E97" s="19"/>
      <c r="F97" s="19"/>
      <c r="G97" s="19"/>
      <c r="H97" s="19"/>
      <c r="I97" s="28"/>
      <c r="J97" s="28"/>
      <c r="K97" s="28"/>
      <c r="L97" s="19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9"/>
      <c r="D98" s="19"/>
      <c r="E98" s="19"/>
      <c r="F98" s="19"/>
      <c r="G98" s="19"/>
      <c r="H98" s="19"/>
      <c r="I98" s="28"/>
      <c r="J98" s="28"/>
      <c r="K98" s="28"/>
      <c r="L98" s="19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9"/>
      <c r="D99" s="19"/>
      <c r="E99" s="19"/>
      <c r="F99" s="19"/>
      <c r="G99" s="19"/>
      <c r="H99" s="19"/>
      <c r="I99" s="28"/>
      <c r="J99" s="28"/>
      <c r="K99" s="28"/>
      <c r="L99" s="19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9"/>
      <c r="D100" s="19"/>
      <c r="E100" s="19"/>
      <c r="F100" s="19"/>
      <c r="G100" s="19"/>
      <c r="H100" s="19"/>
      <c r="I100" s="28"/>
      <c r="J100" s="28"/>
      <c r="K100" s="28"/>
      <c r="L100" s="19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9"/>
      <c r="D101" s="19"/>
      <c r="E101" s="19"/>
      <c r="F101" s="19"/>
      <c r="G101" s="19"/>
      <c r="H101" s="19"/>
      <c r="I101" s="28"/>
      <c r="J101" s="28"/>
      <c r="K101" s="28"/>
      <c r="L101" s="19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9"/>
      <c r="D102" s="19"/>
      <c r="E102" s="19"/>
      <c r="F102" s="19"/>
      <c r="G102" s="19"/>
      <c r="H102" s="19"/>
      <c r="I102" s="28"/>
      <c r="J102" s="28"/>
      <c r="K102" s="28"/>
      <c r="L102" s="19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9"/>
      <c r="D103" s="19"/>
      <c r="E103" s="19"/>
      <c r="F103" s="19"/>
      <c r="G103" s="19"/>
      <c r="H103" s="19"/>
      <c r="I103" s="28"/>
      <c r="J103" s="28"/>
      <c r="K103" s="28"/>
      <c r="L103" s="19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9"/>
      <c r="D104" s="19"/>
      <c r="E104" s="19"/>
      <c r="F104" s="19"/>
      <c r="G104" s="19"/>
      <c r="H104" s="19"/>
      <c r="I104" s="28"/>
      <c r="J104" s="28"/>
      <c r="K104" s="28"/>
      <c r="L104" s="19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9"/>
      <c r="D105" s="19"/>
      <c r="E105" s="19"/>
      <c r="F105" s="19"/>
      <c r="G105" s="19"/>
      <c r="H105" s="19"/>
      <c r="I105" s="28"/>
      <c r="J105" s="28"/>
      <c r="K105" s="28"/>
      <c r="L105" s="19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9"/>
      <c r="D106" s="19"/>
      <c r="E106" s="19"/>
      <c r="F106" s="19"/>
      <c r="G106" s="19"/>
      <c r="H106" s="19"/>
      <c r="I106" s="28"/>
      <c r="J106" s="28"/>
      <c r="K106" s="28"/>
      <c r="L106" s="19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9"/>
      <c r="D107" s="19"/>
      <c r="E107" s="19"/>
      <c r="F107" s="19"/>
      <c r="G107" s="19"/>
      <c r="H107" s="19"/>
      <c r="I107" s="28"/>
      <c r="J107" s="28"/>
      <c r="K107" s="28"/>
      <c r="L107" s="19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9"/>
      <c r="D108" s="19"/>
      <c r="E108" s="19"/>
      <c r="F108" s="19"/>
      <c r="G108" s="19"/>
      <c r="H108" s="19"/>
      <c r="I108" s="28"/>
      <c r="J108" s="28"/>
      <c r="K108" s="28"/>
      <c r="L108" s="19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9"/>
      <c r="D109" s="19"/>
      <c r="E109" s="19"/>
      <c r="F109" s="19"/>
      <c r="G109" s="19"/>
      <c r="H109" s="19"/>
      <c r="I109" s="28"/>
      <c r="J109" s="28"/>
      <c r="K109" s="28"/>
      <c r="L109" s="19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9"/>
      <c r="D110" s="19"/>
      <c r="E110" s="19"/>
      <c r="F110" s="19"/>
      <c r="G110" s="19"/>
      <c r="H110" s="19"/>
      <c r="I110" s="28"/>
      <c r="J110" s="28"/>
      <c r="K110" s="28"/>
      <c r="L110" s="19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9"/>
      <c r="D111" s="19"/>
      <c r="E111" s="19"/>
      <c r="F111" s="19"/>
      <c r="G111" s="19"/>
      <c r="H111" s="19"/>
      <c r="I111" s="28"/>
      <c r="J111" s="28"/>
      <c r="K111" s="28"/>
      <c r="L111" s="19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9"/>
      <c r="D112" s="19"/>
      <c r="E112" s="19"/>
      <c r="F112" s="19"/>
      <c r="G112" s="19"/>
      <c r="H112" s="19"/>
      <c r="I112" s="28"/>
      <c r="J112" s="28"/>
      <c r="K112" s="28"/>
      <c r="L112" s="19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9"/>
      <c r="D113" s="19"/>
      <c r="E113" s="19"/>
      <c r="F113" s="19"/>
      <c r="G113" s="19"/>
      <c r="H113" s="19"/>
      <c r="I113" s="28"/>
      <c r="J113" s="28"/>
      <c r="K113" s="28"/>
      <c r="L113" s="19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9"/>
      <c r="D114" s="19"/>
      <c r="E114" s="19"/>
      <c r="F114" s="19"/>
      <c r="G114" s="19"/>
      <c r="H114" s="19"/>
      <c r="I114" s="28"/>
      <c r="J114" s="28"/>
      <c r="K114" s="28"/>
      <c r="L114" s="19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9"/>
      <c r="D115" s="19"/>
      <c r="E115" s="19"/>
      <c r="F115" s="19"/>
      <c r="G115" s="19"/>
      <c r="H115" s="19"/>
      <c r="I115" s="28"/>
      <c r="J115" s="28"/>
      <c r="K115" s="28"/>
      <c r="L115" s="19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9"/>
      <c r="D116" s="19"/>
      <c r="E116" s="19"/>
      <c r="F116" s="19"/>
      <c r="G116" s="19"/>
      <c r="H116" s="19"/>
      <c r="I116" s="28"/>
      <c r="J116" s="28"/>
      <c r="K116" s="28"/>
      <c r="L116" s="19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9"/>
      <c r="D117" s="19"/>
      <c r="E117" s="19"/>
      <c r="F117" s="19"/>
      <c r="G117" s="19"/>
      <c r="H117" s="19"/>
      <c r="I117" s="28"/>
      <c r="J117" s="28"/>
      <c r="K117" s="28"/>
      <c r="L117" s="19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9"/>
      <c r="D118" s="19"/>
      <c r="E118" s="19"/>
      <c r="F118" s="19"/>
      <c r="G118" s="19"/>
      <c r="H118" s="19"/>
      <c r="I118" s="28"/>
      <c r="J118" s="28"/>
      <c r="K118" s="28"/>
      <c r="L118" s="19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9"/>
      <c r="D119" s="19"/>
      <c r="E119" s="19"/>
      <c r="F119" s="19"/>
      <c r="G119" s="19"/>
      <c r="H119" s="19"/>
      <c r="I119" s="28"/>
      <c r="J119" s="28"/>
      <c r="K119" s="28"/>
      <c r="L119" s="19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9"/>
      <c r="D120" s="19"/>
      <c r="E120" s="19"/>
      <c r="F120" s="19"/>
      <c r="G120" s="19"/>
      <c r="H120" s="19"/>
      <c r="I120" s="28"/>
      <c r="J120" s="28"/>
      <c r="K120" s="28"/>
      <c r="L120" s="19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9"/>
      <c r="D121" s="19"/>
      <c r="E121" s="19"/>
      <c r="F121" s="19"/>
      <c r="G121" s="19"/>
      <c r="H121" s="19"/>
      <c r="I121" s="28"/>
      <c r="J121" s="28"/>
      <c r="K121" s="28"/>
      <c r="L121" s="19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9"/>
      <c r="D122" s="19"/>
      <c r="E122" s="19"/>
      <c r="F122" s="19"/>
      <c r="G122" s="19"/>
      <c r="H122" s="19"/>
      <c r="I122" s="28"/>
      <c r="J122" s="28"/>
      <c r="K122" s="28"/>
      <c r="L122" s="19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9"/>
      <c r="D123" s="19"/>
      <c r="E123" s="19"/>
      <c r="F123" s="19"/>
      <c r="G123" s="19"/>
      <c r="H123" s="19"/>
      <c r="I123" s="28"/>
      <c r="J123" s="28"/>
      <c r="K123" s="28"/>
      <c r="L123" s="19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9"/>
      <c r="D124" s="19"/>
      <c r="E124" s="19"/>
      <c r="F124" s="19"/>
      <c r="G124" s="19"/>
      <c r="H124" s="19"/>
      <c r="I124" s="28"/>
      <c r="J124" s="28"/>
      <c r="K124" s="28"/>
      <c r="L124" s="19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9"/>
      <c r="D125" s="19"/>
      <c r="E125" s="19"/>
      <c r="F125" s="19"/>
      <c r="G125" s="19"/>
      <c r="H125" s="19"/>
      <c r="I125" s="28"/>
      <c r="J125" s="28"/>
      <c r="K125" s="28"/>
      <c r="L125" s="19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9"/>
      <c r="D126" s="19"/>
      <c r="E126" s="19"/>
      <c r="F126" s="19"/>
      <c r="G126" s="19"/>
      <c r="H126" s="19"/>
      <c r="I126" s="28"/>
      <c r="J126" s="28"/>
      <c r="K126" s="28"/>
      <c r="L126" s="19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9"/>
      <c r="D127" s="19"/>
      <c r="E127" s="19"/>
      <c r="F127" s="19"/>
      <c r="G127" s="19"/>
      <c r="H127" s="19"/>
      <c r="I127" s="28"/>
      <c r="J127" s="28"/>
      <c r="K127" s="28"/>
      <c r="L127" s="19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9"/>
      <c r="D128" s="19"/>
      <c r="E128" s="19"/>
      <c r="F128" s="19"/>
      <c r="G128" s="19"/>
      <c r="H128" s="19"/>
      <c r="I128" s="28"/>
      <c r="J128" s="28"/>
      <c r="K128" s="28"/>
      <c r="L128" s="19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9"/>
      <c r="D129" s="19"/>
      <c r="E129" s="19"/>
      <c r="F129" s="19"/>
      <c r="G129" s="19"/>
      <c r="H129" s="19"/>
      <c r="I129" s="28"/>
      <c r="J129" s="28"/>
      <c r="K129" s="28"/>
      <c r="L129" s="19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9"/>
      <c r="D130" s="19"/>
      <c r="E130" s="19"/>
      <c r="F130" s="19"/>
      <c r="G130" s="19"/>
      <c r="H130" s="19"/>
      <c r="I130" s="28"/>
      <c r="J130" s="28"/>
      <c r="K130" s="28"/>
      <c r="L130" s="19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9"/>
      <c r="D131" s="19"/>
      <c r="E131" s="19"/>
      <c r="F131" s="19"/>
      <c r="G131" s="19"/>
      <c r="H131" s="19"/>
      <c r="I131" s="28"/>
      <c r="J131" s="28"/>
      <c r="K131" s="28"/>
      <c r="L131" s="19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9"/>
      <c r="D132" s="19"/>
      <c r="E132" s="19"/>
      <c r="F132" s="19"/>
      <c r="G132" s="19"/>
      <c r="H132" s="19"/>
      <c r="I132" s="28"/>
      <c r="J132" s="28"/>
      <c r="K132" s="28"/>
      <c r="L132" s="19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9"/>
      <c r="D133" s="19"/>
      <c r="E133" s="19"/>
      <c r="F133" s="19"/>
      <c r="G133" s="19"/>
      <c r="H133" s="19"/>
      <c r="I133" s="28"/>
      <c r="J133" s="28"/>
      <c r="K133" s="28"/>
      <c r="L133" s="19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9"/>
      <c r="D134" s="19"/>
      <c r="E134" s="19"/>
      <c r="F134" s="19"/>
      <c r="G134" s="19"/>
      <c r="H134" s="19"/>
      <c r="I134" s="28"/>
      <c r="J134" s="28"/>
      <c r="K134" s="28"/>
      <c r="L134" s="19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9"/>
      <c r="D135" s="19"/>
      <c r="E135" s="19"/>
      <c r="F135" s="19"/>
      <c r="G135" s="19"/>
      <c r="H135" s="19"/>
      <c r="I135" s="28"/>
      <c r="J135" s="28"/>
      <c r="K135" s="28"/>
      <c r="L135" s="19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9"/>
      <c r="D136" s="19"/>
      <c r="E136" s="19"/>
      <c r="F136" s="19"/>
      <c r="G136" s="19"/>
      <c r="H136" s="19"/>
      <c r="I136" s="28"/>
      <c r="J136" s="28"/>
      <c r="K136" s="28"/>
      <c r="L136" s="19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9"/>
      <c r="D137" s="19"/>
      <c r="E137" s="19"/>
      <c r="F137" s="19"/>
      <c r="G137" s="19"/>
      <c r="H137" s="19"/>
      <c r="I137" s="28"/>
      <c r="J137" s="28"/>
      <c r="K137" s="28"/>
      <c r="L137" s="19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9"/>
      <c r="D138" s="19"/>
      <c r="E138" s="19"/>
      <c r="F138" s="19"/>
      <c r="G138" s="19"/>
      <c r="H138" s="19"/>
      <c r="I138" s="28"/>
      <c r="J138" s="28"/>
      <c r="K138" s="28"/>
      <c r="L138" s="19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9"/>
      <c r="D139" s="19"/>
      <c r="E139" s="19"/>
      <c r="F139" s="19"/>
      <c r="G139" s="19"/>
      <c r="H139" s="19"/>
      <c r="I139" s="28"/>
      <c r="J139" s="28"/>
      <c r="K139" s="28"/>
      <c r="L139" s="19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9"/>
      <c r="D140" s="19"/>
      <c r="E140" s="19"/>
      <c r="F140" s="19"/>
      <c r="G140" s="19"/>
      <c r="H140" s="19"/>
      <c r="I140" s="28"/>
      <c r="J140" s="28"/>
      <c r="K140" s="28"/>
      <c r="L140" s="19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9"/>
      <c r="D141" s="19"/>
      <c r="E141" s="19"/>
      <c r="F141" s="19"/>
      <c r="G141" s="19"/>
      <c r="H141" s="19"/>
      <c r="I141" s="28"/>
      <c r="J141" s="28"/>
      <c r="K141" s="28"/>
      <c r="L141" s="19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9"/>
      <c r="D142" s="19"/>
      <c r="E142" s="19"/>
      <c r="F142" s="19"/>
      <c r="G142" s="19"/>
      <c r="H142" s="19"/>
      <c r="I142" s="28"/>
      <c r="J142" s="28"/>
      <c r="K142" s="28"/>
      <c r="L142" s="19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9"/>
      <c r="D143" s="19"/>
      <c r="E143" s="19"/>
      <c r="F143" s="19"/>
      <c r="G143" s="19"/>
      <c r="H143" s="19"/>
      <c r="I143" s="28"/>
      <c r="J143" s="28"/>
      <c r="K143" s="28"/>
      <c r="L143" s="19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9"/>
      <c r="D144" s="19"/>
      <c r="E144" s="19"/>
      <c r="F144" s="19"/>
      <c r="G144" s="19"/>
      <c r="H144" s="19"/>
      <c r="I144" s="28"/>
      <c r="J144" s="28"/>
      <c r="K144" s="28"/>
      <c r="L144" s="19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9"/>
      <c r="D145" s="19"/>
      <c r="E145" s="19"/>
      <c r="F145" s="19"/>
      <c r="G145" s="19"/>
      <c r="H145" s="19"/>
      <c r="I145" s="28"/>
      <c r="J145" s="28"/>
      <c r="K145" s="28"/>
      <c r="L145" s="19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9"/>
      <c r="D146" s="19"/>
      <c r="E146" s="19"/>
      <c r="F146" s="19"/>
      <c r="G146" s="19"/>
      <c r="H146" s="19"/>
      <c r="I146" s="28"/>
      <c r="J146" s="28"/>
      <c r="K146" s="28"/>
      <c r="L146" s="19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9"/>
      <c r="D147" s="19"/>
      <c r="E147" s="19"/>
      <c r="F147" s="19"/>
      <c r="G147" s="19"/>
      <c r="H147" s="19"/>
      <c r="I147" s="28"/>
      <c r="J147" s="28"/>
      <c r="K147" s="28"/>
      <c r="L147" s="19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9"/>
      <c r="D148" s="19"/>
      <c r="E148" s="19"/>
      <c r="F148" s="19"/>
      <c r="G148" s="19"/>
      <c r="H148" s="19"/>
      <c r="I148" s="28"/>
      <c r="J148" s="28"/>
      <c r="K148" s="28"/>
      <c r="L148" s="19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9"/>
      <c r="D149" s="19"/>
      <c r="E149" s="19"/>
      <c r="F149" s="19"/>
      <c r="G149" s="19"/>
      <c r="H149" s="19"/>
      <c r="I149" s="28"/>
      <c r="J149" s="28"/>
      <c r="K149" s="28"/>
      <c r="L149" s="19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9"/>
      <c r="D150" s="19"/>
      <c r="E150" s="19"/>
      <c r="F150" s="19"/>
      <c r="G150" s="19"/>
      <c r="H150" s="19"/>
      <c r="I150" s="28"/>
      <c r="J150" s="28"/>
      <c r="K150" s="28"/>
      <c r="L150" s="19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9"/>
      <c r="D151" s="19"/>
      <c r="E151" s="19"/>
      <c r="F151" s="19"/>
      <c r="G151" s="19"/>
      <c r="H151" s="19"/>
      <c r="I151" s="28"/>
      <c r="J151" s="28"/>
      <c r="K151" s="28"/>
      <c r="L151" s="19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9"/>
      <c r="D152" s="19"/>
      <c r="E152" s="19"/>
      <c r="F152" s="19"/>
      <c r="G152" s="19"/>
      <c r="H152" s="19"/>
      <c r="I152" s="28"/>
      <c r="J152" s="28"/>
      <c r="K152" s="28"/>
      <c r="L152" s="19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9"/>
      <c r="D153" s="19"/>
      <c r="E153" s="19"/>
      <c r="F153" s="19"/>
      <c r="G153" s="19"/>
      <c r="H153" s="19"/>
      <c r="I153" s="28"/>
      <c r="J153" s="28"/>
      <c r="K153" s="28"/>
      <c r="L153" s="19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9"/>
      <c r="D154" s="19"/>
      <c r="E154" s="19"/>
      <c r="F154" s="19"/>
      <c r="G154" s="19"/>
      <c r="H154" s="19"/>
      <c r="I154" s="28"/>
      <c r="J154" s="28"/>
      <c r="K154" s="28"/>
      <c r="L154" s="19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9"/>
      <c r="D155" s="19"/>
      <c r="E155" s="19"/>
      <c r="F155" s="19"/>
      <c r="G155" s="19"/>
      <c r="H155" s="19"/>
      <c r="I155" s="28"/>
      <c r="J155" s="28"/>
      <c r="K155" s="28"/>
      <c r="L155" s="19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9"/>
      <c r="D156" s="19"/>
      <c r="E156" s="19"/>
      <c r="F156" s="19"/>
      <c r="G156" s="19"/>
      <c r="H156" s="19"/>
      <c r="I156" s="28"/>
      <c r="J156" s="28"/>
      <c r="K156" s="28"/>
      <c r="L156" s="19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9"/>
      <c r="D157" s="19"/>
      <c r="E157" s="19"/>
      <c r="F157" s="19"/>
      <c r="G157" s="19"/>
      <c r="H157" s="19"/>
      <c r="I157" s="28"/>
      <c r="J157" s="28"/>
      <c r="K157" s="28"/>
      <c r="L157" s="19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9"/>
      <c r="D158" s="19"/>
      <c r="E158" s="19"/>
      <c r="F158" s="19"/>
      <c r="G158" s="19"/>
      <c r="H158" s="19"/>
      <c r="I158" s="28"/>
      <c r="J158" s="28"/>
      <c r="K158" s="28"/>
      <c r="L158" s="19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9"/>
      <c r="D159" s="19"/>
      <c r="E159" s="19"/>
      <c r="F159" s="19"/>
      <c r="G159" s="19"/>
      <c r="H159" s="19"/>
      <c r="I159" s="28"/>
      <c r="J159" s="28"/>
      <c r="K159" s="28"/>
      <c r="L159" s="19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9"/>
      <c r="D160" s="19"/>
      <c r="E160" s="19"/>
      <c r="F160" s="19"/>
      <c r="G160" s="19"/>
      <c r="H160" s="19"/>
      <c r="I160" s="28"/>
      <c r="J160" s="28"/>
      <c r="K160" s="28"/>
      <c r="L160" s="19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9"/>
      <c r="D161" s="19"/>
      <c r="E161" s="19"/>
      <c r="F161" s="19"/>
      <c r="G161" s="19"/>
      <c r="H161" s="19"/>
      <c r="I161" s="28"/>
      <c r="J161" s="28"/>
      <c r="K161" s="28"/>
      <c r="L161" s="19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9"/>
      <c r="D162" s="19"/>
      <c r="E162" s="19"/>
      <c r="F162" s="19"/>
      <c r="G162" s="19"/>
      <c r="H162" s="19"/>
      <c r="I162" s="28"/>
      <c r="J162" s="28"/>
      <c r="K162" s="28"/>
      <c r="L162" s="19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9"/>
      <c r="D163" s="19"/>
      <c r="E163" s="19"/>
      <c r="F163" s="19"/>
      <c r="G163" s="19"/>
      <c r="H163" s="19"/>
      <c r="I163" s="28"/>
      <c r="J163" s="28"/>
      <c r="K163" s="28"/>
      <c r="L163" s="19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9"/>
      <c r="D164" s="19"/>
      <c r="E164" s="19"/>
      <c r="F164" s="19"/>
      <c r="G164" s="19"/>
      <c r="H164" s="19"/>
      <c r="I164" s="28"/>
      <c r="J164" s="28"/>
      <c r="K164" s="28"/>
      <c r="L164" s="19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9"/>
      <c r="D165" s="19"/>
      <c r="E165" s="19"/>
      <c r="F165" s="19"/>
      <c r="G165" s="19"/>
      <c r="H165" s="19"/>
      <c r="I165" s="28"/>
      <c r="J165" s="28"/>
      <c r="K165" s="28"/>
      <c r="L165" s="19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9"/>
      <c r="D166" s="19"/>
      <c r="E166" s="19"/>
      <c r="F166" s="19"/>
      <c r="G166" s="19"/>
      <c r="H166" s="19"/>
      <c r="I166" s="28"/>
      <c r="J166" s="28"/>
      <c r="K166" s="28"/>
      <c r="L166" s="19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9"/>
      <c r="D167" s="19"/>
      <c r="E167" s="19"/>
      <c r="F167" s="19"/>
      <c r="G167" s="19"/>
      <c r="H167" s="19"/>
      <c r="I167" s="28"/>
      <c r="J167" s="28"/>
      <c r="K167" s="28"/>
      <c r="L167" s="19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9"/>
      <c r="D168" s="19"/>
      <c r="E168" s="19"/>
      <c r="F168" s="19"/>
      <c r="G168" s="19"/>
      <c r="H168" s="19"/>
      <c r="I168" s="28"/>
      <c r="J168" s="28"/>
      <c r="K168" s="28"/>
      <c r="L168" s="19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9"/>
      <c r="D169" s="19"/>
      <c r="E169" s="19"/>
      <c r="F169" s="19"/>
      <c r="G169" s="19"/>
      <c r="H169" s="19"/>
      <c r="I169" s="28"/>
      <c r="J169" s="28"/>
      <c r="K169" s="28"/>
      <c r="L169" s="19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9"/>
      <c r="D170" s="19"/>
      <c r="E170" s="19"/>
      <c r="F170" s="19"/>
      <c r="G170" s="19"/>
      <c r="H170" s="19"/>
      <c r="I170" s="28"/>
      <c r="J170" s="28"/>
      <c r="K170" s="28"/>
      <c r="L170" s="19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9"/>
      <c r="D171" s="19"/>
      <c r="E171" s="19"/>
      <c r="F171" s="19"/>
      <c r="G171" s="19"/>
      <c r="H171" s="19"/>
      <c r="I171" s="28"/>
      <c r="J171" s="28"/>
      <c r="K171" s="28"/>
      <c r="L171" s="19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9"/>
      <c r="D172" s="19"/>
      <c r="E172" s="19"/>
      <c r="F172" s="19"/>
      <c r="G172" s="19"/>
      <c r="H172" s="19"/>
      <c r="I172" s="28"/>
      <c r="J172" s="28"/>
      <c r="K172" s="28"/>
      <c r="L172" s="19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9"/>
      <c r="D173" s="19"/>
      <c r="E173" s="19"/>
      <c r="F173" s="19"/>
      <c r="G173" s="19"/>
      <c r="H173" s="19"/>
      <c r="I173" s="28"/>
      <c r="J173" s="28"/>
      <c r="K173" s="28"/>
      <c r="L173" s="19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9"/>
      <c r="D174" s="19"/>
      <c r="E174" s="19"/>
      <c r="F174" s="19"/>
      <c r="G174" s="19"/>
      <c r="H174" s="19"/>
      <c r="I174" s="28"/>
      <c r="J174" s="28"/>
      <c r="K174" s="28"/>
      <c r="L174" s="19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9"/>
      <c r="D175" s="19"/>
      <c r="E175" s="19"/>
      <c r="F175" s="19"/>
      <c r="G175" s="19"/>
      <c r="H175" s="19"/>
      <c r="I175" s="28"/>
      <c r="J175" s="28"/>
      <c r="K175" s="28"/>
      <c r="L175" s="19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9"/>
      <c r="D176" s="19"/>
      <c r="E176" s="19"/>
      <c r="F176" s="19"/>
      <c r="G176" s="19"/>
      <c r="H176" s="19"/>
      <c r="I176" s="28"/>
      <c r="J176" s="28"/>
      <c r="K176" s="28"/>
      <c r="L176" s="19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9"/>
      <c r="D177" s="19"/>
      <c r="E177" s="19"/>
      <c r="F177" s="19"/>
      <c r="G177" s="19"/>
      <c r="H177" s="19"/>
      <c r="I177" s="28"/>
      <c r="J177" s="28"/>
      <c r="K177" s="28"/>
      <c r="L177" s="19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9"/>
      <c r="D178" s="19"/>
      <c r="E178" s="19"/>
      <c r="F178" s="19"/>
      <c r="G178" s="19"/>
      <c r="H178" s="19"/>
      <c r="I178" s="28"/>
      <c r="J178" s="28"/>
      <c r="K178" s="28"/>
      <c r="L178" s="19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9"/>
      <c r="D179" s="19"/>
      <c r="E179" s="19"/>
      <c r="F179" s="19"/>
      <c r="G179" s="19"/>
      <c r="H179" s="19"/>
      <c r="I179" s="28"/>
      <c r="J179" s="28"/>
      <c r="K179" s="28"/>
      <c r="L179" s="19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9"/>
      <c r="D180" s="19"/>
      <c r="E180" s="19"/>
      <c r="F180" s="19"/>
      <c r="G180" s="19"/>
      <c r="H180" s="19"/>
      <c r="I180" s="28"/>
      <c r="J180" s="28"/>
      <c r="K180" s="28"/>
      <c r="L180" s="19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9"/>
      <c r="D181" s="19"/>
      <c r="E181" s="19"/>
      <c r="F181" s="19"/>
      <c r="G181" s="19"/>
      <c r="H181" s="19"/>
      <c r="I181" s="28"/>
      <c r="J181" s="28"/>
      <c r="K181" s="28"/>
      <c r="L181" s="19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9"/>
      <c r="D182" s="19"/>
      <c r="E182" s="19"/>
      <c r="F182" s="19"/>
      <c r="G182" s="19"/>
      <c r="H182" s="19"/>
      <c r="I182" s="28"/>
      <c r="J182" s="28"/>
      <c r="K182" s="28"/>
      <c r="L182" s="19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9"/>
      <c r="D183" s="19"/>
      <c r="E183" s="19"/>
      <c r="F183" s="19"/>
      <c r="G183" s="19"/>
      <c r="H183" s="19"/>
      <c r="I183" s="28"/>
      <c r="J183" s="28"/>
      <c r="K183" s="28"/>
      <c r="L183" s="19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9"/>
      <c r="D184" s="19"/>
      <c r="E184" s="19"/>
      <c r="F184" s="19"/>
      <c r="G184" s="19"/>
      <c r="H184" s="19"/>
      <c r="I184" s="28"/>
      <c r="J184" s="28"/>
      <c r="K184" s="28"/>
      <c r="L184" s="19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9"/>
      <c r="D185" s="19"/>
      <c r="E185" s="19"/>
      <c r="F185" s="19"/>
      <c r="G185" s="19"/>
      <c r="H185" s="19"/>
      <c r="I185" s="28"/>
      <c r="J185" s="28"/>
      <c r="K185" s="28"/>
      <c r="L185" s="19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9"/>
      <c r="D186" s="19"/>
      <c r="E186" s="19"/>
      <c r="F186" s="19"/>
      <c r="G186" s="19"/>
      <c r="H186" s="19"/>
      <c r="I186" s="28"/>
      <c r="J186" s="28"/>
      <c r="K186" s="28"/>
      <c r="L186" s="19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9"/>
      <c r="D187" s="19"/>
      <c r="E187" s="19"/>
      <c r="F187" s="19"/>
      <c r="G187" s="19"/>
      <c r="H187" s="19"/>
      <c r="I187" s="28"/>
      <c r="J187" s="28"/>
      <c r="K187" s="28"/>
      <c r="L187" s="19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9"/>
      <c r="D188" s="19"/>
      <c r="E188" s="19"/>
      <c r="F188" s="19"/>
      <c r="G188" s="19"/>
      <c r="H188" s="19"/>
      <c r="I188" s="28"/>
      <c r="J188" s="28"/>
      <c r="K188" s="28"/>
      <c r="L188" s="19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9"/>
      <c r="D189" s="19"/>
      <c r="E189" s="19"/>
      <c r="F189" s="19"/>
      <c r="G189" s="19"/>
      <c r="H189" s="19"/>
      <c r="I189" s="28"/>
      <c r="J189" s="28"/>
      <c r="K189" s="28"/>
      <c r="L189" s="19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9"/>
      <c r="D190" s="19"/>
      <c r="E190" s="19"/>
      <c r="F190" s="19"/>
      <c r="G190" s="19"/>
      <c r="H190" s="19"/>
      <c r="I190" s="28"/>
      <c r="J190" s="28"/>
      <c r="K190" s="28"/>
      <c r="L190" s="19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9"/>
      <c r="D191" s="19"/>
      <c r="E191" s="19"/>
      <c r="F191" s="19"/>
      <c r="G191" s="19"/>
      <c r="H191" s="19"/>
      <c r="I191" s="28"/>
      <c r="J191" s="28"/>
      <c r="K191" s="28"/>
      <c r="L191" s="19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9"/>
      <c r="D192" s="19"/>
      <c r="E192" s="19"/>
      <c r="F192" s="19"/>
      <c r="G192" s="19"/>
      <c r="H192" s="19"/>
      <c r="I192" s="28"/>
      <c r="J192" s="28"/>
      <c r="K192" s="28"/>
      <c r="L192" s="19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9"/>
      <c r="D193" s="19"/>
      <c r="E193" s="19"/>
      <c r="F193" s="19"/>
      <c r="G193" s="19"/>
      <c r="H193" s="19"/>
      <c r="I193" s="28"/>
      <c r="J193" s="28"/>
      <c r="K193" s="28"/>
      <c r="L193" s="19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9"/>
      <c r="D194" s="19"/>
      <c r="E194" s="19"/>
      <c r="F194" s="19"/>
      <c r="G194" s="19"/>
      <c r="H194" s="19"/>
      <c r="I194" s="28"/>
      <c r="J194" s="28"/>
      <c r="K194" s="28"/>
      <c r="L194" s="19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9"/>
      <c r="D195" s="19"/>
      <c r="E195" s="19"/>
      <c r="F195" s="19"/>
      <c r="G195" s="19"/>
      <c r="H195" s="19"/>
      <c r="I195" s="28"/>
      <c r="J195" s="28"/>
      <c r="K195" s="28"/>
      <c r="L195" s="19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9"/>
      <c r="D196" s="19"/>
      <c r="E196" s="19"/>
      <c r="F196" s="19"/>
      <c r="G196" s="19"/>
      <c r="H196" s="19"/>
      <c r="I196" s="28"/>
      <c r="J196" s="28"/>
      <c r="K196" s="28"/>
      <c r="L196" s="19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9"/>
      <c r="D197" s="19"/>
      <c r="E197" s="19"/>
      <c r="F197" s="19"/>
      <c r="G197" s="19"/>
      <c r="H197" s="19"/>
      <c r="I197" s="28"/>
      <c r="J197" s="28"/>
      <c r="K197" s="28"/>
      <c r="L197" s="19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9"/>
      <c r="D198" s="19"/>
      <c r="E198" s="19"/>
      <c r="F198" s="19"/>
      <c r="G198" s="19"/>
      <c r="H198" s="19"/>
      <c r="I198" s="28"/>
      <c r="J198" s="28"/>
      <c r="K198" s="28"/>
      <c r="L198" s="19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9"/>
      <c r="D199" s="19"/>
      <c r="E199" s="19"/>
      <c r="F199" s="19"/>
      <c r="G199" s="19"/>
      <c r="H199" s="19"/>
      <c r="I199" s="28"/>
      <c r="J199" s="28"/>
      <c r="K199" s="28"/>
      <c r="L199" s="19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9"/>
      <c r="D200" s="19"/>
      <c r="E200" s="19"/>
      <c r="F200" s="19"/>
      <c r="G200" s="19"/>
      <c r="H200" s="19"/>
      <c r="I200" s="28"/>
      <c r="J200" s="28"/>
      <c r="K200" s="28"/>
      <c r="L200" s="19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9"/>
      <c r="D201" s="19"/>
      <c r="E201" s="19"/>
      <c r="F201" s="19"/>
      <c r="G201" s="19"/>
      <c r="H201" s="19"/>
      <c r="I201" s="28"/>
      <c r="J201" s="28"/>
      <c r="K201" s="28"/>
      <c r="L201" s="19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9"/>
      <c r="D202" s="19"/>
      <c r="E202" s="19"/>
      <c r="F202" s="19"/>
      <c r="G202" s="19"/>
      <c r="H202" s="19"/>
      <c r="I202" s="28"/>
      <c r="J202" s="28"/>
      <c r="K202" s="28"/>
      <c r="L202" s="19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9"/>
      <c r="D203" s="19"/>
      <c r="E203" s="19"/>
      <c r="F203" s="19"/>
      <c r="G203" s="19"/>
      <c r="H203" s="19"/>
      <c r="I203" s="28"/>
      <c r="J203" s="28"/>
      <c r="K203" s="28"/>
      <c r="L203" s="19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9"/>
      <c r="D204" s="19"/>
      <c r="E204" s="19"/>
      <c r="F204" s="19"/>
      <c r="G204" s="19"/>
      <c r="H204" s="19"/>
      <c r="I204" s="28"/>
      <c r="J204" s="28"/>
      <c r="K204" s="28"/>
      <c r="L204" s="19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9"/>
      <c r="D205" s="19"/>
      <c r="E205" s="19"/>
      <c r="F205" s="19"/>
      <c r="G205" s="19"/>
      <c r="H205" s="19"/>
      <c r="I205" s="28"/>
      <c r="J205" s="28"/>
      <c r="K205" s="28"/>
      <c r="L205" s="19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9"/>
      <c r="D206" s="19"/>
      <c r="E206" s="19"/>
      <c r="F206" s="19"/>
      <c r="G206" s="19"/>
      <c r="H206" s="19"/>
      <c r="I206" s="28"/>
      <c r="J206" s="28"/>
      <c r="K206" s="28"/>
      <c r="L206" s="19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9"/>
      <c r="D207" s="19"/>
      <c r="E207" s="19"/>
      <c r="F207" s="19"/>
      <c r="G207" s="19"/>
      <c r="H207" s="19"/>
      <c r="I207" s="28"/>
      <c r="J207" s="28"/>
      <c r="K207" s="28"/>
      <c r="L207" s="19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9"/>
      <c r="D208" s="19"/>
      <c r="E208" s="19"/>
      <c r="F208" s="19"/>
      <c r="G208" s="19"/>
      <c r="H208" s="19"/>
      <c r="I208" s="28"/>
      <c r="J208" s="28"/>
      <c r="K208" s="28"/>
      <c r="L208" s="19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9"/>
      <c r="D209" s="19"/>
      <c r="E209" s="19"/>
      <c r="F209" s="19"/>
      <c r="G209" s="19"/>
      <c r="H209" s="19"/>
      <c r="I209" s="28"/>
      <c r="J209" s="28"/>
      <c r="K209" s="28"/>
      <c r="L209" s="19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9"/>
      <c r="D210" s="19"/>
      <c r="E210" s="19"/>
      <c r="F210" s="19"/>
      <c r="G210" s="19"/>
      <c r="H210" s="19"/>
      <c r="I210" s="28"/>
      <c r="J210" s="28"/>
      <c r="K210" s="28"/>
      <c r="L210" s="19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9"/>
      <c r="D211" s="19"/>
      <c r="E211" s="19"/>
      <c r="F211" s="19"/>
      <c r="G211" s="19"/>
      <c r="H211" s="19"/>
      <c r="I211" s="28"/>
      <c r="J211" s="28"/>
      <c r="K211" s="28"/>
      <c r="L211" s="19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9"/>
      <c r="D212" s="19"/>
      <c r="E212" s="19"/>
      <c r="F212" s="19"/>
      <c r="G212" s="19"/>
      <c r="H212" s="19"/>
      <c r="I212" s="28"/>
      <c r="J212" s="28"/>
      <c r="K212" s="28"/>
      <c r="L212" s="19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9"/>
      <c r="D213" s="19"/>
      <c r="E213" s="19"/>
      <c r="F213" s="19"/>
      <c r="G213" s="19"/>
      <c r="H213" s="19"/>
      <c r="I213" s="28"/>
      <c r="J213" s="28"/>
      <c r="K213" s="28"/>
      <c r="L213" s="19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9"/>
      <c r="D214" s="19"/>
      <c r="E214" s="19"/>
      <c r="F214" s="19"/>
      <c r="G214" s="19"/>
      <c r="H214" s="19"/>
      <c r="I214" s="28"/>
      <c r="J214" s="28"/>
      <c r="K214" s="28"/>
      <c r="L214" s="19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9"/>
      <c r="D215" s="19"/>
      <c r="E215" s="19"/>
      <c r="F215" s="19"/>
      <c r="G215" s="19"/>
      <c r="H215" s="19"/>
      <c r="I215" s="28"/>
      <c r="J215" s="28"/>
      <c r="K215" s="28"/>
      <c r="L215" s="19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9"/>
      <c r="D216" s="19"/>
      <c r="E216" s="19"/>
      <c r="F216" s="19"/>
      <c r="G216" s="19"/>
      <c r="H216" s="19"/>
      <c r="I216" s="28"/>
      <c r="J216" s="28"/>
      <c r="K216" s="28"/>
      <c r="L216" s="19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9"/>
      <c r="D217" s="19"/>
      <c r="E217" s="19"/>
      <c r="F217" s="19"/>
      <c r="G217" s="19"/>
      <c r="H217" s="19"/>
      <c r="I217" s="28"/>
      <c r="J217" s="28"/>
      <c r="K217" s="28"/>
      <c r="L217" s="19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9"/>
      <c r="D218" s="19"/>
      <c r="E218" s="19"/>
      <c r="F218" s="19"/>
      <c r="G218" s="19"/>
      <c r="H218" s="19"/>
      <c r="I218" s="28"/>
      <c r="J218" s="28"/>
      <c r="K218" s="28"/>
      <c r="L218" s="19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9"/>
      <c r="D219" s="19"/>
      <c r="E219" s="19"/>
      <c r="F219" s="19"/>
      <c r="G219" s="19"/>
      <c r="H219" s="19"/>
      <c r="I219" s="28"/>
      <c r="J219" s="28"/>
      <c r="K219" s="28"/>
      <c r="L219" s="19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9"/>
      <c r="D220" s="19"/>
      <c r="E220" s="19"/>
      <c r="F220" s="19"/>
      <c r="G220" s="19"/>
      <c r="H220" s="19"/>
      <c r="I220" s="28"/>
      <c r="J220" s="28"/>
      <c r="K220" s="28"/>
      <c r="L220" s="19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9"/>
      <c r="D221" s="19"/>
      <c r="E221" s="19"/>
      <c r="F221" s="19"/>
      <c r="G221" s="19"/>
      <c r="H221" s="19"/>
      <c r="I221" s="28"/>
      <c r="J221" s="28"/>
      <c r="K221" s="28"/>
      <c r="L221" s="19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9"/>
      <c r="D222" s="19"/>
      <c r="E222" s="19"/>
      <c r="F222" s="19"/>
      <c r="G222" s="19"/>
      <c r="H222" s="19"/>
      <c r="I222" s="28"/>
      <c r="J222" s="28"/>
      <c r="K222" s="28"/>
      <c r="L222" s="19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9"/>
      <c r="D223" s="19"/>
      <c r="E223" s="19"/>
      <c r="F223" s="19"/>
      <c r="G223" s="19"/>
      <c r="H223" s="19"/>
      <c r="I223" s="28"/>
      <c r="J223" s="28"/>
      <c r="K223" s="28"/>
      <c r="L223" s="19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9"/>
      <c r="D224" s="19"/>
      <c r="E224" s="19"/>
      <c r="F224" s="19"/>
      <c r="G224" s="19"/>
      <c r="H224" s="19"/>
      <c r="I224" s="28"/>
      <c r="J224" s="28"/>
      <c r="K224" s="28"/>
      <c r="L224" s="19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9"/>
      <c r="D225" s="19"/>
      <c r="E225" s="19"/>
      <c r="F225" s="19"/>
      <c r="G225" s="19"/>
      <c r="H225" s="19"/>
      <c r="I225" s="28"/>
      <c r="J225" s="28"/>
      <c r="K225" s="28"/>
      <c r="L225" s="19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9"/>
      <c r="D226" s="19"/>
      <c r="E226" s="19"/>
      <c r="F226" s="19"/>
      <c r="G226" s="19"/>
      <c r="H226" s="19"/>
      <c r="I226" s="28"/>
      <c r="J226" s="28"/>
      <c r="K226" s="28"/>
      <c r="L226" s="19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9"/>
      <c r="D227" s="19"/>
      <c r="E227" s="19"/>
      <c r="F227" s="19"/>
      <c r="G227" s="19"/>
      <c r="H227" s="19"/>
      <c r="I227" s="28"/>
      <c r="J227" s="28"/>
      <c r="K227" s="28"/>
      <c r="L227" s="19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9"/>
      <c r="D228" s="19"/>
      <c r="E228" s="19"/>
      <c r="F228" s="19"/>
      <c r="G228" s="19"/>
      <c r="H228" s="19"/>
      <c r="I228" s="28"/>
      <c r="J228" s="28"/>
      <c r="K228" s="28"/>
      <c r="L228" s="19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9"/>
      <c r="D229" s="19"/>
      <c r="E229" s="19"/>
      <c r="F229" s="19"/>
      <c r="G229" s="19"/>
      <c r="H229" s="19"/>
      <c r="I229" s="28"/>
      <c r="J229" s="28"/>
      <c r="K229" s="28"/>
      <c r="L229" s="19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9"/>
      <c r="D230" s="19"/>
      <c r="E230" s="19"/>
      <c r="F230" s="19"/>
      <c r="G230" s="19"/>
      <c r="H230" s="19"/>
      <c r="I230" s="28"/>
      <c r="J230" s="28"/>
      <c r="K230" s="28"/>
      <c r="L230" s="19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9"/>
      <c r="D231" s="19"/>
      <c r="E231" s="19"/>
      <c r="F231" s="19"/>
      <c r="G231" s="19"/>
      <c r="H231" s="19"/>
      <c r="I231" s="28"/>
      <c r="J231" s="28"/>
      <c r="K231" s="28"/>
      <c r="L231" s="19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9"/>
      <c r="D232" s="19"/>
      <c r="E232" s="19"/>
      <c r="F232" s="19"/>
      <c r="G232" s="19"/>
      <c r="H232" s="19"/>
      <c r="I232" s="28"/>
      <c r="J232" s="28"/>
      <c r="K232" s="28"/>
      <c r="L232" s="19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9"/>
      <c r="D233" s="19"/>
      <c r="E233" s="19"/>
      <c r="F233" s="19"/>
      <c r="G233" s="19"/>
      <c r="H233" s="19"/>
      <c r="I233" s="28"/>
      <c r="J233" s="28"/>
      <c r="K233" s="28"/>
      <c r="L233" s="19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9"/>
      <c r="D234" s="19"/>
      <c r="E234" s="19"/>
      <c r="F234" s="19"/>
      <c r="G234" s="19"/>
      <c r="H234" s="19"/>
      <c r="I234" s="28"/>
      <c r="J234" s="28"/>
      <c r="K234" s="28"/>
      <c r="L234" s="19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9"/>
      <c r="D235" s="19"/>
      <c r="E235" s="19"/>
      <c r="F235" s="19"/>
      <c r="G235" s="19"/>
      <c r="H235" s="19"/>
      <c r="I235" s="28"/>
      <c r="J235" s="28"/>
      <c r="K235" s="28"/>
      <c r="L235" s="19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9"/>
      <c r="D236" s="19"/>
      <c r="E236" s="19"/>
      <c r="F236" s="19"/>
      <c r="G236" s="19"/>
      <c r="H236" s="19"/>
      <c r="I236" s="28"/>
      <c r="J236" s="28"/>
      <c r="K236" s="28"/>
      <c r="L236" s="19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9"/>
      <c r="D237" s="19"/>
      <c r="E237" s="19"/>
      <c r="F237" s="19"/>
      <c r="G237" s="19"/>
      <c r="H237" s="19"/>
      <c r="I237" s="28"/>
      <c r="J237" s="28"/>
      <c r="K237" s="28"/>
      <c r="L237" s="19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9"/>
      <c r="D238" s="19"/>
      <c r="E238" s="19"/>
      <c r="F238" s="19"/>
      <c r="G238" s="19"/>
      <c r="H238" s="19"/>
      <c r="I238" s="28"/>
      <c r="J238" s="28"/>
      <c r="K238" s="28"/>
      <c r="L238" s="19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9"/>
      <c r="D239" s="19"/>
      <c r="E239" s="19"/>
      <c r="F239" s="19"/>
      <c r="G239" s="19"/>
      <c r="H239" s="19"/>
      <c r="I239" s="28"/>
      <c r="J239" s="28"/>
      <c r="K239" s="28"/>
      <c r="L239" s="19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9"/>
      <c r="D240" s="19"/>
      <c r="E240" s="19"/>
      <c r="F240" s="19"/>
      <c r="G240" s="19"/>
      <c r="H240" s="19"/>
      <c r="I240" s="28"/>
      <c r="J240" s="28"/>
      <c r="K240" s="28"/>
      <c r="L240" s="19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9"/>
      <c r="D241" s="19"/>
      <c r="E241" s="19"/>
      <c r="F241" s="19"/>
      <c r="G241" s="19"/>
      <c r="H241" s="19"/>
      <c r="I241" s="28"/>
      <c r="J241" s="28"/>
      <c r="K241" s="28"/>
      <c r="L241" s="19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9"/>
      <c r="D242" s="19"/>
      <c r="E242" s="19"/>
      <c r="F242" s="19"/>
      <c r="G242" s="19"/>
      <c r="H242" s="19"/>
      <c r="I242" s="28"/>
      <c r="J242" s="28"/>
      <c r="K242" s="28"/>
      <c r="L242" s="19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9"/>
      <c r="D243" s="19"/>
      <c r="E243" s="19"/>
      <c r="F243" s="19"/>
      <c r="G243" s="19"/>
      <c r="H243" s="19"/>
      <c r="I243" s="28"/>
      <c r="J243" s="28"/>
      <c r="K243" s="28"/>
      <c r="L243" s="19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9"/>
      <c r="D244" s="19"/>
      <c r="E244" s="19"/>
      <c r="F244" s="19"/>
      <c r="G244" s="19"/>
      <c r="H244" s="19"/>
      <c r="I244" s="28"/>
      <c r="J244" s="28"/>
      <c r="K244" s="28"/>
      <c r="L244" s="19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9"/>
      <c r="D245" s="19"/>
      <c r="E245" s="19"/>
      <c r="F245" s="19"/>
      <c r="G245" s="19"/>
      <c r="H245" s="19"/>
      <c r="I245" s="28"/>
      <c r="J245" s="28"/>
      <c r="K245" s="28"/>
      <c r="L245" s="19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9"/>
      <c r="D246" s="19"/>
      <c r="E246" s="19"/>
      <c r="F246" s="19"/>
      <c r="G246" s="19"/>
      <c r="H246" s="19"/>
      <c r="I246" s="28"/>
      <c r="J246" s="28"/>
      <c r="K246" s="28"/>
      <c r="L246" s="19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9"/>
      <c r="D247" s="19"/>
      <c r="E247" s="19"/>
      <c r="F247" s="19"/>
      <c r="G247" s="19"/>
      <c r="H247" s="19"/>
      <c r="I247" s="28"/>
      <c r="J247" s="28"/>
      <c r="K247" s="28"/>
      <c r="L247" s="19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9"/>
      <c r="D248" s="19"/>
      <c r="E248" s="19"/>
      <c r="F248" s="19"/>
      <c r="G248" s="19"/>
      <c r="H248" s="19"/>
      <c r="I248" s="28"/>
      <c r="J248" s="28"/>
      <c r="K248" s="28"/>
      <c r="L248" s="19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9"/>
      <c r="D249" s="19"/>
      <c r="E249" s="19"/>
      <c r="F249" s="19"/>
      <c r="G249" s="19"/>
      <c r="H249" s="19"/>
      <c r="I249" s="28"/>
      <c r="J249" s="28"/>
      <c r="K249" s="28"/>
      <c r="L249" s="19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9"/>
      <c r="D250" s="19"/>
      <c r="E250" s="19"/>
      <c r="F250" s="19"/>
      <c r="G250" s="19"/>
      <c r="H250" s="19"/>
      <c r="I250" s="28"/>
      <c r="J250" s="28"/>
      <c r="K250" s="28"/>
      <c r="L250" s="19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9"/>
      <c r="D251" s="19"/>
      <c r="E251" s="19"/>
      <c r="F251" s="19"/>
      <c r="G251" s="19"/>
      <c r="H251" s="19"/>
      <c r="I251" s="28"/>
      <c r="J251" s="28"/>
      <c r="K251" s="28"/>
      <c r="L251" s="19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9"/>
      <c r="D252" s="19"/>
      <c r="E252" s="19"/>
      <c r="F252" s="19"/>
      <c r="G252" s="19"/>
      <c r="H252" s="19"/>
      <c r="I252" s="28"/>
      <c r="J252" s="28"/>
      <c r="K252" s="28"/>
      <c r="L252" s="19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9"/>
      <c r="D253" s="19"/>
      <c r="E253" s="19"/>
      <c r="F253" s="19"/>
      <c r="G253" s="19"/>
      <c r="H253" s="19"/>
      <c r="I253" s="28"/>
      <c r="J253" s="28"/>
      <c r="K253" s="28"/>
      <c r="L253" s="19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9"/>
      <c r="D254" s="19"/>
      <c r="E254" s="19"/>
      <c r="F254" s="19"/>
      <c r="G254" s="19"/>
      <c r="H254" s="19"/>
      <c r="I254" s="28"/>
      <c r="J254" s="28"/>
      <c r="K254" s="28"/>
      <c r="L254" s="19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9"/>
      <c r="D255" s="19"/>
      <c r="E255" s="19"/>
      <c r="F255" s="19"/>
      <c r="G255" s="19"/>
      <c r="H255" s="19"/>
      <c r="I255" s="28"/>
      <c r="J255" s="28"/>
      <c r="K255" s="28"/>
      <c r="L255" s="19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9"/>
      <c r="D256" s="19"/>
      <c r="E256" s="19"/>
      <c r="F256" s="19"/>
      <c r="G256" s="19"/>
      <c r="H256" s="19"/>
      <c r="I256" s="28"/>
      <c r="J256" s="28"/>
      <c r="K256" s="28"/>
      <c r="L256" s="19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9"/>
      <c r="D257" s="19"/>
      <c r="E257" s="19"/>
      <c r="F257" s="19"/>
      <c r="G257" s="19"/>
      <c r="H257" s="19"/>
      <c r="I257" s="28"/>
      <c r="J257" s="28"/>
      <c r="K257" s="28"/>
      <c r="L257" s="19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9"/>
      <c r="D258" s="19"/>
      <c r="E258" s="19"/>
      <c r="F258" s="19"/>
      <c r="G258" s="19"/>
      <c r="H258" s="19"/>
      <c r="I258" s="28"/>
      <c r="J258" s="28"/>
      <c r="K258" s="28"/>
      <c r="L258" s="19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9"/>
      <c r="D259" s="19"/>
      <c r="E259" s="19"/>
      <c r="F259" s="19"/>
      <c r="G259" s="19"/>
      <c r="H259" s="19"/>
      <c r="I259" s="28"/>
      <c r="J259" s="28"/>
      <c r="K259" s="28"/>
      <c r="L259" s="19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9"/>
      <c r="D260" s="19"/>
      <c r="E260" s="19"/>
      <c r="F260" s="19"/>
      <c r="G260" s="19"/>
      <c r="H260" s="19"/>
      <c r="I260" s="28"/>
      <c r="J260" s="28"/>
      <c r="K260" s="28"/>
      <c r="L260" s="19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9"/>
      <c r="D261" s="19"/>
      <c r="E261" s="19"/>
      <c r="F261" s="19"/>
      <c r="G261" s="19"/>
      <c r="H261" s="19"/>
      <c r="I261" s="28"/>
      <c r="J261" s="28"/>
      <c r="K261" s="28"/>
      <c r="L261" s="19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9"/>
      <c r="D262" s="19"/>
      <c r="E262" s="19"/>
      <c r="F262" s="19"/>
      <c r="G262" s="19"/>
      <c r="H262" s="19"/>
      <c r="I262" s="28"/>
      <c r="J262" s="28"/>
      <c r="K262" s="28"/>
      <c r="L262" s="19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9"/>
      <c r="D263" s="19"/>
      <c r="E263" s="19"/>
      <c r="F263" s="19"/>
      <c r="G263" s="19"/>
      <c r="H263" s="19"/>
      <c r="I263" s="28"/>
      <c r="J263" s="28"/>
      <c r="K263" s="28"/>
      <c r="L263" s="19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9"/>
      <c r="D264" s="19"/>
      <c r="E264" s="19"/>
      <c r="F264" s="19"/>
      <c r="G264" s="19"/>
      <c r="H264" s="19"/>
      <c r="I264" s="28"/>
      <c r="J264" s="28"/>
      <c r="K264" s="28"/>
      <c r="L264" s="19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9"/>
      <c r="D265" s="19"/>
      <c r="E265" s="19"/>
      <c r="F265" s="19"/>
      <c r="G265" s="19"/>
      <c r="H265" s="19"/>
      <c r="I265" s="28"/>
      <c r="J265" s="28"/>
      <c r="K265" s="28"/>
      <c r="L265" s="19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9"/>
      <c r="D266" s="19"/>
      <c r="E266" s="19"/>
      <c r="F266" s="19"/>
      <c r="G266" s="19"/>
      <c r="H266" s="19"/>
      <c r="I266" s="28"/>
      <c r="J266" s="28"/>
      <c r="K266" s="28"/>
      <c r="L266" s="19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9"/>
      <c r="D267" s="19"/>
      <c r="E267" s="19"/>
      <c r="F267" s="19"/>
      <c r="G267" s="19"/>
      <c r="H267" s="19"/>
      <c r="I267" s="28"/>
      <c r="J267" s="28"/>
      <c r="K267" s="28"/>
      <c r="L267" s="19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9"/>
      <c r="D268" s="19"/>
      <c r="E268" s="19"/>
      <c r="F268" s="19"/>
      <c r="G268" s="19"/>
      <c r="H268" s="19"/>
      <c r="I268" s="28"/>
      <c r="J268" s="28"/>
      <c r="K268" s="28"/>
      <c r="L268" s="19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9"/>
      <c r="D269" s="19"/>
      <c r="E269" s="19"/>
      <c r="F269" s="19"/>
      <c r="G269" s="19"/>
      <c r="H269" s="19"/>
      <c r="I269" s="28"/>
      <c r="J269" s="28"/>
      <c r="K269" s="28"/>
      <c r="L269" s="19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9"/>
      <c r="D270" s="19"/>
      <c r="E270" s="19"/>
      <c r="F270" s="19"/>
      <c r="G270" s="19"/>
      <c r="H270" s="19"/>
      <c r="I270" s="28"/>
      <c r="J270" s="28"/>
      <c r="K270" s="28"/>
      <c r="L270" s="19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9"/>
      <c r="D271" s="19"/>
      <c r="E271" s="19"/>
      <c r="F271" s="19"/>
      <c r="G271" s="19"/>
      <c r="H271" s="19"/>
      <c r="I271" s="28"/>
      <c r="J271" s="28"/>
      <c r="K271" s="28"/>
      <c r="L271" s="19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9"/>
      <c r="D272" s="19"/>
      <c r="E272" s="19"/>
      <c r="F272" s="19"/>
      <c r="G272" s="19"/>
      <c r="H272" s="19"/>
      <c r="I272" s="28"/>
      <c r="J272" s="28"/>
      <c r="K272" s="28"/>
      <c r="L272" s="19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9"/>
      <c r="D273" s="19"/>
      <c r="E273" s="19"/>
      <c r="F273" s="19"/>
      <c r="G273" s="19"/>
      <c r="H273" s="19"/>
      <c r="I273" s="28"/>
      <c r="J273" s="28"/>
      <c r="K273" s="28"/>
      <c r="L273" s="19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9"/>
      <c r="D274" s="19"/>
      <c r="E274" s="19"/>
      <c r="F274" s="19"/>
      <c r="G274" s="19"/>
      <c r="H274" s="19"/>
      <c r="I274" s="28"/>
      <c r="J274" s="28"/>
      <c r="K274" s="28"/>
      <c r="L274" s="19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9"/>
      <c r="D275" s="19"/>
      <c r="E275" s="19"/>
      <c r="F275" s="19"/>
      <c r="G275" s="19"/>
      <c r="H275" s="19"/>
      <c r="I275" s="28"/>
      <c r="J275" s="28"/>
      <c r="K275" s="28"/>
      <c r="L275" s="19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9"/>
      <c r="D276" s="19"/>
      <c r="E276" s="19"/>
      <c r="F276" s="19"/>
      <c r="G276" s="19"/>
      <c r="H276" s="19"/>
      <c r="I276" s="28"/>
      <c r="J276" s="28"/>
      <c r="K276" s="28"/>
      <c r="L276" s="19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9"/>
      <c r="D277" s="19"/>
      <c r="E277" s="19"/>
      <c r="F277" s="19"/>
      <c r="G277" s="19"/>
      <c r="H277" s="19"/>
      <c r="I277" s="28"/>
      <c r="J277" s="28"/>
      <c r="K277" s="28"/>
      <c r="L277" s="19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9"/>
      <c r="D278" s="19"/>
      <c r="E278" s="19"/>
      <c r="F278" s="19"/>
      <c r="G278" s="19"/>
      <c r="H278" s="19"/>
      <c r="I278" s="28"/>
      <c r="J278" s="28"/>
      <c r="K278" s="28"/>
      <c r="L278" s="19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9"/>
      <c r="D279" s="19"/>
      <c r="E279" s="19"/>
      <c r="F279" s="19"/>
      <c r="G279" s="19"/>
      <c r="H279" s="19"/>
      <c r="I279" s="28"/>
      <c r="J279" s="28"/>
      <c r="K279" s="28"/>
      <c r="L279" s="19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9"/>
      <c r="D280" s="19"/>
      <c r="E280" s="19"/>
      <c r="F280" s="19"/>
      <c r="G280" s="19"/>
      <c r="H280" s="19"/>
      <c r="I280" s="28"/>
      <c r="J280" s="28"/>
      <c r="K280" s="28"/>
      <c r="L280" s="19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9"/>
      <c r="D281" s="19"/>
      <c r="E281" s="19"/>
      <c r="F281" s="19"/>
      <c r="G281" s="19"/>
      <c r="H281" s="19"/>
      <c r="I281" s="28"/>
      <c r="J281" s="28"/>
      <c r="K281" s="28"/>
      <c r="L281" s="19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9"/>
      <c r="D282" s="19"/>
      <c r="E282" s="19"/>
      <c r="F282" s="19"/>
      <c r="G282" s="19"/>
      <c r="H282" s="19"/>
      <c r="I282" s="28"/>
      <c r="J282" s="28"/>
      <c r="K282" s="28"/>
      <c r="L282" s="19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9"/>
      <c r="D283" s="19"/>
      <c r="E283" s="19"/>
      <c r="F283" s="19"/>
      <c r="G283" s="19"/>
      <c r="H283" s="19"/>
      <c r="I283" s="28"/>
      <c r="J283" s="28"/>
      <c r="K283" s="28"/>
      <c r="L283" s="19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9"/>
      <c r="D284" s="19"/>
      <c r="E284" s="19"/>
      <c r="F284" s="19"/>
      <c r="G284" s="19"/>
      <c r="H284" s="19"/>
      <c r="I284" s="28"/>
      <c r="J284" s="28"/>
      <c r="K284" s="28"/>
      <c r="L284" s="19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9"/>
      <c r="D285" s="19"/>
      <c r="E285" s="19"/>
      <c r="F285" s="19"/>
      <c r="G285" s="19"/>
      <c r="H285" s="19"/>
      <c r="I285" s="28"/>
      <c r="J285" s="28"/>
      <c r="K285" s="28"/>
      <c r="L285" s="19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9"/>
      <c r="D286" s="19"/>
      <c r="E286" s="19"/>
      <c r="F286" s="19"/>
      <c r="G286" s="19"/>
      <c r="H286" s="19"/>
      <c r="I286" s="28"/>
      <c r="J286" s="28"/>
      <c r="K286" s="28"/>
      <c r="L286" s="19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9"/>
      <c r="D287" s="19"/>
      <c r="E287" s="19"/>
      <c r="F287" s="19"/>
      <c r="G287" s="19"/>
      <c r="H287" s="19"/>
      <c r="I287" s="28"/>
      <c r="J287" s="28"/>
      <c r="K287" s="28"/>
      <c r="L287" s="19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9"/>
      <c r="D288" s="19"/>
      <c r="E288" s="19"/>
      <c r="F288" s="19"/>
      <c r="G288" s="19"/>
      <c r="H288" s="19"/>
      <c r="I288" s="28"/>
      <c r="J288" s="28"/>
      <c r="K288" s="28"/>
      <c r="L288" s="19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9"/>
      <c r="D289" s="19"/>
      <c r="E289" s="19"/>
      <c r="F289" s="19"/>
      <c r="G289" s="19"/>
      <c r="H289" s="19"/>
      <c r="I289" s="28"/>
      <c r="J289" s="28"/>
      <c r="K289" s="28"/>
      <c r="L289" s="19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9"/>
      <c r="D290" s="19"/>
      <c r="E290" s="19"/>
      <c r="F290" s="19"/>
      <c r="G290" s="19"/>
      <c r="H290" s="19"/>
      <c r="I290" s="28"/>
      <c r="J290" s="28"/>
      <c r="K290" s="28"/>
      <c r="L290" s="19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9"/>
      <c r="D291" s="19"/>
      <c r="E291" s="19"/>
      <c r="F291" s="19"/>
      <c r="G291" s="19"/>
      <c r="H291" s="19"/>
      <c r="I291" s="28"/>
      <c r="J291" s="28"/>
      <c r="K291" s="28"/>
      <c r="L291" s="19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9"/>
      <c r="D292" s="19"/>
      <c r="E292" s="19"/>
      <c r="F292" s="19"/>
      <c r="G292" s="19"/>
      <c r="H292" s="19"/>
      <c r="I292" s="28"/>
      <c r="J292" s="28"/>
      <c r="K292" s="28"/>
      <c r="L292" s="19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9"/>
      <c r="D293" s="19"/>
      <c r="E293" s="19"/>
      <c r="F293" s="19"/>
      <c r="G293" s="19"/>
      <c r="H293" s="19"/>
      <c r="I293" s="28"/>
      <c r="J293" s="28"/>
      <c r="K293" s="28"/>
      <c r="L293" s="19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9"/>
      <c r="D294" s="19"/>
      <c r="E294" s="19"/>
      <c r="F294" s="19"/>
      <c r="G294" s="19"/>
      <c r="H294" s="19"/>
      <c r="I294" s="28"/>
      <c r="J294" s="28"/>
      <c r="K294" s="28"/>
      <c r="L294" s="19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9"/>
      <c r="D295" s="19"/>
      <c r="E295" s="19"/>
      <c r="F295" s="19"/>
      <c r="G295" s="19"/>
      <c r="H295" s="19"/>
      <c r="I295" s="28"/>
      <c r="J295" s="28"/>
      <c r="K295" s="28"/>
      <c r="L295" s="19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9"/>
      <c r="D296" s="19"/>
      <c r="E296" s="19"/>
      <c r="F296" s="19"/>
      <c r="G296" s="19"/>
      <c r="H296" s="19"/>
      <c r="I296" s="28"/>
      <c r="J296" s="28"/>
      <c r="K296" s="28"/>
      <c r="L296" s="19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9"/>
      <c r="D297" s="19"/>
      <c r="E297" s="19"/>
      <c r="F297" s="19"/>
      <c r="G297" s="19"/>
      <c r="H297" s="19"/>
      <c r="I297" s="28"/>
      <c r="J297" s="28"/>
      <c r="K297" s="28"/>
      <c r="L297" s="19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9"/>
      <c r="D298" s="19"/>
      <c r="E298" s="19"/>
      <c r="F298" s="19"/>
      <c r="G298" s="19"/>
      <c r="H298" s="19"/>
      <c r="I298" s="28"/>
      <c r="J298" s="28"/>
      <c r="K298" s="28"/>
      <c r="L298" s="19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9"/>
      <c r="D299" s="19"/>
      <c r="E299" s="19"/>
      <c r="F299" s="19"/>
      <c r="G299" s="19"/>
      <c r="H299" s="19"/>
      <c r="I299" s="28"/>
      <c r="J299" s="28"/>
      <c r="K299" s="28"/>
      <c r="L299" s="19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9"/>
      <c r="D300" s="19"/>
      <c r="E300" s="19"/>
      <c r="F300" s="19"/>
      <c r="G300" s="19"/>
      <c r="H300" s="19"/>
      <c r="I300" s="28"/>
      <c r="J300" s="28"/>
      <c r="K300" s="28"/>
      <c r="L300" s="19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9"/>
      <c r="D301" s="19"/>
      <c r="E301" s="19"/>
      <c r="F301" s="19"/>
      <c r="G301" s="19"/>
      <c r="H301" s="19"/>
      <c r="I301" s="28"/>
      <c r="J301" s="28"/>
      <c r="K301" s="28"/>
      <c r="L301" s="19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9"/>
      <c r="D302" s="19"/>
      <c r="E302" s="19"/>
      <c r="F302" s="19"/>
      <c r="G302" s="19"/>
      <c r="H302" s="19"/>
      <c r="I302" s="28"/>
      <c r="J302" s="28"/>
      <c r="K302" s="28"/>
      <c r="L302" s="19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9"/>
      <c r="D303" s="19"/>
      <c r="E303" s="19"/>
      <c r="F303" s="19"/>
      <c r="G303" s="19"/>
      <c r="H303" s="19"/>
      <c r="I303" s="28"/>
      <c r="J303" s="28"/>
      <c r="K303" s="28"/>
      <c r="L303" s="19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9"/>
      <c r="D304" s="19"/>
      <c r="E304" s="19"/>
      <c r="F304" s="19"/>
      <c r="G304" s="19"/>
      <c r="H304" s="19"/>
      <c r="I304" s="28"/>
      <c r="J304" s="28"/>
      <c r="K304" s="28"/>
      <c r="L304" s="19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9"/>
      <c r="D305" s="19"/>
      <c r="E305" s="19"/>
      <c r="F305" s="19"/>
      <c r="G305" s="19"/>
      <c r="H305" s="19"/>
      <c r="I305" s="28"/>
      <c r="J305" s="28"/>
      <c r="K305" s="28"/>
      <c r="L305" s="19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9"/>
      <c r="D306" s="19"/>
      <c r="E306" s="19"/>
      <c r="F306" s="19"/>
      <c r="G306" s="19"/>
      <c r="H306" s="19"/>
      <c r="I306" s="28"/>
      <c r="J306" s="28"/>
      <c r="K306" s="28"/>
      <c r="L306" s="19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9"/>
      <c r="D307" s="19"/>
      <c r="E307" s="19"/>
      <c r="F307" s="19"/>
      <c r="G307" s="19"/>
      <c r="H307" s="19"/>
      <c r="I307" s="28"/>
      <c r="J307" s="28"/>
      <c r="K307" s="28"/>
      <c r="L307" s="19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9"/>
      <c r="D308" s="19"/>
      <c r="E308" s="19"/>
      <c r="F308" s="19"/>
      <c r="G308" s="19"/>
      <c r="H308" s="19"/>
      <c r="I308" s="28"/>
      <c r="J308" s="28"/>
      <c r="K308" s="28"/>
      <c r="L308" s="19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9"/>
      <c r="D309" s="19"/>
      <c r="E309" s="19"/>
      <c r="F309" s="19"/>
      <c r="G309" s="19"/>
      <c r="H309" s="19"/>
      <c r="I309" s="28"/>
      <c r="J309" s="28"/>
      <c r="K309" s="28"/>
      <c r="L309" s="19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9"/>
      <c r="D310" s="19"/>
      <c r="E310" s="19"/>
      <c r="F310" s="19"/>
      <c r="G310" s="19"/>
      <c r="H310" s="19"/>
      <c r="I310" s="28"/>
      <c r="J310" s="28"/>
      <c r="K310" s="28"/>
      <c r="L310" s="19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9"/>
      <c r="D311" s="19"/>
      <c r="E311" s="19"/>
      <c r="F311" s="19"/>
      <c r="G311" s="19"/>
      <c r="H311" s="19"/>
      <c r="I311" s="28"/>
      <c r="J311" s="28"/>
      <c r="K311" s="28"/>
      <c r="L311" s="19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9"/>
      <c r="D312" s="19"/>
      <c r="E312" s="19"/>
      <c r="F312" s="19"/>
      <c r="G312" s="19"/>
      <c r="H312" s="19"/>
      <c r="I312" s="28"/>
      <c r="J312" s="28"/>
      <c r="K312" s="28"/>
      <c r="L312" s="19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9"/>
      <c r="D313" s="19"/>
      <c r="E313" s="19"/>
      <c r="F313" s="19"/>
      <c r="G313" s="19"/>
      <c r="H313" s="19"/>
      <c r="I313" s="28"/>
      <c r="J313" s="28"/>
      <c r="K313" s="28"/>
      <c r="L313" s="19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9"/>
      <c r="D314" s="19"/>
      <c r="E314" s="19"/>
      <c r="F314" s="19"/>
      <c r="G314" s="19"/>
      <c r="H314" s="19"/>
      <c r="I314" s="28"/>
      <c r="J314" s="28"/>
      <c r="K314" s="28"/>
      <c r="L314" s="19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9"/>
      <c r="D315" s="19"/>
      <c r="E315" s="19"/>
      <c r="F315" s="19"/>
      <c r="G315" s="19"/>
      <c r="H315" s="19"/>
      <c r="I315" s="28"/>
      <c r="J315" s="28"/>
      <c r="K315" s="28"/>
      <c r="L315" s="19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9"/>
      <c r="D316" s="19"/>
      <c r="E316" s="19"/>
      <c r="F316" s="19"/>
      <c r="G316" s="19"/>
      <c r="H316" s="19"/>
      <c r="I316" s="28"/>
      <c r="J316" s="28"/>
      <c r="K316" s="28"/>
      <c r="L316" s="19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9"/>
      <c r="D317" s="19"/>
      <c r="E317" s="19"/>
      <c r="F317" s="19"/>
      <c r="G317" s="19"/>
      <c r="H317" s="19"/>
      <c r="I317" s="28"/>
      <c r="J317" s="28"/>
      <c r="K317" s="28"/>
      <c r="L317" s="19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9"/>
      <c r="D318" s="19"/>
      <c r="E318" s="19"/>
      <c r="F318" s="19"/>
      <c r="G318" s="19"/>
      <c r="H318" s="19"/>
      <c r="I318" s="28"/>
      <c r="J318" s="28"/>
      <c r="K318" s="28"/>
      <c r="L318" s="19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9"/>
      <c r="D319" s="19"/>
      <c r="E319" s="19"/>
      <c r="F319" s="19"/>
      <c r="G319" s="19"/>
      <c r="H319" s="19"/>
      <c r="I319" s="28"/>
      <c r="J319" s="28"/>
      <c r="K319" s="28"/>
      <c r="L319" s="19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9"/>
      <c r="D320" s="19"/>
      <c r="E320" s="19"/>
      <c r="F320" s="19"/>
      <c r="G320" s="19"/>
      <c r="H320" s="19"/>
      <c r="I320" s="28"/>
      <c r="J320" s="28"/>
      <c r="K320" s="28"/>
      <c r="L320" s="19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9"/>
      <c r="D321" s="19"/>
      <c r="E321" s="19"/>
      <c r="F321" s="19"/>
      <c r="G321" s="19"/>
      <c r="H321" s="19"/>
      <c r="I321" s="28"/>
      <c r="J321" s="28"/>
      <c r="K321" s="28"/>
      <c r="L321" s="19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9"/>
      <c r="D322" s="19"/>
      <c r="E322" s="19"/>
      <c r="F322" s="19"/>
      <c r="G322" s="19"/>
      <c r="H322" s="19"/>
      <c r="I322" s="28"/>
      <c r="J322" s="28"/>
      <c r="K322" s="28"/>
      <c r="L322" s="19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9"/>
      <c r="D323" s="19"/>
      <c r="E323" s="19"/>
      <c r="F323" s="19"/>
      <c r="G323" s="19"/>
      <c r="H323" s="19"/>
      <c r="I323" s="28"/>
      <c r="J323" s="28"/>
      <c r="K323" s="28"/>
      <c r="L323" s="19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9"/>
      <c r="D324" s="19"/>
      <c r="E324" s="19"/>
      <c r="F324" s="19"/>
      <c r="G324" s="19"/>
      <c r="H324" s="19"/>
      <c r="I324" s="28"/>
      <c r="J324" s="28"/>
      <c r="K324" s="28"/>
      <c r="L324" s="19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9"/>
      <c r="D325" s="19"/>
      <c r="E325" s="19"/>
      <c r="F325" s="19"/>
      <c r="G325" s="19"/>
      <c r="H325" s="19"/>
      <c r="I325" s="28"/>
      <c r="J325" s="28"/>
      <c r="K325" s="28"/>
      <c r="L325" s="19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9"/>
      <c r="D326" s="19"/>
      <c r="E326" s="19"/>
      <c r="F326" s="19"/>
      <c r="G326" s="19"/>
      <c r="H326" s="19"/>
      <c r="I326" s="28"/>
      <c r="J326" s="28"/>
      <c r="K326" s="28"/>
      <c r="L326" s="19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9"/>
      <c r="D327" s="19"/>
      <c r="E327" s="19"/>
      <c r="F327" s="19"/>
      <c r="G327" s="19"/>
      <c r="H327" s="19"/>
      <c r="I327" s="28"/>
      <c r="J327" s="28"/>
      <c r="K327" s="28"/>
      <c r="L327" s="19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9"/>
      <c r="D328" s="19"/>
      <c r="E328" s="19"/>
      <c r="F328" s="19"/>
      <c r="G328" s="19"/>
      <c r="H328" s="19"/>
      <c r="I328" s="28"/>
      <c r="J328" s="28"/>
      <c r="K328" s="28"/>
      <c r="L328" s="19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9"/>
      <c r="D329" s="19"/>
      <c r="E329" s="19"/>
      <c r="F329" s="19"/>
      <c r="G329" s="19"/>
      <c r="H329" s="19"/>
      <c r="I329" s="28"/>
      <c r="J329" s="28"/>
      <c r="K329" s="28"/>
      <c r="L329" s="19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9"/>
      <c r="D330" s="19"/>
      <c r="E330" s="19"/>
      <c r="F330" s="19"/>
      <c r="G330" s="19"/>
      <c r="H330" s="19"/>
      <c r="I330" s="28"/>
      <c r="J330" s="28"/>
      <c r="K330" s="28"/>
      <c r="L330" s="19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9"/>
      <c r="D331" s="19"/>
      <c r="E331" s="19"/>
      <c r="F331" s="19"/>
      <c r="G331" s="19"/>
      <c r="H331" s="19"/>
      <c r="I331" s="28"/>
      <c r="J331" s="28"/>
      <c r="K331" s="28"/>
      <c r="L331" s="19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9"/>
      <c r="D332" s="19"/>
      <c r="E332" s="19"/>
      <c r="F332" s="19"/>
      <c r="G332" s="19"/>
      <c r="H332" s="19"/>
      <c r="I332" s="28"/>
      <c r="J332" s="28"/>
      <c r="K332" s="28"/>
      <c r="L332" s="19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9"/>
      <c r="D333" s="19"/>
      <c r="E333" s="19"/>
      <c r="F333" s="19"/>
      <c r="G333" s="19"/>
      <c r="H333" s="19"/>
      <c r="I333" s="28"/>
      <c r="J333" s="28"/>
      <c r="K333" s="28"/>
      <c r="L333" s="19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9"/>
      <c r="D334" s="19"/>
      <c r="E334" s="19"/>
      <c r="F334" s="19"/>
      <c r="G334" s="19"/>
      <c r="H334" s="19"/>
      <c r="I334" s="28"/>
      <c r="J334" s="28"/>
      <c r="K334" s="28"/>
      <c r="L334" s="19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9"/>
      <c r="D335" s="19"/>
      <c r="E335" s="19"/>
      <c r="F335" s="19"/>
      <c r="G335" s="19"/>
      <c r="H335" s="19"/>
      <c r="I335" s="28"/>
      <c r="J335" s="28"/>
      <c r="K335" s="28"/>
      <c r="L335" s="19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9"/>
      <c r="D336" s="19"/>
      <c r="E336" s="19"/>
      <c r="F336" s="19"/>
      <c r="G336" s="19"/>
      <c r="H336" s="19"/>
      <c r="I336" s="28"/>
      <c r="J336" s="28"/>
      <c r="K336" s="28"/>
      <c r="L336" s="19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9"/>
      <c r="D337" s="19"/>
      <c r="E337" s="19"/>
      <c r="F337" s="19"/>
      <c r="G337" s="19"/>
      <c r="H337" s="19"/>
      <c r="I337" s="28"/>
      <c r="J337" s="28"/>
      <c r="K337" s="28"/>
      <c r="L337" s="19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9"/>
      <c r="D338" s="19"/>
      <c r="E338" s="19"/>
      <c r="F338" s="19"/>
      <c r="G338" s="19"/>
      <c r="H338" s="19"/>
      <c r="I338" s="28"/>
      <c r="J338" s="28"/>
      <c r="K338" s="28"/>
      <c r="L338" s="19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9"/>
      <c r="D339" s="19"/>
      <c r="E339" s="19"/>
      <c r="F339" s="19"/>
      <c r="G339" s="19"/>
      <c r="H339" s="19"/>
      <c r="I339" s="28"/>
      <c r="J339" s="28"/>
      <c r="K339" s="28"/>
      <c r="L339" s="19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9"/>
      <c r="D340" s="19"/>
      <c r="E340" s="19"/>
      <c r="F340" s="19"/>
      <c r="G340" s="19"/>
      <c r="H340" s="19"/>
      <c r="I340" s="28"/>
      <c r="J340" s="28"/>
      <c r="K340" s="28"/>
      <c r="L340" s="19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9"/>
      <c r="D341" s="19"/>
      <c r="E341" s="19"/>
      <c r="F341" s="19"/>
      <c r="G341" s="19"/>
      <c r="H341" s="19"/>
      <c r="I341" s="28"/>
      <c r="J341" s="28"/>
      <c r="K341" s="28"/>
      <c r="L341" s="19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9"/>
      <c r="D342" s="19"/>
      <c r="E342" s="19"/>
      <c r="F342" s="19"/>
      <c r="G342" s="19"/>
      <c r="H342" s="19"/>
      <c r="I342" s="28"/>
      <c r="J342" s="28"/>
      <c r="K342" s="28"/>
      <c r="L342" s="19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9"/>
      <c r="D343" s="19"/>
      <c r="E343" s="19"/>
      <c r="F343" s="19"/>
      <c r="G343" s="19"/>
      <c r="H343" s="19"/>
      <c r="I343" s="28"/>
      <c r="J343" s="28"/>
      <c r="K343" s="28"/>
      <c r="L343" s="19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9"/>
      <c r="D344" s="19"/>
      <c r="E344" s="19"/>
      <c r="F344" s="19"/>
      <c r="G344" s="19"/>
      <c r="H344" s="19"/>
      <c r="I344" s="28"/>
      <c r="J344" s="28"/>
      <c r="K344" s="28"/>
      <c r="L344" s="19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9"/>
      <c r="D345" s="19"/>
      <c r="E345" s="19"/>
      <c r="F345" s="19"/>
      <c r="G345" s="19"/>
      <c r="H345" s="19"/>
      <c r="I345" s="28"/>
      <c r="J345" s="28"/>
      <c r="K345" s="28"/>
      <c r="L345" s="19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9"/>
      <c r="D346" s="19"/>
      <c r="E346" s="19"/>
      <c r="F346" s="19"/>
      <c r="G346" s="19"/>
      <c r="H346" s="19"/>
      <c r="I346" s="28"/>
      <c r="J346" s="28"/>
      <c r="K346" s="28"/>
      <c r="L346" s="19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9"/>
      <c r="D347" s="19"/>
      <c r="E347" s="19"/>
      <c r="F347" s="19"/>
      <c r="G347" s="19"/>
      <c r="H347" s="19"/>
      <c r="I347" s="28"/>
      <c r="J347" s="28"/>
      <c r="K347" s="28"/>
      <c r="L347" s="19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9"/>
      <c r="D348" s="19"/>
      <c r="E348" s="19"/>
      <c r="F348" s="19"/>
      <c r="G348" s="19"/>
      <c r="H348" s="19"/>
      <c r="I348" s="28"/>
      <c r="J348" s="28"/>
      <c r="K348" s="28"/>
      <c r="L348" s="19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9"/>
      <c r="D349" s="19"/>
      <c r="E349" s="19"/>
      <c r="F349" s="19"/>
      <c r="G349" s="19"/>
      <c r="H349" s="19"/>
      <c r="I349" s="28"/>
      <c r="J349" s="28"/>
      <c r="K349" s="28"/>
      <c r="L349" s="19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9"/>
      <c r="D350" s="19"/>
      <c r="E350" s="19"/>
      <c r="F350" s="19"/>
      <c r="G350" s="19"/>
      <c r="H350" s="19"/>
      <c r="I350" s="28"/>
      <c r="J350" s="28"/>
      <c r="K350" s="28"/>
      <c r="L350" s="19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9"/>
      <c r="D351" s="19"/>
      <c r="E351" s="19"/>
      <c r="F351" s="19"/>
      <c r="G351" s="19"/>
      <c r="H351" s="19"/>
      <c r="I351" s="28"/>
      <c r="J351" s="28"/>
      <c r="K351" s="28"/>
      <c r="L351" s="19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9"/>
      <c r="D352" s="19"/>
      <c r="E352" s="19"/>
      <c r="F352" s="19"/>
      <c r="G352" s="19"/>
      <c r="H352" s="19"/>
      <c r="I352" s="28"/>
      <c r="J352" s="28"/>
      <c r="K352" s="28"/>
      <c r="L352" s="19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9"/>
      <c r="D353" s="19"/>
      <c r="E353" s="19"/>
      <c r="F353" s="19"/>
      <c r="G353" s="19"/>
      <c r="H353" s="19"/>
      <c r="I353" s="28"/>
      <c r="J353" s="28"/>
      <c r="K353" s="28"/>
      <c r="L353" s="19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9"/>
      <c r="D354" s="19"/>
      <c r="E354" s="19"/>
      <c r="F354" s="19"/>
      <c r="G354" s="19"/>
      <c r="H354" s="19"/>
      <c r="I354" s="28"/>
      <c r="J354" s="28"/>
      <c r="K354" s="28"/>
      <c r="L354" s="19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9"/>
      <c r="D355" s="19"/>
      <c r="E355" s="19"/>
      <c r="F355" s="19"/>
      <c r="G355" s="19"/>
      <c r="H355" s="19"/>
      <c r="I355" s="28"/>
      <c r="J355" s="28"/>
      <c r="K355" s="28"/>
      <c r="L355" s="19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9"/>
      <c r="D356" s="19"/>
      <c r="E356" s="19"/>
      <c r="F356" s="19"/>
      <c r="G356" s="19"/>
      <c r="H356" s="19"/>
      <c r="I356" s="28"/>
      <c r="J356" s="28"/>
      <c r="K356" s="28"/>
      <c r="L356" s="19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9"/>
      <c r="D357" s="19"/>
      <c r="E357" s="19"/>
      <c r="F357" s="19"/>
      <c r="G357" s="19"/>
      <c r="H357" s="19"/>
      <c r="I357" s="28"/>
      <c r="J357" s="28"/>
      <c r="K357" s="28"/>
      <c r="L357" s="19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9"/>
      <c r="D358" s="19"/>
      <c r="E358" s="19"/>
      <c r="F358" s="19"/>
      <c r="G358" s="19"/>
      <c r="H358" s="19"/>
      <c r="I358" s="28"/>
      <c r="J358" s="28"/>
      <c r="K358" s="28"/>
      <c r="L358" s="19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9"/>
      <c r="D359" s="19"/>
      <c r="E359" s="19"/>
      <c r="F359" s="19"/>
      <c r="G359" s="19"/>
      <c r="H359" s="19"/>
      <c r="I359" s="28"/>
      <c r="J359" s="28"/>
      <c r="K359" s="28"/>
      <c r="L359" s="19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9"/>
      <c r="D360" s="19"/>
      <c r="E360" s="19"/>
      <c r="F360" s="19"/>
      <c r="G360" s="19"/>
      <c r="H360" s="19"/>
      <c r="I360" s="28"/>
      <c r="J360" s="28"/>
      <c r="K360" s="28"/>
      <c r="L360" s="19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9"/>
      <c r="D361" s="19"/>
      <c r="E361" s="19"/>
      <c r="F361" s="19"/>
      <c r="G361" s="19"/>
      <c r="H361" s="19"/>
      <c r="I361" s="28"/>
      <c r="J361" s="28"/>
      <c r="K361" s="28"/>
      <c r="L361" s="19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9"/>
      <c r="D362" s="19"/>
      <c r="E362" s="19"/>
      <c r="F362" s="19"/>
      <c r="G362" s="19"/>
      <c r="H362" s="19"/>
      <c r="I362" s="28"/>
      <c r="J362" s="28"/>
      <c r="K362" s="28"/>
      <c r="L362" s="19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9"/>
      <c r="D363" s="19"/>
      <c r="E363" s="19"/>
      <c r="F363" s="19"/>
      <c r="G363" s="19"/>
      <c r="H363" s="19"/>
      <c r="I363" s="28"/>
      <c r="J363" s="28"/>
      <c r="K363" s="28"/>
      <c r="L363" s="19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9"/>
      <c r="D364" s="19"/>
      <c r="E364" s="19"/>
      <c r="F364" s="19"/>
      <c r="G364" s="19"/>
      <c r="H364" s="19"/>
      <c r="I364" s="28"/>
      <c r="J364" s="28"/>
      <c r="K364" s="28"/>
      <c r="L364" s="19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9"/>
      <c r="D365" s="19"/>
      <c r="E365" s="19"/>
      <c r="F365" s="19"/>
      <c r="G365" s="19"/>
      <c r="H365" s="19"/>
      <c r="I365" s="28"/>
      <c r="J365" s="28"/>
      <c r="K365" s="28"/>
      <c r="L365" s="19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9"/>
      <c r="D366" s="19"/>
      <c r="E366" s="19"/>
      <c r="F366" s="19"/>
      <c r="G366" s="19"/>
      <c r="H366" s="19"/>
      <c r="I366" s="28"/>
      <c r="J366" s="28"/>
      <c r="K366" s="28"/>
      <c r="L366" s="19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9"/>
      <c r="D367" s="19"/>
      <c r="E367" s="19"/>
      <c r="F367" s="19"/>
      <c r="G367" s="19"/>
      <c r="H367" s="19"/>
      <c r="I367" s="28"/>
      <c r="J367" s="28"/>
      <c r="K367" s="28"/>
      <c r="L367" s="19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9"/>
      <c r="D368" s="19"/>
      <c r="E368" s="19"/>
      <c r="F368" s="19"/>
      <c r="G368" s="19"/>
      <c r="H368" s="19"/>
      <c r="I368" s="28"/>
      <c r="J368" s="28"/>
      <c r="K368" s="28"/>
      <c r="L368" s="19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9"/>
      <c r="D369" s="19"/>
      <c r="E369" s="19"/>
      <c r="F369" s="19"/>
      <c r="G369" s="19"/>
      <c r="H369" s="19"/>
      <c r="I369" s="28"/>
      <c r="J369" s="28"/>
      <c r="K369" s="28"/>
      <c r="L369" s="19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9"/>
      <c r="D370" s="19"/>
      <c r="E370" s="19"/>
      <c r="F370" s="19"/>
      <c r="G370" s="19"/>
      <c r="H370" s="19"/>
      <c r="I370" s="28"/>
      <c r="J370" s="28"/>
      <c r="K370" s="28"/>
      <c r="L370" s="19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9"/>
      <c r="D371" s="19"/>
      <c r="E371" s="19"/>
      <c r="F371" s="19"/>
      <c r="G371" s="19"/>
      <c r="H371" s="19"/>
      <c r="I371" s="28"/>
      <c r="J371" s="28"/>
      <c r="K371" s="28"/>
      <c r="L371" s="19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9"/>
      <c r="D372" s="19"/>
      <c r="E372" s="19"/>
      <c r="F372" s="19"/>
      <c r="G372" s="19"/>
      <c r="H372" s="19"/>
      <c r="I372" s="28"/>
      <c r="J372" s="28"/>
      <c r="K372" s="28"/>
      <c r="L372" s="19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9"/>
      <c r="D373" s="19"/>
      <c r="E373" s="19"/>
      <c r="F373" s="19"/>
      <c r="G373" s="19"/>
      <c r="H373" s="19"/>
      <c r="I373" s="28"/>
      <c r="J373" s="28"/>
      <c r="K373" s="28"/>
      <c r="L373" s="19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9"/>
      <c r="D374" s="19"/>
      <c r="E374" s="19"/>
      <c r="F374" s="19"/>
      <c r="G374" s="19"/>
      <c r="H374" s="19"/>
      <c r="I374" s="28"/>
      <c r="J374" s="28"/>
      <c r="K374" s="28"/>
      <c r="L374" s="19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9"/>
      <c r="D375" s="19"/>
      <c r="E375" s="19"/>
      <c r="F375" s="19"/>
      <c r="G375" s="19"/>
      <c r="H375" s="19"/>
      <c r="I375" s="28"/>
      <c r="J375" s="28"/>
      <c r="K375" s="28"/>
      <c r="L375" s="19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9"/>
      <c r="D376" s="19"/>
      <c r="E376" s="19"/>
      <c r="F376" s="19"/>
      <c r="G376" s="19"/>
      <c r="H376" s="19"/>
      <c r="I376" s="28"/>
      <c r="J376" s="28"/>
      <c r="K376" s="28"/>
      <c r="L376" s="19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9"/>
      <c r="D377" s="19"/>
      <c r="E377" s="19"/>
      <c r="F377" s="19"/>
      <c r="G377" s="19"/>
      <c r="H377" s="19"/>
      <c r="I377" s="28"/>
      <c r="J377" s="28"/>
      <c r="K377" s="28"/>
      <c r="L377" s="19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9"/>
      <c r="D378" s="19"/>
      <c r="E378" s="19"/>
      <c r="F378" s="19"/>
      <c r="G378" s="19"/>
      <c r="H378" s="19"/>
      <c r="I378" s="28"/>
      <c r="J378" s="28"/>
      <c r="K378" s="28"/>
      <c r="L378" s="19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9"/>
      <c r="D379" s="19"/>
      <c r="E379" s="19"/>
      <c r="F379" s="19"/>
      <c r="G379" s="19"/>
      <c r="H379" s="19"/>
      <c r="I379" s="28"/>
      <c r="J379" s="28"/>
      <c r="K379" s="28"/>
      <c r="L379" s="19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9"/>
      <c r="D380" s="19"/>
      <c r="E380" s="19"/>
      <c r="F380" s="19"/>
      <c r="G380" s="19"/>
      <c r="H380" s="19"/>
      <c r="I380" s="28"/>
      <c r="J380" s="28"/>
      <c r="K380" s="28"/>
      <c r="L380" s="19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9"/>
      <c r="D381" s="19"/>
      <c r="E381" s="19"/>
      <c r="F381" s="19"/>
      <c r="G381" s="19"/>
      <c r="H381" s="19"/>
      <c r="I381" s="28"/>
      <c r="J381" s="28"/>
      <c r="K381" s="28"/>
      <c r="L381" s="19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9"/>
      <c r="D382" s="19"/>
      <c r="E382" s="19"/>
      <c r="F382" s="19"/>
      <c r="G382" s="19"/>
      <c r="H382" s="19"/>
      <c r="I382" s="28"/>
      <c r="J382" s="28"/>
      <c r="K382" s="28"/>
      <c r="L382" s="19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9"/>
      <c r="D383" s="19"/>
      <c r="E383" s="19"/>
      <c r="F383" s="19"/>
      <c r="G383" s="19"/>
      <c r="H383" s="19"/>
      <c r="I383" s="28"/>
      <c r="J383" s="28"/>
      <c r="K383" s="28"/>
      <c r="L383" s="19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9"/>
      <c r="D384" s="19"/>
      <c r="E384" s="19"/>
      <c r="F384" s="19"/>
      <c r="G384" s="19"/>
      <c r="H384" s="19"/>
      <c r="I384" s="28"/>
      <c r="J384" s="28"/>
      <c r="K384" s="28"/>
      <c r="L384" s="19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9"/>
      <c r="D385" s="19"/>
      <c r="E385" s="19"/>
      <c r="F385" s="19"/>
      <c r="G385" s="19"/>
      <c r="H385" s="19"/>
      <c r="I385" s="28"/>
      <c r="J385" s="28"/>
      <c r="K385" s="28"/>
      <c r="L385" s="19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9"/>
      <c r="D386" s="19"/>
      <c r="E386" s="19"/>
      <c r="F386" s="19"/>
      <c r="G386" s="19"/>
      <c r="H386" s="19"/>
      <c r="I386" s="28"/>
      <c r="J386" s="28"/>
      <c r="K386" s="28"/>
      <c r="L386" s="19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9"/>
      <c r="D387" s="19"/>
      <c r="E387" s="19"/>
      <c r="F387" s="19"/>
      <c r="G387" s="19"/>
      <c r="H387" s="19"/>
      <c r="I387" s="28"/>
      <c r="J387" s="28"/>
      <c r="K387" s="28"/>
      <c r="L387" s="19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9"/>
      <c r="D388" s="19"/>
      <c r="E388" s="19"/>
      <c r="F388" s="19"/>
      <c r="G388" s="19"/>
      <c r="H388" s="19"/>
      <c r="I388" s="28"/>
      <c r="J388" s="28"/>
      <c r="K388" s="28"/>
      <c r="L388" s="19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9"/>
      <c r="D389" s="19"/>
      <c r="E389" s="19"/>
      <c r="F389" s="19"/>
      <c r="G389" s="19"/>
      <c r="H389" s="19"/>
      <c r="I389" s="28"/>
      <c r="J389" s="28"/>
      <c r="K389" s="28"/>
      <c r="L389" s="19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9"/>
      <c r="D390" s="19"/>
      <c r="E390" s="19"/>
      <c r="F390" s="19"/>
      <c r="G390" s="19"/>
      <c r="H390" s="19"/>
      <c r="I390" s="28"/>
      <c r="J390" s="28"/>
      <c r="K390" s="28"/>
      <c r="L390" s="19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9"/>
      <c r="D391" s="19"/>
      <c r="E391" s="19"/>
      <c r="F391" s="19"/>
      <c r="G391" s="19"/>
      <c r="H391" s="19"/>
      <c r="I391" s="28"/>
      <c r="J391" s="28"/>
      <c r="K391" s="28"/>
      <c r="L391" s="19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9"/>
      <c r="D392" s="19"/>
      <c r="E392" s="19"/>
      <c r="F392" s="19"/>
      <c r="G392" s="19"/>
      <c r="H392" s="19"/>
      <c r="I392" s="28"/>
      <c r="J392" s="28"/>
      <c r="K392" s="28"/>
      <c r="L392" s="19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9"/>
      <c r="D393" s="19"/>
      <c r="E393" s="19"/>
      <c r="F393" s="19"/>
      <c r="G393" s="19"/>
      <c r="H393" s="19"/>
      <c r="I393" s="28"/>
      <c r="J393" s="28"/>
      <c r="K393" s="28"/>
      <c r="L393" s="19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9"/>
      <c r="D394" s="19"/>
      <c r="E394" s="19"/>
      <c r="F394" s="19"/>
      <c r="G394" s="19"/>
      <c r="H394" s="19"/>
      <c r="I394" s="28"/>
      <c r="J394" s="28"/>
      <c r="K394" s="28"/>
      <c r="L394" s="19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9"/>
      <c r="D395" s="19"/>
      <c r="E395" s="19"/>
      <c r="F395" s="19"/>
      <c r="G395" s="19"/>
      <c r="H395" s="19"/>
      <c r="I395" s="28"/>
      <c r="J395" s="28"/>
      <c r="K395" s="28"/>
      <c r="L395" s="19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9"/>
      <c r="D396" s="19"/>
      <c r="E396" s="19"/>
      <c r="F396" s="19"/>
      <c r="G396" s="19"/>
      <c r="H396" s="19"/>
      <c r="I396" s="28"/>
      <c r="J396" s="28"/>
      <c r="K396" s="28"/>
      <c r="L396" s="19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9"/>
      <c r="D397" s="19"/>
      <c r="E397" s="19"/>
      <c r="F397" s="19"/>
      <c r="G397" s="19"/>
      <c r="H397" s="19"/>
      <c r="I397" s="28"/>
      <c r="J397" s="28"/>
      <c r="K397" s="28"/>
      <c r="L397" s="19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9"/>
      <c r="D398" s="19"/>
      <c r="E398" s="19"/>
      <c r="F398" s="19"/>
      <c r="G398" s="19"/>
      <c r="H398" s="19"/>
      <c r="I398" s="28"/>
      <c r="J398" s="28"/>
      <c r="K398" s="28"/>
      <c r="L398" s="19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9"/>
      <c r="D399" s="19"/>
      <c r="E399" s="19"/>
      <c r="F399" s="19"/>
      <c r="G399" s="19"/>
      <c r="H399" s="19"/>
      <c r="I399" s="28"/>
      <c r="J399" s="28"/>
      <c r="K399" s="28"/>
      <c r="L399" s="19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9"/>
      <c r="D400" s="19"/>
      <c r="E400" s="19"/>
      <c r="F400" s="19"/>
      <c r="G400" s="19"/>
      <c r="H400" s="19"/>
      <c r="I400" s="28"/>
      <c r="J400" s="28"/>
      <c r="K400" s="28"/>
      <c r="L400" s="19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9"/>
      <c r="D401" s="19"/>
      <c r="E401" s="19"/>
      <c r="F401" s="19"/>
      <c r="G401" s="19"/>
      <c r="H401" s="19"/>
      <c r="I401" s="28"/>
      <c r="J401" s="28"/>
      <c r="K401" s="28"/>
      <c r="L401" s="19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9"/>
      <c r="D402" s="19"/>
      <c r="E402" s="19"/>
      <c r="F402" s="19"/>
      <c r="G402" s="19"/>
      <c r="H402" s="19"/>
      <c r="I402" s="28"/>
      <c r="J402" s="28"/>
      <c r="K402" s="28"/>
      <c r="L402" s="19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9"/>
      <c r="D403" s="19"/>
      <c r="E403" s="19"/>
      <c r="F403" s="19"/>
      <c r="G403" s="19"/>
      <c r="H403" s="19"/>
      <c r="I403" s="28"/>
      <c r="J403" s="28"/>
      <c r="K403" s="28"/>
      <c r="L403" s="19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9"/>
      <c r="D404" s="19"/>
      <c r="E404" s="19"/>
      <c r="F404" s="19"/>
      <c r="G404" s="19"/>
      <c r="H404" s="19"/>
      <c r="I404" s="28"/>
      <c r="J404" s="28"/>
      <c r="K404" s="28"/>
      <c r="L404" s="19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9"/>
      <c r="D405" s="19"/>
      <c r="E405" s="19"/>
      <c r="F405" s="19"/>
      <c r="G405" s="19"/>
      <c r="H405" s="19"/>
      <c r="I405" s="28"/>
      <c r="J405" s="28"/>
      <c r="K405" s="28"/>
      <c r="L405" s="19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9"/>
      <c r="D406" s="19"/>
      <c r="E406" s="19"/>
      <c r="F406" s="19"/>
      <c r="G406" s="19"/>
      <c r="H406" s="19"/>
      <c r="I406" s="28"/>
      <c r="J406" s="28"/>
      <c r="K406" s="28"/>
      <c r="L406" s="19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9"/>
      <c r="D407" s="19"/>
      <c r="E407" s="19"/>
      <c r="F407" s="19"/>
      <c r="G407" s="19"/>
      <c r="H407" s="19"/>
      <c r="I407" s="28"/>
      <c r="J407" s="28"/>
      <c r="K407" s="28"/>
      <c r="L407" s="19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9"/>
      <c r="D408" s="19"/>
      <c r="E408" s="19"/>
      <c r="F408" s="19"/>
      <c r="G408" s="19"/>
      <c r="H408" s="19"/>
      <c r="I408" s="28"/>
      <c r="J408" s="28"/>
      <c r="K408" s="28"/>
      <c r="L408" s="19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9"/>
      <c r="D409" s="19"/>
      <c r="E409" s="19"/>
      <c r="F409" s="19"/>
      <c r="G409" s="19"/>
      <c r="H409" s="19"/>
      <c r="I409" s="28"/>
      <c r="J409" s="28"/>
      <c r="K409" s="28"/>
      <c r="L409" s="19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9"/>
      <c r="D410" s="19"/>
      <c r="E410" s="19"/>
      <c r="F410" s="19"/>
      <c r="G410" s="19"/>
      <c r="H410" s="19"/>
      <c r="I410" s="28"/>
      <c r="J410" s="28"/>
      <c r="K410" s="28"/>
      <c r="L410" s="19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9"/>
      <c r="D411" s="19"/>
      <c r="E411" s="19"/>
      <c r="F411" s="19"/>
      <c r="G411" s="19"/>
      <c r="H411" s="19"/>
      <c r="I411" s="28"/>
      <c r="J411" s="28"/>
      <c r="K411" s="28"/>
      <c r="L411" s="19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9"/>
      <c r="D412" s="19"/>
      <c r="E412" s="19"/>
      <c r="F412" s="19"/>
      <c r="G412" s="19"/>
      <c r="H412" s="19"/>
      <c r="I412" s="28"/>
      <c r="J412" s="28"/>
      <c r="K412" s="28"/>
      <c r="L412" s="19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9"/>
      <c r="D413" s="19"/>
      <c r="E413" s="19"/>
      <c r="F413" s="19"/>
      <c r="G413" s="19"/>
      <c r="H413" s="19"/>
      <c r="I413" s="28"/>
      <c r="J413" s="28"/>
      <c r="K413" s="28"/>
      <c r="L413" s="19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9"/>
      <c r="D414" s="19"/>
      <c r="E414" s="19"/>
      <c r="F414" s="19"/>
      <c r="G414" s="19"/>
      <c r="H414" s="19"/>
      <c r="I414" s="28"/>
      <c r="J414" s="28"/>
      <c r="K414" s="28"/>
      <c r="L414" s="19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9"/>
      <c r="D415" s="19"/>
      <c r="E415" s="19"/>
      <c r="F415" s="19"/>
      <c r="G415" s="19"/>
      <c r="H415" s="19"/>
      <c r="I415" s="28"/>
      <c r="J415" s="28"/>
      <c r="K415" s="28"/>
      <c r="L415" s="19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9"/>
      <c r="D416" s="19"/>
      <c r="E416" s="19"/>
      <c r="F416" s="19"/>
      <c r="G416" s="19"/>
      <c r="H416" s="19"/>
      <c r="I416" s="28"/>
      <c r="J416" s="28"/>
      <c r="K416" s="28"/>
      <c r="L416" s="19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9"/>
      <c r="D417" s="19"/>
      <c r="E417" s="19"/>
      <c r="F417" s="19"/>
      <c r="G417" s="19"/>
      <c r="H417" s="19"/>
      <c r="I417" s="28"/>
      <c r="J417" s="28"/>
      <c r="K417" s="28"/>
      <c r="L417" s="19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9"/>
      <c r="D418" s="19"/>
      <c r="E418" s="19"/>
      <c r="F418" s="19"/>
      <c r="G418" s="19"/>
      <c r="H418" s="19"/>
      <c r="I418" s="28"/>
      <c r="J418" s="28"/>
      <c r="K418" s="28"/>
      <c r="L418" s="19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9"/>
      <c r="D419" s="19"/>
      <c r="E419" s="19"/>
      <c r="F419" s="19"/>
      <c r="G419" s="19"/>
      <c r="H419" s="19"/>
      <c r="I419" s="28"/>
      <c r="J419" s="28"/>
      <c r="K419" s="28"/>
      <c r="L419" s="19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9"/>
      <c r="D420" s="19"/>
      <c r="E420" s="19"/>
      <c r="F420" s="19"/>
      <c r="G420" s="19"/>
      <c r="H420" s="19"/>
      <c r="I420" s="28"/>
      <c r="J420" s="28"/>
      <c r="K420" s="28"/>
      <c r="L420" s="19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9"/>
      <c r="D421" s="19"/>
      <c r="E421" s="19"/>
      <c r="F421" s="19"/>
      <c r="G421" s="19"/>
      <c r="H421" s="19"/>
      <c r="I421" s="28"/>
      <c r="J421" s="28"/>
      <c r="K421" s="28"/>
      <c r="L421" s="19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9"/>
      <c r="D422" s="19"/>
      <c r="E422" s="19"/>
      <c r="F422" s="19"/>
      <c r="G422" s="19"/>
      <c r="H422" s="19"/>
      <c r="I422" s="28"/>
      <c r="J422" s="28"/>
      <c r="K422" s="28"/>
      <c r="L422" s="19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9"/>
      <c r="D423" s="19"/>
      <c r="E423" s="19"/>
      <c r="F423" s="19"/>
      <c r="G423" s="19"/>
      <c r="H423" s="19"/>
      <c r="I423" s="28"/>
      <c r="J423" s="28"/>
      <c r="K423" s="28"/>
      <c r="L423" s="19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9"/>
      <c r="D424" s="19"/>
      <c r="E424" s="19"/>
      <c r="F424" s="19"/>
      <c r="G424" s="19"/>
      <c r="H424" s="19"/>
      <c r="I424" s="28"/>
      <c r="J424" s="28"/>
      <c r="K424" s="28"/>
      <c r="L424" s="19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9"/>
      <c r="D425" s="19"/>
      <c r="E425" s="19"/>
      <c r="F425" s="19"/>
      <c r="G425" s="19"/>
      <c r="H425" s="19"/>
      <c r="I425" s="28"/>
      <c r="J425" s="28"/>
      <c r="K425" s="28"/>
      <c r="L425" s="19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9"/>
      <c r="D426" s="19"/>
      <c r="E426" s="19"/>
      <c r="F426" s="19"/>
      <c r="G426" s="19"/>
      <c r="H426" s="19"/>
      <c r="I426" s="28"/>
      <c r="J426" s="28"/>
      <c r="K426" s="28"/>
      <c r="L426" s="19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9"/>
      <c r="D427" s="19"/>
      <c r="E427" s="19"/>
      <c r="F427" s="19"/>
      <c r="G427" s="19"/>
      <c r="H427" s="19"/>
      <c r="I427" s="28"/>
      <c r="J427" s="28"/>
      <c r="K427" s="28"/>
      <c r="L427" s="19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9"/>
      <c r="D428" s="19"/>
      <c r="E428" s="19"/>
      <c r="F428" s="19"/>
      <c r="G428" s="19"/>
      <c r="H428" s="19"/>
      <c r="I428" s="28"/>
      <c r="J428" s="28"/>
      <c r="K428" s="28"/>
      <c r="L428" s="19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9"/>
      <c r="D429" s="19"/>
      <c r="E429" s="19"/>
      <c r="F429" s="19"/>
      <c r="G429" s="19"/>
      <c r="H429" s="19"/>
      <c r="I429" s="28"/>
      <c r="J429" s="28"/>
      <c r="K429" s="28"/>
      <c r="L429" s="19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9"/>
      <c r="D430" s="19"/>
      <c r="E430" s="19"/>
      <c r="F430" s="19"/>
      <c r="G430" s="19"/>
      <c r="H430" s="19"/>
      <c r="I430" s="28"/>
      <c r="J430" s="28"/>
      <c r="K430" s="28"/>
      <c r="L430" s="19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9"/>
      <c r="D431" s="19"/>
      <c r="E431" s="19"/>
      <c r="F431" s="19"/>
      <c r="G431" s="19"/>
      <c r="H431" s="19"/>
      <c r="I431" s="28"/>
      <c r="J431" s="28"/>
      <c r="K431" s="28"/>
      <c r="L431" s="19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9"/>
      <c r="D432" s="19"/>
      <c r="E432" s="19"/>
      <c r="F432" s="19"/>
      <c r="G432" s="19"/>
      <c r="H432" s="19"/>
      <c r="I432" s="28"/>
      <c r="J432" s="28"/>
      <c r="K432" s="28"/>
      <c r="L432" s="19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9"/>
      <c r="D433" s="19"/>
      <c r="E433" s="19"/>
      <c r="F433" s="19"/>
      <c r="G433" s="19"/>
      <c r="H433" s="19"/>
      <c r="I433" s="28"/>
      <c r="J433" s="28"/>
      <c r="K433" s="28"/>
      <c r="L433" s="19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9"/>
      <c r="D434" s="19"/>
      <c r="E434" s="19"/>
      <c r="F434" s="19"/>
      <c r="G434" s="19"/>
      <c r="H434" s="19"/>
      <c r="I434" s="28"/>
      <c r="J434" s="28"/>
      <c r="K434" s="28"/>
      <c r="L434" s="19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9"/>
      <c r="D435" s="19"/>
      <c r="E435" s="19"/>
      <c r="F435" s="19"/>
      <c r="G435" s="19"/>
      <c r="H435" s="19"/>
      <c r="I435" s="28"/>
      <c r="J435" s="28"/>
      <c r="K435" s="28"/>
      <c r="L435" s="19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9"/>
      <c r="D436" s="19"/>
      <c r="E436" s="19"/>
      <c r="F436" s="19"/>
      <c r="G436" s="19"/>
      <c r="H436" s="19"/>
      <c r="I436" s="28"/>
      <c r="J436" s="28"/>
      <c r="K436" s="28"/>
      <c r="L436" s="19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9"/>
      <c r="D437" s="19"/>
      <c r="E437" s="19"/>
      <c r="F437" s="19"/>
      <c r="G437" s="19"/>
      <c r="H437" s="19"/>
      <c r="I437" s="28"/>
      <c r="J437" s="28"/>
      <c r="K437" s="28"/>
      <c r="L437" s="19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9"/>
      <c r="D438" s="19"/>
      <c r="E438" s="19"/>
      <c r="F438" s="19"/>
      <c r="G438" s="19"/>
      <c r="H438" s="19"/>
      <c r="I438" s="28"/>
      <c r="J438" s="28"/>
      <c r="K438" s="28"/>
      <c r="L438" s="19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9"/>
      <c r="D439" s="19"/>
      <c r="E439" s="19"/>
      <c r="F439" s="19"/>
      <c r="G439" s="19"/>
      <c r="H439" s="19"/>
      <c r="I439" s="28"/>
      <c r="J439" s="28"/>
      <c r="K439" s="28"/>
      <c r="L439" s="19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9"/>
      <c r="D440" s="19"/>
      <c r="E440" s="19"/>
      <c r="F440" s="19"/>
      <c r="G440" s="19"/>
      <c r="H440" s="19"/>
      <c r="I440" s="28"/>
      <c r="J440" s="28"/>
      <c r="K440" s="28"/>
      <c r="L440" s="19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9"/>
      <c r="D441" s="19"/>
      <c r="E441" s="19"/>
      <c r="F441" s="19"/>
      <c r="G441" s="19"/>
      <c r="H441" s="19"/>
      <c r="I441" s="28"/>
      <c r="J441" s="28"/>
      <c r="K441" s="28"/>
      <c r="L441" s="19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9"/>
      <c r="D442" s="19"/>
      <c r="E442" s="19"/>
      <c r="F442" s="19"/>
      <c r="G442" s="19"/>
      <c r="H442" s="19"/>
      <c r="I442" s="28"/>
      <c r="J442" s="28"/>
      <c r="K442" s="28"/>
      <c r="L442" s="19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9"/>
      <c r="D443" s="19"/>
      <c r="E443" s="19"/>
      <c r="F443" s="19"/>
      <c r="G443" s="19"/>
      <c r="H443" s="19"/>
      <c r="I443" s="28"/>
      <c r="J443" s="28"/>
      <c r="K443" s="28"/>
      <c r="L443" s="19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9"/>
      <c r="D444" s="19"/>
      <c r="E444" s="19"/>
      <c r="F444" s="19"/>
      <c r="G444" s="19"/>
      <c r="H444" s="19"/>
      <c r="I444" s="28"/>
      <c r="J444" s="28"/>
      <c r="K444" s="28"/>
      <c r="L444" s="19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9"/>
      <c r="D445" s="19"/>
      <c r="E445" s="19"/>
      <c r="F445" s="19"/>
      <c r="G445" s="19"/>
      <c r="H445" s="19"/>
      <c r="I445" s="28"/>
      <c r="J445" s="28"/>
      <c r="K445" s="28"/>
      <c r="L445" s="19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9"/>
      <c r="D446" s="19"/>
      <c r="E446" s="19"/>
      <c r="F446" s="19"/>
      <c r="G446" s="19"/>
      <c r="H446" s="19"/>
      <c r="I446" s="28"/>
      <c r="J446" s="28"/>
      <c r="K446" s="28"/>
      <c r="L446" s="19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9"/>
      <c r="D447" s="19"/>
      <c r="E447" s="19"/>
      <c r="F447" s="19"/>
      <c r="G447" s="19"/>
      <c r="H447" s="19"/>
      <c r="I447" s="28"/>
      <c r="J447" s="28"/>
      <c r="K447" s="28"/>
      <c r="L447" s="19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9"/>
      <c r="D448" s="19"/>
      <c r="E448" s="19"/>
      <c r="F448" s="19"/>
      <c r="G448" s="19"/>
      <c r="H448" s="19"/>
      <c r="I448" s="28"/>
      <c r="J448" s="28"/>
      <c r="K448" s="28"/>
      <c r="L448" s="19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9"/>
      <c r="D449" s="19"/>
      <c r="E449" s="19"/>
      <c r="F449" s="19"/>
      <c r="G449" s="19"/>
      <c r="H449" s="19"/>
      <c r="I449" s="28"/>
      <c r="J449" s="28"/>
      <c r="K449" s="28"/>
      <c r="L449" s="19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9"/>
      <c r="D450" s="19"/>
      <c r="E450" s="19"/>
      <c r="F450" s="19"/>
      <c r="G450" s="19"/>
      <c r="H450" s="19"/>
      <c r="I450" s="28"/>
      <c r="J450" s="28"/>
      <c r="K450" s="28"/>
      <c r="L450" s="19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9"/>
      <c r="D451" s="19"/>
      <c r="E451" s="19"/>
      <c r="F451" s="19"/>
      <c r="G451" s="19"/>
      <c r="H451" s="19"/>
      <c r="I451" s="28"/>
      <c r="J451" s="28"/>
      <c r="K451" s="28"/>
      <c r="L451" s="19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9"/>
      <c r="D452" s="19"/>
      <c r="E452" s="19"/>
      <c r="F452" s="19"/>
      <c r="G452" s="19"/>
      <c r="H452" s="19"/>
      <c r="I452" s="28"/>
      <c r="J452" s="28"/>
      <c r="K452" s="28"/>
      <c r="L452" s="19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9"/>
      <c r="D453" s="19"/>
      <c r="E453" s="19"/>
      <c r="F453" s="19"/>
      <c r="G453" s="19"/>
      <c r="H453" s="19"/>
      <c r="I453" s="28"/>
      <c r="J453" s="28"/>
      <c r="K453" s="28"/>
      <c r="L453" s="19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9"/>
      <c r="D454" s="19"/>
      <c r="E454" s="19"/>
      <c r="F454" s="19"/>
      <c r="G454" s="19"/>
      <c r="H454" s="19"/>
      <c r="I454" s="28"/>
      <c r="J454" s="28"/>
      <c r="K454" s="28"/>
      <c r="L454" s="19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9"/>
      <c r="D455" s="19"/>
      <c r="E455" s="19"/>
      <c r="F455" s="19"/>
      <c r="G455" s="19"/>
      <c r="H455" s="19"/>
      <c r="I455" s="28"/>
      <c r="J455" s="28"/>
      <c r="K455" s="28"/>
      <c r="L455" s="19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9"/>
      <c r="D456" s="19"/>
      <c r="E456" s="19"/>
      <c r="F456" s="19"/>
      <c r="G456" s="19"/>
      <c r="H456" s="19"/>
      <c r="I456" s="28"/>
      <c r="J456" s="28"/>
      <c r="K456" s="28"/>
      <c r="L456" s="19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9"/>
      <c r="D457" s="19"/>
      <c r="E457" s="19"/>
      <c r="F457" s="19"/>
      <c r="G457" s="19"/>
      <c r="H457" s="19"/>
      <c r="I457" s="28"/>
      <c r="J457" s="28"/>
      <c r="K457" s="28"/>
      <c r="L457" s="19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9"/>
      <c r="D458" s="19"/>
      <c r="E458" s="19"/>
      <c r="F458" s="19"/>
      <c r="G458" s="19"/>
      <c r="H458" s="19"/>
      <c r="I458" s="28"/>
      <c r="J458" s="28"/>
      <c r="K458" s="28"/>
      <c r="L458" s="19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9"/>
      <c r="D459" s="19"/>
      <c r="E459" s="19"/>
      <c r="F459" s="19"/>
      <c r="G459" s="19"/>
      <c r="H459" s="19"/>
      <c r="I459" s="28"/>
      <c r="J459" s="28"/>
      <c r="K459" s="28"/>
      <c r="L459" s="19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9"/>
      <c r="D460" s="19"/>
      <c r="E460" s="19"/>
      <c r="F460" s="19"/>
      <c r="G460" s="19"/>
      <c r="H460" s="19"/>
      <c r="I460" s="28"/>
      <c r="J460" s="28"/>
      <c r="K460" s="28"/>
      <c r="L460" s="19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9"/>
      <c r="D461" s="19"/>
      <c r="E461" s="19"/>
      <c r="F461" s="19"/>
      <c r="G461" s="19"/>
      <c r="H461" s="19"/>
      <c r="I461" s="28"/>
      <c r="J461" s="28"/>
      <c r="K461" s="28"/>
      <c r="L461" s="19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9"/>
      <c r="D462" s="19"/>
      <c r="E462" s="19"/>
      <c r="F462" s="19"/>
      <c r="G462" s="19"/>
      <c r="H462" s="19"/>
      <c r="I462" s="28"/>
      <c r="J462" s="28"/>
      <c r="K462" s="28"/>
      <c r="L462" s="19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9"/>
      <c r="D463" s="19"/>
      <c r="E463" s="19"/>
      <c r="F463" s="19"/>
      <c r="G463" s="19"/>
      <c r="H463" s="19"/>
      <c r="I463" s="28"/>
      <c r="J463" s="28"/>
      <c r="K463" s="28"/>
      <c r="L463" s="19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9"/>
      <c r="D464" s="19"/>
      <c r="E464" s="19"/>
      <c r="F464" s="19"/>
      <c r="G464" s="19"/>
      <c r="H464" s="19"/>
      <c r="I464" s="28"/>
      <c r="J464" s="28"/>
      <c r="K464" s="28"/>
      <c r="L464" s="19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9"/>
      <c r="D465" s="19"/>
      <c r="E465" s="19"/>
      <c r="F465" s="19"/>
      <c r="G465" s="19"/>
      <c r="H465" s="19"/>
      <c r="I465" s="28"/>
      <c r="J465" s="28"/>
      <c r="K465" s="28"/>
      <c r="L465" s="19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9"/>
      <c r="D466" s="19"/>
      <c r="E466" s="19"/>
      <c r="F466" s="19"/>
      <c r="G466" s="19"/>
      <c r="H466" s="19"/>
      <c r="I466" s="28"/>
      <c r="J466" s="28"/>
      <c r="K466" s="28"/>
      <c r="L466" s="19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9"/>
      <c r="D467" s="19"/>
      <c r="E467" s="19"/>
      <c r="F467" s="19"/>
      <c r="G467" s="19"/>
      <c r="H467" s="19"/>
      <c r="I467" s="28"/>
      <c r="J467" s="28"/>
      <c r="K467" s="28"/>
      <c r="L467" s="19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9"/>
      <c r="D468" s="19"/>
      <c r="E468" s="19"/>
      <c r="F468" s="19"/>
      <c r="G468" s="19"/>
      <c r="H468" s="19"/>
      <c r="I468" s="28"/>
      <c r="J468" s="28"/>
      <c r="K468" s="28"/>
      <c r="L468" s="19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9"/>
      <c r="D469" s="19"/>
      <c r="E469" s="19"/>
      <c r="F469" s="19"/>
      <c r="G469" s="19"/>
      <c r="H469" s="19"/>
      <c r="I469" s="28"/>
      <c r="J469" s="28"/>
      <c r="K469" s="28"/>
      <c r="L469" s="19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9"/>
      <c r="D470" s="19"/>
      <c r="E470" s="19"/>
      <c r="F470" s="19"/>
      <c r="G470" s="19"/>
      <c r="H470" s="19"/>
      <c r="I470" s="28"/>
      <c r="J470" s="28"/>
      <c r="K470" s="28"/>
      <c r="L470" s="19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9"/>
      <c r="D471" s="19"/>
      <c r="E471" s="19"/>
      <c r="F471" s="19"/>
      <c r="G471" s="19"/>
      <c r="H471" s="19"/>
      <c r="I471" s="28"/>
      <c r="J471" s="28"/>
      <c r="K471" s="28"/>
      <c r="L471" s="19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9"/>
      <c r="D472" s="19"/>
      <c r="E472" s="19"/>
      <c r="F472" s="19"/>
      <c r="G472" s="19"/>
      <c r="H472" s="19"/>
      <c r="I472" s="28"/>
      <c r="J472" s="28"/>
      <c r="K472" s="28"/>
      <c r="L472" s="19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9"/>
      <c r="D473" s="19"/>
      <c r="E473" s="19"/>
      <c r="F473" s="19"/>
      <c r="G473" s="19"/>
      <c r="H473" s="19"/>
      <c r="I473" s="28"/>
      <c r="J473" s="28"/>
      <c r="K473" s="28"/>
      <c r="L473" s="19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9"/>
      <c r="D474" s="19"/>
      <c r="E474" s="19"/>
      <c r="F474" s="19"/>
      <c r="G474" s="19"/>
      <c r="H474" s="19"/>
      <c r="I474" s="28"/>
      <c r="J474" s="28"/>
      <c r="K474" s="28"/>
      <c r="L474" s="19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9"/>
      <c r="D475" s="19"/>
      <c r="E475" s="19"/>
      <c r="F475" s="19"/>
      <c r="G475" s="19"/>
      <c r="H475" s="19"/>
      <c r="I475" s="28"/>
      <c r="J475" s="28"/>
      <c r="K475" s="28"/>
      <c r="L475" s="19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9"/>
      <c r="D476" s="19"/>
      <c r="E476" s="19"/>
      <c r="F476" s="19"/>
      <c r="G476" s="19"/>
      <c r="H476" s="19"/>
      <c r="I476" s="28"/>
      <c r="J476" s="28"/>
      <c r="K476" s="28"/>
      <c r="L476" s="19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9"/>
      <c r="D477" s="19"/>
      <c r="E477" s="19"/>
      <c r="F477" s="19"/>
      <c r="G477" s="19"/>
      <c r="H477" s="19"/>
      <c r="I477" s="28"/>
      <c r="J477" s="28"/>
      <c r="K477" s="28"/>
      <c r="L477" s="19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9"/>
      <c r="D478" s="19"/>
      <c r="E478" s="19"/>
      <c r="F478" s="19"/>
      <c r="G478" s="19"/>
      <c r="H478" s="19"/>
      <c r="I478" s="28"/>
      <c r="J478" s="28"/>
      <c r="K478" s="28"/>
      <c r="L478" s="19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9"/>
      <c r="D479" s="19"/>
      <c r="E479" s="19"/>
      <c r="F479" s="19"/>
      <c r="G479" s="19"/>
      <c r="H479" s="19"/>
      <c r="I479" s="28"/>
      <c r="J479" s="28"/>
      <c r="K479" s="28"/>
      <c r="L479" s="19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9"/>
      <c r="D480" s="19"/>
      <c r="E480" s="19"/>
      <c r="F480" s="19"/>
      <c r="G480" s="19"/>
      <c r="H480" s="19"/>
      <c r="I480" s="28"/>
      <c r="J480" s="28"/>
      <c r="K480" s="28"/>
      <c r="L480" s="19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9"/>
      <c r="D481" s="19"/>
      <c r="E481" s="19"/>
      <c r="F481" s="19"/>
      <c r="G481" s="19"/>
      <c r="H481" s="19"/>
      <c r="I481" s="28"/>
      <c r="J481" s="28"/>
      <c r="K481" s="28"/>
      <c r="L481" s="19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9"/>
      <c r="D482" s="19"/>
      <c r="E482" s="19"/>
      <c r="F482" s="19"/>
      <c r="G482" s="19"/>
      <c r="H482" s="19"/>
      <c r="I482" s="28"/>
      <c r="J482" s="28"/>
      <c r="K482" s="28"/>
      <c r="L482" s="19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9"/>
      <c r="D483" s="19"/>
      <c r="E483" s="19"/>
      <c r="F483" s="19"/>
      <c r="G483" s="19"/>
      <c r="H483" s="19"/>
      <c r="I483" s="28"/>
      <c r="J483" s="28"/>
      <c r="K483" s="28"/>
      <c r="L483" s="19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9"/>
      <c r="D484" s="19"/>
      <c r="E484" s="19"/>
      <c r="F484" s="19"/>
      <c r="G484" s="19"/>
      <c r="H484" s="19"/>
      <c r="I484" s="28"/>
      <c r="J484" s="28"/>
      <c r="K484" s="28"/>
      <c r="L484" s="19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9"/>
      <c r="D485" s="19"/>
      <c r="E485" s="19"/>
      <c r="F485" s="19"/>
      <c r="G485" s="19"/>
      <c r="H485" s="19"/>
      <c r="I485" s="28"/>
      <c r="J485" s="28"/>
      <c r="K485" s="28"/>
      <c r="L485" s="19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9"/>
      <c r="D486" s="19"/>
      <c r="E486" s="19"/>
      <c r="F486" s="19"/>
      <c r="G486" s="19"/>
      <c r="H486" s="19"/>
      <c r="I486" s="28"/>
      <c r="J486" s="28"/>
      <c r="K486" s="28"/>
      <c r="L486" s="19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9"/>
      <c r="D487" s="19"/>
      <c r="E487" s="19"/>
      <c r="F487" s="19"/>
      <c r="G487" s="19"/>
      <c r="H487" s="19"/>
      <c r="I487" s="28"/>
      <c r="J487" s="28"/>
      <c r="K487" s="28"/>
      <c r="L487" s="19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9"/>
      <c r="D488" s="19"/>
      <c r="E488" s="19"/>
      <c r="F488" s="19"/>
      <c r="G488" s="19"/>
      <c r="H488" s="19"/>
      <c r="I488" s="28"/>
      <c r="J488" s="28"/>
      <c r="K488" s="28"/>
      <c r="L488" s="19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9"/>
      <c r="D489" s="19"/>
      <c r="E489" s="19"/>
      <c r="F489" s="19"/>
      <c r="G489" s="19"/>
      <c r="H489" s="19"/>
      <c r="I489" s="28"/>
      <c r="J489" s="28"/>
      <c r="K489" s="28"/>
      <c r="L489" s="19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9"/>
      <c r="D490" s="19"/>
      <c r="E490" s="19"/>
      <c r="F490" s="19"/>
      <c r="G490" s="19"/>
      <c r="H490" s="19"/>
      <c r="I490" s="28"/>
      <c r="J490" s="28"/>
      <c r="K490" s="28"/>
      <c r="L490" s="19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9"/>
      <c r="D491" s="19"/>
      <c r="E491" s="19"/>
      <c r="F491" s="19"/>
      <c r="G491" s="19"/>
      <c r="H491" s="19"/>
      <c r="I491" s="28"/>
      <c r="J491" s="28"/>
      <c r="K491" s="28"/>
      <c r="L491" s="19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9"/>
      <c r="D492" s="19"/>
      <c r="E492" s="19"/>
      <c r="F492" s="19"/>
      <c r="G492" s="19"/>
      <c r="H492" s="19"/>
      <c r="I492" s="28"/>
      <c r="J492" s="28"/>
      <c r="K492" s="28"/>
      <c r="L492" s="19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9"/>
      <c r="D493" s="19"/>
      <c r="E493" s="19"/>
      <c r="F493" s="19"/>
      <c r="G493" s="19"/>
      <c r="H493" s="19"/>
      <c r="I493" s="28"/>
      <c r="J493" s="28"/>
      <c r="K493" s="28"/>
      <c r="L493" s="19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9"/>
      <c r="D494" s="19"/>
      <c r="E494" s="19"/>
      <c r="F494" s="19"/>
      <c r="G494" s="19"/>
      <c r="H494" s="19"/>
      <c r="I494" s="28"/>
      <c r="J494" s="28"/>
      <c r="K494" s="28"/>
      <c r="L494" s="19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9"/>
      <c r="D495" s="19"/>
      <c r="E495" s="19"/>
      <c r="F495" s="19"/>
      <c r="G495" s="19"/>
      <c r="H495" s="19"/>
      <c r="I495" s="28"/>
      <c r="J495" s="28"/>
      <c r="K495" s="28"/>
      <c r="L495" s="19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9"/>
      <c r="D496" s="19"/>
      <c r="E496" s="19"/>
      <c r="F496" s="19"/>
      <c r="G496" s="19"/>
      <c r="H496" s="19"/>
      <c r="I496" s="28"/>
      <c r="J496" s="28"/>
      <c r="K496" s="28"/>
      <c r="L496" s="19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9"/>
      <c r="D497" s="19"/>
      <c r="E497" s="19"/>
      <c r="F497" s="19"/>
      <c r="G497" s="19"/>
      <c r="H497" s="19"/>
      <c r="I497" s="28"/>
      <c r="J497" s="28"/>
      <c r="K497" s="28"/>
      <c r="L497" s="19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9"/>
      <c r="D498" s="19"/>
      <c r="E498" s="19"/>
      <c r="F498" s="19"/>
      <c r="G498" s="19"/>
      <c r="H498" s="19"/>
      <c r="I498" s="28"/>
      <c r="J498" s="28"/>
      <c r="K498" s="28"/>
      <c r="L498" s="19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9"/>
      <c r="D499" s="19"/>
      <c r="E499" s="19"/>
      <c r="F499" s="19"/>
      <c r="G499" s="19"/>
      <c r="H499" s="19"/>
      <c r="I499" s="28"/>
      <c r="J499" s="28"/>
      <c r="K499" s="28"/>
      <c r="L499" s="19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9"/>
      <c r="D500" s="19"/>
      <c r="E500" s="19"/>
      <c r="F500" s="19"/>
      <c r="G500" s="19"/>
      <c r="H500" s="19"/>
      <c r="I500" s="28"/>
      <c r="J500" s="28"/>
      <c r="K500" s="28"/>
      <c r="L500" s="19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9"/>
      <c r="D501" s="19"/>
      <c r="E501" s="19"/>
      <c r="F501" s="19"/>
      <c r="G501" s="19"/>
      <c r="H501" s="19"/>
      <c r="I501" s="28"/>
      <c r="J501" s="28"/>
      <c r="K501" s="28"/>
      <c r="L501" s="19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9"/>
      <c r="D502" s="19"/>
      <c r="E502" s="19"/>
      <c r="F502" s="19"/>
      <c r="G502" s="19"/>
      <c r="H502" s="19"/>
      <c r="I502" s="28"/>
      <c r="J502" s="28"/>
      <c r="K502" s="28"/>
      <c r="L502" s="19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9"/>
      <c r="D503" s="19"/>
      <c r="E503" s="19"/>
      <c r="F503" s="19"/>
      <c r="G503" s="19"/>
      <c r="H503" s="19"/>
      <c r="I503" s="28"/>
      <c r="J503" s="28"/>
      <c r="K503" s="28"/>
      <c r="L503" s="19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9"/>
      <c r="D504" s="19"/>
      <c r="E504" s="19"/>
      <c r="F504" s="19"/>
      <c r="G504" s="19"/>
      <c r="H504" s="19"/>
      <c r="I504" s="28"/>
      <c r="J504" s="28"/>
      <c r="K504" s="28"/>
      <c r="L504" s="19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9"/>
      <c r="D505" s="19"/>
      <c r="E505" s="19"/>
      <c r="F505" s="19"/>
      <c r="G505" s="19"/>
      <c r="H505" s="19"/>
      <c r="I505" s="28"/>
      <c r="J505" s="28"/>
      <c r="K505" s="28"/>
      <c r="L505" s="19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9"/>
      <c r="D506" s="19"/>
      <c r="E506" s="19"/>
      <c r="F506" s="19"/>
      <c r="G506" s="19"/>
      <c r="H506" s="19"/>
      <c r="I506" s="28"/>
      <c r="J506" s="28"/>
      <c r="K506" s="28"/>
      <c r="L506" s="19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9"/>
      <c r="D507" s="19"/>
      <c r="E507" s="19"/>
      <c r="F507" s="19"/>
      <c r="G507" s="19"/>
      <c r="H507" s="19"/>
      <c r="I507" s="28"/>
      <c r="J507" s="28"/>
      <c r="K507" s="28"/>
      <c r="L507" s="19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9"/>
      <c r="D508" s="19"/>
      <c r="E508" s="19"/>
      <c r="F508" s="19"/>
      <c r="G508" s="19"/>
      <c r="H508" s="19"/>
      <c r="I508" s="28"/>
      <c r="J508" s="28"/>
      <c r="K508" s="28"/>
      <c r="L508" s="19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9"/>
      <c r="D509" s="19"/>
      <c r="E509" s="19"/>
      <c r="F509" s="19"/>
      <c r="G509" s="19"/>
      <c r="H509" s="19"/>
      <c r="I509" s="28"/>
      <c r="J509" s="28"/>
      <c r="K509" s="28"/>
      <c r="L509" s="19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9"/>
      <c r="D510" s="19"/>
      <c r="E510" s="19"/>
      <c r="F510" s="19"/>
      <c r="G510" s="19"/>
      <c r="H510" s="19"/>
      <c r="I510" s="28"/>
      <c r="J510" s="28"/>
      <c r="K510" s="28"/>
      <c r="L510" s="19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9"/>
      <c r="D511" s="19"/>
      <c r="E511" s="19"/>
      <c r="F511" s="19"/>
      <c r="G511" s="19"/>
      <c r="H511" s="19"/>
      <c r="I511" s="28"/>
      <c r="J511" s="28"/>
      <c r="K511" s="28"/>
      <c r="L511" s="19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9"/>
      <c r="D512" s="19"/>
      <c r="E512" s="19"/>
      <c r="F512" s="19"/>
      <c r="G512" s="19"/>
      <c r="H512" s="19"/>
      <c r="I512" s="28"/>
      <c r="J512" s="28"/>
      <c r="K512" s="28"/>
      <c r="L512" s="19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9"/>
      <c r="D513" s="19"/>
      <c r="E513" s="19"/>
      <c r="F513" s="19"/>
      <c r="G513" s="19"/>
      <c r="H513" s="19"/>
      <c r="I513" s="28"/>
      <c r="J513" s="28"/>
      <c r="K513" s="28"/>
      <c r="L513" s="19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9"/>
      <c r="D514" s="19"/>
      <c r="E514" s="19"/>
      <c r="F514" s="19"/>
      <c r="G514" s="19"/>
      <c r="H514" s="19"/>
      <c r="I514" s="28"/>
      <c r="J514" s="28"/>
      <c r="K514" s="28"/>
      <c r="L514" s="19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9"/>
      <c r="D515" s="19"/>
      <c r="E515" s="19"/>
      <c r="F515" s="19"/>
      <c r="G515" s="19"/>
      <c r="H515" s="19"/>
      <c r="I515" s="28"/>
      <c r="J515" s="28"/>
      <c r="K515" s="28"/>
      <c r="L515" s="19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9"/>
      <c r="D516" s="19"/>
      <c r="E516" s="19"/>
      <c r="F516" s="19"/>
      <c r="G516" s="19"/>
      <c r="H516" s="19"/>
      <c r="I516" s="28"/>
      <c r="J516" s="28"/>
      <c r="K516" s="28"/>
      <c r="L516" s="19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9"/>
      <c r="D517" s="19"/>
      <c r="E517" s="19"/>
      <c r="F517" s="19"/>
      <c r="G517" s="19"/>
      <c r="H517" s="19"/>
      <c r="I517" s="28"/>
      <c r="J517" s="28"/>
      <c r="K517" s="28"/>
      <c r="L517" s="19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9"/>
      <c r="D518" s="19"/>
      <c r="E518" s="19"/>
      <c r="F518" s="19"/>
      <c r="G518" s="19"/>
      <c r="H518" s="19"/>
      <c r="I518" s="28"/>
      <c r="J518" s="28"/>
      <c r="K518" s="28"/>
      <c r="L518" s="19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9"/>
      <c r="D519" s="19"/>
      <c r="E519" s="19"/>
      <c r="F519" s="19"/>
      <c r="G519" s="19"/>
      <c r="H519" s="19"/>
      <c r="I519" s="28"/>
      <c r="J519" s="28"/>
      <c r="K519" s="28"/>
      <c r="L519" s="19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9"/>
      <c r="D520" s="19"/>
      <c r="E520" s="19"/>
      <c r="F520" s="19"/>
      <c r="G520" s="19"/>
      <c r="H520" s="19"/>
      <c r="I520" s="28"/>
      <c r="J520" s="28"/>
      <c r="K520" s="28"/>
      <c r="L520" s="19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9"/>
      <c r="D521" s="19"/>
      <c r="E521" s="19"/>
      <c r="F521" s="19"/>
      <c r="G521" s="19"/>
      <c r="H521" s="19"/>
      <c r="I521" s="28"/>
      <c r="J521" s="28"/>
      <c r="K521" s="28"/>
      <c r="L521" s="19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9"/>
      <c r="D522" s="19"/>
      <c r="E522" s="19"/>
      <c r="F522" s="19"/>
      <c r="G522" s="19"/>
      <c r="H522" s="19"/>
      <c r="I522" s="28"/>
      <c r="J522" s="28"/>
      <c r="K522" s="28"/>
      <c r="L522" s="19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9"/>
      <c r="D523" s="19"/>
      <c r="E523" s="19"/>
      <c r="F523" s="19"/>
      <c r="G523" s="19"/>
      <c r="H523" s="19"/>
      <c r="I523" s="28"/>
      <c r="J523" s="28"/>
      <c r="K523" s="28"/>
      <c r="L523" s="19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9"/>
      <c r="D524" s="19"/>
      <c r="E524" s="19"/>
      <c r="F524" s="19"/>
      <c r="G524" s="19"/>
      <c r="H524" s="19"/>
      <c r="I524" s="28"/>
      <c r="J524" s="28"/>
      <c r="K524" s="28"/>
      <c r="L524" s="19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9"/>
      <c r="D525" s="19"/>
      <c r="E525" s="19"/>
      <c r="F525" s="19"/>
      <c r="G525" s="19"/>
      <c r="H525" s="19"/>
      <c r="I525" s="28"/>
      <c r="J525" s="28"/>
      <c r="K525" s="28"/>
      <c r="L525" s="19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9"/>
      <c r="D526" s="19"/>
      <c r="E526" s="19"/>
      <c r="F526" s="19"/>
      <c r="G526" s="19"/>
      <c r="H526" s="19"/>
      <c r="I526" s="28"/>
      <c r="J526" s="28"/>
      <c r="K526" s="28"/>
      <c r="L526" s="19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9"/>
      <c r="D527" s="19"/>
      <c r="E527" s="19"/>
      <c r="F527" s="19"/>
      <c r="G527" s="19"/>
      <c r="H527" s="19"/>
      <c r="I527" s="28"/>
      <c r="J527" s="28"/>
      <c r="K527" s="28"/>
      <c r="L527" s="19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9"/>
      <c r="D528" s="19"/>
      <c r="E528" s="19"/>
      <c r="F528" s="19"/>
      <c r="G528" s="19"/>
      <c r="H528" s="19"/>
      <c r="I528" s="28"/>
      <c r="J528" s="28"/>
      <c r="K528" s="28"/>
      <c r="L528" s="19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9"/>
      <c r="D529" s="19"/>
      <c r="E529" s="19"/>
      <c r="F529" s="19"/>
      <c r="G529" s="19"/>
      <c r="H529" s="19"/>
      <c r="I529" s="28"/>
      <c r="J529" s="28"/>
      <c r="K529" s="28"/>
      <c r="L529" s="19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9"/>
      <c r="D530" s="19"/>
      <c r="E530" s="19"/>
      <c r="F530" s="19"/>
      <c r="G530" s="19"/>
      <c r="H530" s="19"/>
      <c r="I530" s="28"/>
      <c r="J530" s="28"/>
      <c r="K530" s="28"/>
      <c r="L530" s="19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9"/>
      <c r="D531" s="19"/>
      <c r="E531" s="19"/>
      <c r="F531" s="19"/>
      <c r="G531" s="19"/>
      <c r="H531" s="19"/>
      <c r="I531" s="28"/>
      <c r="J531" s="28"/>
      <c r="K531" s="28"/>
      <c r="L531" s="19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9"/>
      <c r="D532" s="19"/>
      <c r="E532" s="19"/>
      <c r="F532" s="19"/>
      <c r="G532" s="19"/>
      <c r="H532" s="19"/>
      <c r="I532" s="28"/>
      <c r="J532" s="28"/>
      <c r="K532" s="28"/>
      <c r="L532" s="19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9"/>
      <c r="D533" s="19"/>
      <c r="E533" s="19"/>
      <c r="F533" s="19"/>
      <c r="G533" s="19"/>
      <c r="H533" s="19"/>
      <c r="I533" s="28"/>
      <c r="J533" s="28"/>
      <c r="K533" s="28"/>
      <c r="L533" s="19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9"/>
      <c r="D534" s="19"/>
      <c r="E534" s="19"/>
      <c r="F534" s="19"/>
      <c r="G534" s="19"/>
      <c r="H534" s="19"/>
      <c r="I534" s="28"/>
      <c r="J534" s="28"/>
      <c r="K534" s="28"/>
      <c r="L534" s="19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9"/>
      <c r="D535" s="19"/>
      <c r="E535" s="19"/>
      <c r="F535" s="19"/>
      <c r="G535" s="19"/>
      <c r="H535" s="19"/>
      <c r="I535" s="28"/>
      <c r="J535" s="28"/>
      <c r="K535" s="28"/>
      <c r="L535" s="19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9"/>
      <c r="D536" s="19"/>
      <c r="E536" s="19"/>
      <c r="F536" s="19"/>
      <c r="G536" s="19"/>
      <c r="H536" s="19"/>
      <c r="I536" s="28"/>
      <c r="J536" s="28"/>
      <c r="K536" s="28"/>
      <c r="L536" s="19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9"/>
      <c r="D537" s="19"/>
      <c r="E537" s="19"/>
      <c r="F537" s="19"/>
      <c r="G537" s="19"/>
      <c r="H537" s="19"/>
      <c r="I537" s="28"/>
      <c r="J537" s="28"/>
      <c r="K537" s="28"/>
      <c r="L537" s="19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9"/>
      <c r="D538" s="19"/>
      <c r="E538" s="19"/>
      <c r="F538" s="19"/>
      <c r="G538" s="19"/>
      <c r="H538" s="19"/>
      <c r="I538" s="28"/>
      <c r="J538" s="28"/>
      <c r="K538" s="28"/>
      <c r="L538" s="19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9"/>
      <c r="D539" s="19"/>
      <c r="E539" s="19"/>
      <c r="F539" s="19"/>
      <c r="G539" s="19"/>
      <c r="H539" s="19"/>
      <c r="I539" s="28"/>
      <c r="J539" s="28"/>
      <c r="K539" s="28"/>
      <c r="L539" s="19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9"/>
      <c r="D540" s="19"/>
      <c r="E540" s="19"/>
      <c r="F540" s="19"/>
      <c r="G540" s="19"/>
      <c r="H540" s="19"/>
      <c r="I540" s="28"/>
      <c r="J540" s="28"/>
      <c r="K540" s="28"/>
      <c r="L540" s="19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9"/>
      <c r="D541" s="19"/>
      <c r="E541" s="19"/>
      <c r="F541" s="19"/>
      <c r="G541" s="19"/>
      <c r="H541" s="19"/>
      <c r="I541" s="28"/>
      <c r="J541" s="28"/>
      <c r="K541" s="28"/>
      <c r="L541" s="19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9"/>
      <c r="D542" s="19"/>
      <c r="E542" s="19"/>
      <c r="F542" s="19"/>
      <c r="G542" s="19"/>
      <c r="H542" s="19"/>
      <c r="I542" s="28"/>
      <c r="J542" s="28"/>
      <c r="K542" s="28"/>
      <c r="L542" s="19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9"/>
      <c r="D543" s="19"/>
      <c r="E543" s="19"/>
      <c r="F543" s="19"/>
      <c r="G543" s="19"/>
      <c r="H543" s="19"/>
      <c r="I543" s="28"/>
      <c r="J543" s="28"/>
      <c r="K543" s="28"/>
      <c r="L543" s="19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9"/>
      <c r="D544" s="19"/>
      <c r="E544" s="19"/>
      <c r="F544" s="19"/>
      <c r="G544" s="19"/>
      <c r="H544" s="19"/>
      <c r="I544" s="28"/>
      <c r="J544" s="28"/>
      <c r="K544" s="28"/>
      <c r="L544" s="19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9"/>
      <c r="D545" s="19"/>
      <c r="E545" s="19"/>
      <c r="F545" s="19"/>
      <c r="G545" s="19"/>
      <c r="H545" s="19"/>
      <c r="I545" s="28"/>
      <c r="J545" s="28"/>
      <c r="K545" s="28"/>
      <c r="L545" s="19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9"/>
      <c r="D546" s="19"/>
      <c r="E546" s="19"/>
      <c r="F546" s="19"/>
      <c r="G546" s="19"/>
      <c r="H546" s="19"/>
      <c r="I546" s="28"/>
      <c r="J546" s="28"/>
      <c r="K546" s="28"/>
      <c r="L546" s="19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9"/>
      <c r="D547" s="19"/>
      <c r="E547" s="19"/>
      <c r="F547" s="19"/>
      <c r="G547" s="19"/>
      <c r="H547" s="19"/>
      <c r="I547" s="28"/>
      <c r="J547" s="28"/>
      <c r="K547" s="28"/>
      <c r="L547" s="19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9"/>
      <c r="D548" s="19"/>
      <c r="E548" s="19"/>
      <c r="F548" s="19"/>
      <c r="G548" s="19"/>
      <c r="H548" s="19"/>
      <c r="I548" s="28"/>
      <c r="J548" s="28"/>
      <c r="K548" s="28"/>
      <c r="L548" s="19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9"/>
      <c r="D549" s="19"/>
      <c r="E549" s="19"/>
      <c r="F549" s="19"/>
      <c r="G549" s="19"/>
      <c r="H549" s="19"/>
      <c r="I549" s="28"/>
      <c r="J549" s="28"/>
      <c r="K549" s="28"/>
      <c r="L549" s="19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9"/>
      <c r="D550" s="19"/>
      <c r="E550" s="19"/>
      <c r="F550" s="19"/>
      <c r="G550" s="19"/>
      <c r="H550" s="19"/>
      <c r="I550" s="28"/>
      <c r="J550" s="28"/>
      <c r="K550" s="28"/>
      <c r="L550" s="19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9"/>
      <c r="D551" s="19"/>
      <c r="E551" s="19"/>
      <c r="F551" s="19"/>
      <c r="G551" s="19"/>
      <c r="H551" s="19"/>
      <c r="I551" s="28"/>
      <c r="J551" s="28"/>
      <c r="K551" s="28"/>
      <c r="L551" s="19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9"/>
      <c r="D552" s="19"/>
      <c r="E552" s="19"/>
      <c r="F552" s="19"/>
      <c r="G552" s="19"/>
      <c r="H552" s="19"/>
      <c r="I552" s="28"/>
      <c r="J552" s="28"/>
      <c r="K552" s="28"/>
      <c r="L552" s="19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9"/>
      <c r="D553" s="19"/>
      <c r="E553" s="19"/>
      <c r="F553" s="19"/>
      <c r="G553" s="19"/>
      <c r="H553" s="19"/>
      <c r="I553" s="28"/>
      <c r="J553" s="28"/>
      <c r="K553" s="28"/>
      <c r="L553" s="19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9"/>
      <c r="D554" s="19"/>
      <c r="E554" s="19"/>
      <c r="F554" s="19"/>
      <c r="G554" s="19"/>
      <c r="H554" s="19"/>
      <c r="I554" s="28"/>
      <c r="J554" s="28"/>
      <c r="K554" s="28"/>
      <c r="L554" s="19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9"/>
      <c r="D555" s="19"/>
      <c r="E555" s="19"/>
      <c r="F555" s="19"/>
      <c r="G555" s="19"/>
      <c r="H555" s="19"/>
      <c r="I555" s="28"/>
      <c r="J555" s="28"/>
      <c r="K555" s="28"/>
      <c r="L555" s="19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9"/>
      <c r="D556" s="19"/>
      <c r="E556" s="19"/>
      <c r="F556" s="19"/>
      <c r="G556" s="19"/>
      <c r="H556" s="19"/>
      <c r="I556" s="28"/>
      <c r="J556" s="28"/>
      <c r="K556" s="28"/>
      <c r="L556" s="19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9"/>
      <c r="D557" s="19"/>
      <c r="E557" s="19"/>
      <c r="F557" s="19"/>
      <c r="G557" s="19"/>
      <c r="H557" s="19"/>
      <c r="I557" s="28"/>
      <c r="J557" s="28"/>
      <c r="K557" s="28"/>
      <c r="L557" s="19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9"/>
      <c r="D558" s="19"/>
      <c r="E558" s="19"/>
      <c r="F558" s="19"/>
      <c r="G558" s="19"/>
      <c r="H558" s="19"/>
      <c r="I558" s="28"/>
      <c r="J558" s="28"/>
      <c r="K558" s="28"/>
      <c r="L558" s="19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9"/>
      <c r="D559" s="19"/>
      <c r="E559" s="19"/>
      <c r="F559" s="19"/>
      <c r="G559" s="19"/>
      <c r="H559" s="19"/>
      <c r="I559" s="28"/>
      <c r="J559" s="28"/>
      <c r="K559" s="28"/>
      <c r="L559" s="19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9"/>
      <c r="D560" s="19"/>
      <c r="E560" s="19"/>
      <c r="F560" s="19"/>
      <c r="G560" s="19"/>
      <c r="H560" s="19"/>
      <c r="I560" s="28"/>
      <c r="J560" s="28"/>
      <c r="K560" s="28"/>
      <c r="L560" s="19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9"/>
      <c r="D561" s="19"/>
      <c r="E561" s="19"/>
      <c r="F561" s="19"/>
      <c r="G561" s="19"/>
      <c r="H561" s="19"/>
      <c r="I561" s="28"/>
      <c r="J561" s="28"/>
      <c r="K561" s="28"/>
      <c r="L561" s="19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9"/>
      <c r="D562" s="19"/>
      <c r="E562" s="19"/>
      <c r="F562" s="19"/>
      <c r="G562" s="19"/>
      <c r="H562" s="19"/>
      <c r="I562" s="28"/>
      <c r="J562" s="28"/>
      <c r="K562" s="28"/>
      <c r="L562" s="19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9"/>
      <c r="D563" s="19"/>
      <c r="E563" s="19"/>
      <c r="F563" s="19"/>
      <c r="G563" s="19"/>
      <c r="H563" s="19"/>
      <c r="I563" s="28"/>
      <c r="J563" s="28"/>
      <c r="K563" s="28"/>
      <c r="L563" s="19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9"/>
      <c r="D564" s="19"/>
      <c r="E564" s="19"/>
      <c r="F564" s="19"/>
      <c r="G564" s="19"/>
      <c r="H564" s="19"/>
      <c r="I564" s="28"/>
      <c r="J564" s="28"/>
      <c r="K564" s="28"/>
      <c r="L564" s="19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9"/>
      <c r="D565" s="19"/>
      <c r="E565" s="19"/>
      <c r="F565" s="19"/>
      <c r="G565" s="19"/>
      <c r="H565" s="19"/>
      <c r="I565" s="28"/>
      <c r="J565" s="28"/>
      <c r="K565" s="28"/>
      <c r="L565" s="19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9"/>
      <c r="D566" s="19"/>
      <c r="E566" s="19"/>
      <c r="F566" s="19"/>
      <c r="G566" s="19"/>
      <c r="H566" s="19"/>
      <c r="I566" s="28"/>
      <c r="J566" s="28"/>
      <c r="K566" s="28"/>
      <c r="L566" s="19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9"/>
      <c r="D567" s="19"/>
      <c r="E567" s="19"/>
      <c r="F567" s="19"/>
      <c r="G567" s="19"/>
      <c r="H567" s="19"/>
      <c r="I567" s="28"/>
      <c r="J567" s="28"/>
      <c r="K567" s="28"/>
      <c r="L567" s="19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9"/>
      <c r="D568" s="19"/>
      <c r="E568" s="19"/>
      <c r="F568" s="19"/>
      <c r="G568" s="19"/>
      <c r="H568" s="19"/>
      <c r="I568" s="28"/>
      <c r="J568" s="28"/>
      <c r="K568" s="28"/>
      <c r="L568" s="19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9"/>
      <c r="D569" s="19"/>
      <c r="E569" s="19"/>
      <c r="F569" s="19"/>
      <c r="G569" s="19"/>
      <c r="H569" s="19"/>
      <c r="I569" s="28"/>
      <c r="J569" s="28"/>
      <c r="K569" s="28"/>
      <c r="L569" s="19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9"/>
      <c r="D570" s="19"/>
      <c r="E570" s="19"/>
      <c r="F570" s="19"/>
      <c r="G570" s="19"/>
      <c r="H570" s="19"/>
      <c r="I570" s="28"/>
      <c r="J570" s="28"/>
      <c r="K570" s="28"/>
      <c r="L570" s="19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9"/>
      <c r="D571" s="19"/>
      <c r="E571" s="19"/>
      <c r="F571" s="19"/>
      <c r="G571" s="19"/>
      <c r="H571" s="19"/>
      <c r="I571" s="28"/>
      <c r="J571" s="28"/>
      <c r="K571" s="28"/>
      <c r="L571" s="19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9"/>
      <c r="D572" s="19"/>
      <c r="E572" s="19"/>
      <c r="F572" s="19"/>
      <c r="G572" s="19"/>
      <c r="H572" s="19"/>
      <c r="I572" s="28"/>
      <c r="J572" s="28"/>
      <c r="K572" s="28"/>
      <c r="L572" s="19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9"/>
      <c r="D573" s="19"/>
      <c r="E573" s="19"/>
      <c r="F573" s="19"/>
      <c r="G573" s="19"/>
      <c r="H573" s="19"/>
      <c r="I573" s="28"/>
      <c r="J573" s="28"/>
      <c r="K573" s="28"/>
      <c r="L573" s="19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9"/>
      <c r="D574" s="19"/>
      <c r="E574" s="19"/>
      <c r="F574" s="19"/>
      <c r="G574" s="19"/>
      <c r="H574" s="19"/>
      <c r="I574" s="28"/>
      <c r="J574" s="28"/>
      <c r="K574" s="28"/>
      <c r="L574" s="19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9"/>
      <c r="D575" s="19"/>
      <c r="E575" s="19"/>
      <c r="F575" s="19"/>
      <c r="G575" s="19"/>
      <c r="H575" s="19"/>
      <c r="I575" s="28"/>
      <c r="J575" s="28"/>
      <c r="K575" s="28"/>
      <c r="L575" s="19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9"/>
      <c r="D576" s="19"/>
      <c r="E576" s="19"/>
      <c r="F576" s="19"/>
      <c r="G576" s="19"/>
      <c r="H576" s="19"/>
      <c r="I576" s="28"/>
      <c r="J576" s="28"/>
      <c r="K576" s="28"/>
      <c r="L576" s="19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9"/>
      <c r="D577" s="19"/>
      <c r="E577" s="19"/>
      <c r="F577" s="19"/>
      <c r="G577" s="19"/>
      <c r="H577" s="19"/>
      <c r="I577" s="28"/>
      <c r="J577" s="28"/>
      <c r="K577" s="28"/>
      <c r="L577" s="19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9"/>
      <c r="D578" s="19"/>
      <c r="E578" s="19"/>
      <c r="F578" s="19"/>
      <c r="G578" s="19"/>
      <c r="H578" s="19"/>
      <c r="I578" s="28"/>
      <c r="J578" s="28"/>
      <c r="K578" s="28"/>
      <c r="L578" s="19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9"/>
      <c r="D579" s="19"/>
      <c r="E579" s="19"/>
      <c r="F579" s="19"/>
      <c r="G579" s="19"/>
      <c r="H579" s="19"/>
      <c r="I579" s="28"/>
      <c r="J579" s="28"/>
      <c r="K579" s="28"/>
      <c r="L579" s="19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9"/>
      <c r="D580" s="19"/>
      <c r="E580" s="19"/>
      <c r="F580" s="19"/>
      <c r="G580" s="19"/>
      <c r="H580" s="19"/>
      <c r="I580" s="28"/>
      <c r="J580" s="28"/>
      <c r="K580" s="28"/>
      <c r="L580" s="19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9"/>
      <c r="D581" s="19"/>
      <c r="E581" s="19"/>
      <c r="F581" s="19"/>
      <c r="G581" s="19"/>
      <c r="H581" s="19"/>
      <c r="I581" s="28"/>
      <c r="J581" s="28"/>
      <c r="K581" s="28"/>
      <c r="L581" s="19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9"/>
      <c r="D582" s="19"/>
      <c r="E582" s="19"/>
      <c r="F582" s="19"/>
      <c r="G582" s="19"/>
      <c r="H582" s="19"/>
      <c r="I582" s="28"/>
      <c r="J582" s="28"/>
      <c r="K582" s="28"/>
      <c r="L582" s="19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9"/>
      <c r="D583" s="19"/>
      <c r="E583" s="19"/>
      <c r="F583" s="19"/>
      <c r="G583" s="19"/>
      <c r="H583" s="19"/>
      <c r="I583" s="28"/>
      <c r="J583" s="28"/>
      <c r="K583" s="28"/>
      <c r="L583" s="19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9"/>
      <c r="D584" s="19"/>
      <c r="E584" s="19"/>
      <c r="F584" s="19"/>
      <c r="G584" s="19"/>
      <c r="H584" s="19"/>
      <c r="I584" s="28"/>
      <c r="J584" s="28"/>
      <c r="K584" s="28"/>
      <c r="L584" s="19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9"/>
      <c r="D585" s="19"/>
      <c r="E585" s="19"/>
      <c r="F585" s="19"/>
      <c r="G585" s="19"/>
      <c r="H585" s="19"/>
      <c r="I585" s="28"/>
      <c r="J585" s="28"/>
      <c r="K585" s="28"/>
      <c r="L585" s="19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9"/>
      <c r="D586" s="19"/>
      <c r="E586" s="19"/>
      <c r="F586" s="19"/>
      <c r="G586" s="19"/>
      <c r="H586" s="19"/>
      <c r="I586" s="28"/>
      <c r="J586" s="28"/>
      <c r="K586" s="28"/>
      <c r="L586" s="19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9"/>
      <c r="D587" s="19"/>
      <c r="E587" s="19"/>
      <c r="F587" s="19"/>
      <c r="G587" s="19"/>
      <c r="H587" s="19"/>
      <c r="I587" s="28"/>
      <c r="J587" s="28"/>
      <c r="K587" s="28"/>
      <c r="L587" s="19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9"/>
      <c r="D588" s="19"/>
      <c r="E588" s="19"/>
      <c r="F588" s="19"/>
      <c r="G588" s="19"/>
      <c r="H588" s="19"/>
      <c r="I588" s="28"/>
      <c r="J588" s="28"/>
      <c r="K588" s="28"/>
      <c r="L588" s="19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9"/>
      <c r="D589" s="19"/>
      <c r="E589" s="19"/>
      <c r="F589" s="19"/>
      <c r="G589" s="19"/>
      <c r="H589" s="19"/>
      <c r="I589" s="28"/>
      <c r="J589" s="28"/>
      <c r="K589" s="28"/>
      <c r="L589" s="19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9"/>
      <c r="D590" s="19"/>
      <c r="E590" s="19"/>
      <c r="F590" s="19"/>
      <c r="G590" s="19"/>
      <c r="H590" s="19"/>
      <c r="I590" s="28"/>
      <c r="J590" s="28"/>
      <c r="K590" s="28"/>
      <c r="L590" s="19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9"/>
      <c r="D591" s="19"/>
      <c r="E591" s="19"/>
      <c r="F591" s="19"/>
      <c r="G591" s="19"/>
      <c r="H591" s="19"/>
      <c r="I591" s="28"/>
      <c r="J591" s="28"/>
      <c r="K591" s="28"/>
      <c r="L591" s="19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9"/>
      <c r="D592" s="19"/>
      <c r="E592" s="19"/>
      <c r="F592" s="19"/>
      <c r="G592" s="19"/>
      <c r="H592" s="19"/>
      <c r="I592" s="28"/>
      <c r="J592" s="28"/>
      <c r="K592" s="28"/>
      <c r="L592" s="19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9"/>
      <c r="D593" s="19"/>
      <c r="E593" s="19"/>
      <c r="F593" s="19"/>
      <c r="G593" s="19"/>
      <c r="H593" s="19"/>
      <c r="I593" s="28"/>
      <c r="J593" s="28"/>
      <c r="K593" s="28"/>
      <c r="L593" s="19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9"/>
      <c r="D594" s="19"/>
      <c r="E594" s="19"/>
      <c r="F594" s="19"/>
      <c r="G594" s="19"/>
      <c r="H594" s="19"/>
      <c r="I594" s="28"/>
      <c r="J594" s="28"/>
      <c r="K594" s="28"/>
      <c r="L594" s="19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9"/>
      <c r="D595" s="19"/>
      <c r="E595" s="19"/>
      <c r="F595" s="19"/>
      <c r="G595" s="19"/>
      <c r="H595" s="19"/>
      <c r="I595" s="28"/>
      <c r="J595" s="28"/>
      <c r="K595" s="28"/>
      <c r="L595" s="19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9"/>
      <c r="D596" s="19"/>
      <c r="E596" s="19"/>
      <c r="F596" s="19"/>
      <c r="G596" s="19"/>
      <c r="H596" s="19"/>
      <c r="I596" s="28"/>
      <c r="J596" s="28"/>
      <c r="K596" s="28"/>
      <c r="L596" s="19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9"/>
      <c r="D597" s="19"/>
      <c r="E597" s="19"/>
      <c r="F597" s="19"/>
      <c r="G597" s="19"/>
      <c r="H597" s="19"/>
      <c r="I597" s="28"/>
      <c r="J597" s="28"/>
      <c r="K597" s="28"/>
      <c r="L597" s="19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9"/>
      <c r="D598" s="19"/>
      <c r="E598" s="19"/>
      <c r="F598" s="19"/>
      <c r="G598" s="19"/>
      <c r="H598" s="19"/>
      <c r="I598" s="28"/>
      <c r="J598" s="28"/>
      <c r="K598" s="28"/>
      <c r="L598" s="19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9"/>
      <c r="D599" s="19"/>
      <c r="E599" s="19"/>
      <c r="F599" s="19"/>
      <c r="G599" s="19"/>
      <c r="H599" s="19"/>
      <c r="I599" s="28"/>
      <c r="J599" s="28"/>
      <c r="K599" s="28"/>
      <c r="L599" s="19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9"/>
      <c r="D600" s="19"/>
      <c r="E600" s="19"/>
      <c r="F600" s="19"/>
      <c r="G600" s="19"/>
      <c r="H600" s="19"/>
      <c r="I600" s="28"/>
      <c r="J600" s="28"/>
      <c r="K600" s="28"/>
      <c r="L600" s="19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9"/>
      <c r="D601" s="19"/>
      <c r="E601" s="19"/>
      <c r="F601" s="19"/>
      <c r="G601" s="19"/>
      <c r="H601" s="19"/>
      <c r="I601" s="28"/>
      <c r="J601" s="28"/>
      <c r="K601" s="28"/>
      <c r="L601" s="19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9"/>
      <c r="D602" s="19"/>
      <c r="E602" s="19"/>
      <c r="F602" s="19"/>
      <c r="G602" s="19"/>
      <c r="H602" s="19"/>
      <c r="I602" s="28"/>
      <c r="J602" s="28"/>
      <c r="K602" s="28"/>
      <c r="L602" s="19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9"/>
      <c r="D603" s="19"/>
      <c r="E603" s="19"/>
      <c r="F603" s="19"/>
      <c r="G603" s="19"/>
      <c r="H603" s="19"/>
      <c r="I603" s="28"/>
      <c r="J603" s="28"/>
      <c r="K603" s="28"/>
      <c r="L603" s="19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9"/>
      <c r="D604" s="19"/>
      <c r="E604" s="19"/>
      <c r="F604" s="19"/>
      <c r="G604" s="19"/>
      <c r="H604" s="19"/>
      <c r="I604" s="28"/>
      <c r="J604" s="28"/>
      <c r="K604" s="28"/>
      <c r="L604" s="19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9"/>
      <c r="D605" s="19"/>
      <c r="E605" s="19"/>
      <c r="F605" s="19"/>
      <c r="G605" s="19"/>
      <c r="H605" s="19"/>
      <c r="I605" s="28"/>
      <c r="J605" s="28"/>
      <c r="K605" s="28"/>
      <c r="L605" s="19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9"/>
      <c r="D606" s="19"/>
      <c r="E606" s="19"/>
      <c r="F606" s="19"/>
      <c r="G606" s="19"/>
      <c r="H606" s="19"/>
      <c r="I606" s="28"/>
      <c r="J606" s="28"/>
      <c r="K606" s="28"/>
      <c r="L606" s="19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9"/>
      <c r="D607" s="19"/>
      <c r="E607" s="19"/>
      <c r="F607" s="19"/>
      <c r="G607" s="19"/>
      <c r="H607" s="19"/>
      <c r="I607" s="28"/>
      <c r="J607" s="28"/>
      <c r="K607" s="28"/>
      <c r="L607" s="19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9"/>
      <c r="D608" s="19"/>
      <c r="E608" s="19"/>
      <c r="F608" s="19"/>
      <c r="G608" s="19"/>
      <c r="H608" s="19"/>
      <c r="I608" s="28"/>
      <c r="J608" s="28"/>
      <c r="K608" s="28"/>
      <c r="L608" s="19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9"/>
      <c r="D609" s="19"/>
      <c r="E609" s="19"/>
      <c r="F609" s="19"/>
      <c r="G609" s="19"/>
      <c r="H609" s="19"/>
      <c r="I609" s="28"/>
      <c r="J609" s="28"/>
      <c r="K609" s="28"/>
      <c r="L609" s="19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9"/>
      <c r="D610" s="19"/>
      <c r="E610" s="19"/>
      <c r="F610" s="19"/>
      <c r="G610" s="19"/>
      <c r="H610" s="19"/>
      <c r="I610" s="28"/>
      <c r="J610" s="28"/>
      <c r="K610" s="28"/>
      <c r="L610" s="19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9"/>
      <c r="D611" s="19"/>
      <c r="E611" s="19"/>
      <c r="F611" s="19"/>
      <c r="G611" s="19"/>
      <c r="H611" s="19"/>
      <c r="I611" s="28"/>
      <c r="J611" s="28"/>
      <c r="K611" s="28"/>
      <c r="L611" s="19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9"/>
      <c r="D612" s="19"/>
      <c r="E612" s="19"/>
      <c r="F612" s="19"/>
      <c r="G612" s="19"/>
      <c r="H612" s="19"/>
      <c r="I612" s="28"/>
      <c r="J612" s="28"/>
      <c r="K612" s="28"/>
      <c r="L612" s="19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9"/>
      <c r="D613" s="19"/>
      <c r="E613" s="19"/>
      <c r="F613" s="19"/>
      <c r="G613" s="19"/>
      <c r="H613" s="19"/>
      <c r="I613" s="28"/>
      <c r="J613" s="28"/>
      <c r="K613" s="28"/>
      <c r="L613" s="19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9"/>
      <c r="D614" s="19"/>
      <c r="E614" s="19"/>
      <c r="F614" s="19"/>
      <c r="G614" s="19"/>
      <c r="H614" s="19"/>
      <c r="I614" s="28"/>
      <c r="J614" s="28"/>
      <c r="K614" s="28"/>
      <c r="L614" s="19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9"/>
      <c r="D615" s="19"/>
      <c r="E615" s="19"/>
      <c r="F615" s="19"/>
      <c r="G615" s="19"/>
      <c r="H615" s="19"/>
      <c r="I615" s="28"/>
      <c r="J615" s="28"/>
      <c r="K615" s="28"/>
      <c r="L615" s="19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9"/>
      <c r="D616" s="19"/>
      <c r="E616" s="19"/>
      <c r="F616" s="19"/>
      <c r="G616" s="19"/>
      <c r="H616" s="19"/>
      <c r="I616" s="28"/>
      <c r="J616" s="28"/>
      <c r="K616" s="28"/>
      <c r="L616" s="19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9"/>
      <c r="D617" s="19"/>
      <c r="E617" s="19"/>
      <c r="F617" s="19"/>
      <c r="G617" s="19"/>
      <c r="H617" s="19"/>
      <c r="I617" s="28"/>
      <c r="J617" s="28"/>
      <c r="K617" s="28"/>
      <c r="L617" s="19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9"/>
      <c r="D618" s="19"/>
      <c r="E618" s="19"/>
      <c r="F618" s="19"/>
      <c r="G618" s="19"/>
      <c r="H618" s="19"/>
      <c r="I618" s="28"/>
      <c r="J618" s="28"/>
      <c r="K618" s="28"/>
      <c r="L618" s="19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9"/>
      <c r="D619" s="19"/>
      <c r="E619" s="19"/>
      <c r="F619" s="19"/>
      <c r="G619" s="19"/>
      <c r="H619" s="19"/>
      <c r="I619" s="28"/>
      <c r="J619" s="28"/>
      <c r="K619" s="28"/>
      <c r="L619" s="19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9"/>
      <c r="D620" s="19"/>
      <c r="E620" s="19"/>
      <c r="F620" s="19"/>
      <c r="G620" s="19"/>
      <c r="H620" s="19"/>
      <c r="I620" s="28"/>
      <c r="J620" s="28"/>
      <c r="K620" s="28"/>
      <c r="L620" s="19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9"/>
      <c r="D621" s="19"/>
      <c r="E621" s="19"/>
      <c r="F621" s="19"/>
      <c r="G621" s="19"/>
      <c r="H621" s="19"/>
      <c r="I621" s="28"/>
      <c r="J621" s="28"/>
      <c r="K621" s="28"/>
      <c r="L621" s="19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9"/>
      <c r="D622" s="19"/>
      <c r="E622" s="19"/>
      <c r="F622" s="19"/>
      <c r="G622" s="19"/>
      <c r="H622" s="19"/>
      <c r="I622" s="28"/>
      <c r="J622" s="28"/>
      <c r="K622" s="28"/>
      <c r="L622" s="19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9"/>
      <c r="D623" s="19"/>
      <c r="E623" s="19"/>
      <c r="F623" s="19"/>
      <c r="G623" s="19"/>
      <c r="H623" s="19"/>
      <c r="I623" s="28"/>
      <c r="J623" s="28"/>
      <c r="K623" s="28"/>
      <c r="L623" s="19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9"/>
      <c r="D624" s="19"/>
      <c r="E624" s="19"/>
      <c r="F624" s="19"/>
      <c r="G624" s="19"/>
      <c r="H624" s="19"/>
      <c r="I624" s="28"/>
      <c r="J624" s="28"/>
      <c r="K624" s="28"/>
      <c r="L624" s="19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9"/>
      <c r="D625" s="19"/>
      <c r="E625" s="19"/>
      <c r="F625" s="19"/>
      <c r="G625" s="19"/>
      <c r="H625" s="19"/>
      <c r="I625" s="28"/>
      <c r="J625" s="28"/>
      <c r="K625" s="28"/>
      <c r="L625" s="19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9"/>
      <c r="D626" s="19"/>
      <c r="E626" s="19"/>
      <c r="F626" s="19"/>
      <c r="G626" s="19"/>
      <c r="H626" s="19"/>
      <c r="I626" s="28"/>
      <c r="J626" s="28"/>
      <c r="K626" s="28"/>
      <c r="L626" s="19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9"/>
      <c r="D627" s="19"/>
      <c r="E627" s="19"/>
      <c r="F627" s="19"/>
      <c r="G627" s="19"/>
      <c r="H627" s="19"/>
      <c r="I627" s="28"/>
      <c r="J627" s="28"/>
      <c r="K627" s="28"/>
      <c r="L627" s="19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9"/>
      <c r="D628" s="19"/>
      <c r="E628" s="19"/>
      <c r="F628" s="19"/>
      <c r="G628" s="19"/>
      <c r="H628" s="19"/>
      <c r="I628" s="28"/>
      <c r="J628" s="28"/>
      <c r="K628" s="28"/>
      <c r="L628" s="19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9"/>
      <c r="D629" s="19"/>
      <c r="E629" s="19"/>
      <c r="F629" s="19"/>
      <c r="G629" s="19"/>
      <c r="H629" s="19"/>
      <c r="I629" s="28"/>
      <c r="J629" s="28"/>
      <c r="K629" s="28"/>
      <c r="L629" s="19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9"/>
      <c r="D630" s="19"/>
      <c r="E630" s="19"/>
      <c r="F630" s="19"/>
      <c r="G630" s="19"/>
      <c r="H630" s="19"/>
      <c r="I630" s="28"/>
      <c r="J630" s="28"/>
      <c r="K630" s="28"/>
      <c r="L630" s="19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9"/>
      <c r="D631" s="19"/>
      <c r="E631" s="19"/>
      <c r="F631" s="19"/>
      <c r="G631" s="19"/>
      <c r="H631" s="19"/>
      <c r="I631" s="28"/>
      <c r="J631" s="28"/>
      <c r="K631" s="28"/>
      <c r="L631" s="19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9"/>
      <c r="D632" s="19"/>
      <c r="E632" s="19"/>
      <c r="F632" s="19"/>
      <c r="G632" s="19"/>
      <c r="H632" s="19"/>
      <c r="I632" s="28"/>
      <c r="J632" s="28"/>
      <c r="K632" s="28"/>
      <c r="L632" s="19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9"/>
      <c r="D633" s="19"/>
      <c r="E633" s="19"/>
      <c r="F633" s="19"/>
      <c r="G633" s="19"/>
      <c r="H633" s="19"/>
      <c r="I633" s="28"/>
      <c r="J633" s="28"/>
      <c r="K633" s="28"/>
      <c r="L633" s="19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9"/>
      <c r="D634" s="19"/>
      <c r="E634" s="19"/>
      <c r="F634" s="19"/>
      <c r="G634" s="19"/>
      <c r="H634" s="19"/>
      <c r="I634" s="28"/>
      <c r="J634" s="28"/>
      <c r="K634" s="28"/>
      <c r="L634" s="19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9"/>
      <c r="D635" s="19"/>
      <c r="E635" s="19"/>
      <c r="F635" s="19"/>
      <c r="G635" s="19"/>
      <c r="H635" s="19"/>
      <c r="I635" s="28"/>
      <c r="J635" s="28"/>
      <c r="K635" s="28"/>
      <c r="L635" s="19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9"/>
      <c r="D636" s="19"/>
      <c r="E636" s="19"/>
      <c r="F636" s="19"/>
      <c r="G636" s="19"/>
      <c r="H636" s="19"/>
      <c r="I636" s="28"/>
      <c r="J636" s="28"/>
      <c r="K636" s="28"/>
      <c r="L636" s="19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9"/>
      <c r="D637" s="19"/>
      <c r="E637" s="19"/>
      <c r="F637" s="19"/>
      <c r="G637" s="19"/>
      <c r="H637" s="19"/>
      <c r="I637" s="28"/>
      <c r="J637" s="28"/>
      <c r="K637" s="28"/>
      <c r="L637" s="19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9"/>
      <c r="D638" s="19"/>
      <c r="E638" s="19"/>
      <c r="F638" s="19"/>
      <c r="G638" s="19"/>
      <c r="H638" s="19"/>
      <c r="I638" s="28"/>
      <c r="J638" s="28"/>
      <c r="K638" s="28"/>
      <c r="L638" s="19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9"/>
      <c r="D639" s="19"/>
      <c r="E639" s="19"/>
      <c r="F639" s="19"/>
      <c r="G639" s="19"/>
      <c r="H639" s="19"/>
      <c r="I639" s="28"/>
      <c r="J639" s="28"/>
      <c r="K639" s="28"/>
      <c r="L639" s="19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9"/>
      <c r="D640" s="19"/>
      <c r="E640" s="19"/>
      <c r="F640" s="19"/>
      <c r="G640" s="19"/>
      <c r="H640" s="19"/>
      <c r="I640" s="28"/>
      <c r="J640" s="28"/>
      <c r="K640" s="28"/>
      <c r="L640" s="19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9"/>
      <c r="D641" s="19"/>
      <c r="E641" s="19"/>
      <c r="F641" s="19"/>
      <c r="G641" s="19"/>
      <c r="H641" s="19"/>
      <c r="I641" s="28"/>
      <c r="J641" s="28"/>
      <c r="K641" s="28"/>
      <c r="L641" s="19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9"/>
      <c r="D642" s="19"/>
      <c r="E642" s="19"/>
      <c r="F642" s="19"/>
      <c r="G642" s="19"/>
      <c r="H642" s="19"/>
      <c r="I642" s="28"/>
      <c r="J642" s="28"/>
      <c r="K642" s="28"/>
      <c r="L642" s="19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9"/>
      <c r="D643" s="19"/>
      <c r="E643" s="19"/>
      <c r="F643" s="19"/>
      <c r="G643" s="19"/>
      <c r="H643" s="19"/>
      <c r="I643" s="28"/>
      <c r="J643" s="28"/>
      <c r="K643" s="28"/>
      <c r="L643" s="19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9"/>
      <c r="D644" s="19"/>
      <c r="E644" s="19"/>
      <c r="F644" s="19"/>
      <c r="G644" s="19"/>
      <c r="H644" s="19"/>
      <c r="I644" s="28"/>
      <c r="J644" s="28"/>
      <c r="K644" s="28"/>
      <c r="L644" s="19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9"/>
      <c r="D645" s="19"/>
      <c r="E645" s="19"/>
      <c r="F645" s="19"/>
      <c r="G645" s="19"/>
      <c r="H645" s="19"/>
      <c r="I645" s="28"/>
      <c r="J645" s="28"/>
      <c r="K645" s="28"/>
      <c r="L645" s="19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9"/>
      <c r="D646" s="19"/>
      <c r="E646" s="19"/>
      <c r="F646" s="19"/>
      <c r="G646" s="19"/>
      <c r="H646" s="19"/>
      <c r="I646" s="28"/>
      <c r="J646" s="28"/>
      <c r="K646" s="28"/>
      <c r="L646" s="19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9"/>
      <c r="D647" s="19"/>
      <c r="E647" s="19"/>
      <c r="F647" s="19"/>
      <c r="G647" s="19"/>
      <c r="H647" s="19"/>
      <c r="I647" s="28"/>
      <c r="J647" s="28"/>
      <c r="K647" s="28"/>
      <c r="L647" s="19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9"/>
      <c r="D648" s="19"/>
      <c r="E648" s="19"/>
      <c r="F648" s="19"/>
      <c r="G648" s="19"/>
      <c r="H648" s="19"/>
      <c r="I648" s="28"/>
      <c r="J648" s="28"/>
      <c r="K648" s="28"/>
      <c r="L648" s="19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9"/>
      <c r="D649" s="19"/>
      <c r="E649" s="19"/>
      <c r="F649" s="19"/>
      <c r="G649" s="19"/>
      <c r="H649" s="19"/>
      <c r="I649" s="28"/>
      <c r="J649" s="28"/>
      <c r="K649" s="28"/>
      <c r="L649" s="19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9"/>
      <c r="D650" s="19"/>
      <c r="E650" s="19"/>
      <c r="F650" s="19"/>
      <c r="G650" s="19"/>
      <c r="H650" s="19"/>
      <c r="I650" s="28"/>
      <c r="J650" s="28"/>
      <c r="K650" s="28"/>
      <c r="L650" s="19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9"/>
      <c r="D651" s="19"/>
      <c r="E651" s="19"/>
      <c r="F651" s="19"/>
      <c r="G651" s="19"/>
      <c r="H651" s="19"/>
      <c r="I651" s="28"/>
      <c r="J651" s="28"/>
      <c r="K651" s="28"/>
      <c r="L651" s="19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9"/>
      <c r="D652" s="19"/>
      <c r="E652" s="19"/>
      <c r="F652" s="19"/>
      <c r="G652" s="19"/>
      <c r="H652" s="19"/>
      <c r="I652" s="28"/>
      <c r="J652" s="28"/>
      <c r="K652" s="28"/>
      <c r="L652" s="19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9"/>
      <c r="D653" s="19"/>
      <c r="E653" s="19"/>
      <c r="F653" s="19"/>
      <c r="G653" s="19"/>
      <c r="H653" s="19"/>
      <c r="I653" s="28"/>
      <c r="J653" s="28"/>
      <c r="K653" s="28"/>
      <c r="L653" s="19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9"/>
      <c r="D654" s="19"/>
      <c r="E654" s="19"/>
      <c r="F654" s="19"/>
      <c r="G654" s="19"/>
      <c r="H654" s="19"/>
      <c r="I654" s="28"/>
      <c r="J654" s="28"/>
      <c r="K654" s="28"/>
      <c r="L654" s="19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9"/>
      <c r="D655" s="19"/>
      <c r="E655" s="19"/>
      <c r="F655" s="19"/>
      <c r="G655" s="19"/>
      <c r="H655" s="19"/>
      <c r="I655" s="28"/>
      <c r="J655" s="28"/>
      <c r="K655" s="28"/>
      <c r="L655" s="19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9"/>
      <c r="D656" s="19"/>
      <c r="E656" s="19"/>
      <c r="F656" s="19"/>
      <c r="G656" s="19"/>
      <c r="H656" s="19"/>
      <c r="I656" s="28"/>
      <c r="J656" s="28"/>
      <c r="K656" s="28"/>
      <c r="L656" s="19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9"/>
      <c r="D657" s="19"/>
      <c r="E657" s="19"/>
      <c r="F657" s="19"/>
      <c r="G657" s="19"/>
      <c r="H657" s="19"/>
      <c r="I657" s="28"/>
      <c r="J657" s="28"/>
      <c r="K657" s="28"/>
      <c r="L657" s="19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9"/>
      <c r="D658" s="19"/>
      <c r="E658" s="19"/>
      <c r="F658" s="19"/>
      <c r="G658" s="19"/>
      <c r="H658" s="19"/>
      <c r="I658" s="28"/>
      <c r="J658" s="28"/>
      <c r="K658" s="28"/>
      <c r="L658" s="19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9"/>
      <c r="D659" s="19"/>
      <c r="E659" s="19"/>
      <c r="F659" s="19"/>
      <c r="G659" s="19"/>
      <c r="H659" s="19"/>
      <c r="I659" s="28"/>
      <c r="J659" s="28"/>
      <c r="K659" s="28"/>
      <c r="L659" s="19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9"/>
      <c r="D660" s="19"/>
      <c r="E660" s="19"/>
      <c r="F660" s="19"/>
      <c r="G660" s="19"/>
      <c r="H660" s="19"/>
      <c r="I660" s="28"/>
      <c r="J660" s="28"/>
      <c r="K660" s="28"/>
      <c r="L660" s="19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9"/>
      <c r="D661" s="19"/>
      <c r="E661" s="19"/>
      <c r="F661" s="19"/>
      <c r="G661" s="19"/>
      <c r="H661" s="19"/>
      <c r="I661" s="28"/>
      <c r="J661" s="28"/>
      <c r="K661" s="28"/>
      <c r="L661" s="19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9"/>
      <c r="D662" s="19"/>
      <c r="E662" s="19"/>
      <c r="F662" s="19"/>
      <c r="G662" s="19"/>
      <c r="H662" s="19"/>
      <c r="I662" s="28"/>
      <c r="J662" s="28"/>
      <c r="K662" s="28"/>
      <c r="L662" s="19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9"/>
      <c r="D663" s="19"/>
      <c r="E663" s="19"/>
      <c r="F663" s="19"/>
      <c r="G663" s="19"/>
      <c r="H663" s="19"/>
      <c r="I663" s="28"/>
      <c r="J663" s="28"/>
      <c r="K663" s="28"/>
      <c r="L663" s="19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9"/>
      <c r="D664" s="19"/>
      <c r="E664" s="19"/>
      <c r="F664" s="19"/>
      <c r="G664" s="19"/>
      <c r="H664" s="19"/>
      <c r="I664" s="28"/>
      <c r="J664" s="28"/>
      <c r="K664" s="28"/>
      <c r="L664" s="19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9"/>
      <c r="D665" s="19"/>
      <c r="E665" s="19"/>
      <c r="F665" s="19"/>
      <c r="G665" s="19"/>
      <c r="H665" s="19"/>
      <c r="I665" s="28"/>
      <c r="J665" s="28"/>
      <c r="K665" s="28"/>
      <c r="L665" s="19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9"/>
      <c r="D666" s="19"/>
      <c r="E666" s="19"/>
      <c r="F666" s="19"/>
      <c r="G666" s="19"/>
      <c r="H666" s="19"/>
      <c r="I666" s="28"/>
      <c r="J666" s="28"/>
      <c r="K666" s="28"/>
      <c r="L666" s="19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9"/>
      <c r="D667" s="19"/>
      <c r="E667" s="19"/>
      <c r="F667" s="19"/>
      <c r="G667" s="19"/>
      <c r="H667" s="19"/>
      <c r="I667" s="28"/>
      <c r="J667" s="28"/>
      <c r="K667" s="28"/>
      <c r="L667" s="19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9"/>
      <c r="D668" s="19"/>
      <c r="E668" s="19"/>
      <c r="F668" s="19"/>
      <c r="G668" s="19"/>
      <c r="H668" s="19"/>
      <c r="I668" s="28"/>
      <c r="J668" s="28"/>
      <c r="K668" s="28"/>
      <c r="L668" s="19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9"/>
      <c r="D669" s="19"/>
      <c r="E669" s="19"/>
      <c r="F669" s="19"/>
      <c r="G669" s="19"/>
      <c r="H669" s="19"/>
      <c r="I669" s="28"/>
      <c r="J669" s="28"/>
      <c r="K669" s="28"/>
      <c r="L669" s="19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9"/>
      <c r="D670" s="19"/>
      <c r="E670" s="19"/>
      <c r="F670" s="19"/>
      <c r="G670" s="19"/>
      <c r="H670" s="19"/>
      <c r="I670" s="28"/>
      <c r="J670" s="28"/>
      <c r="K670" s="28"/>
      <c r="L670" s="19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9"/>
      <c r="D671" s="19"/>
      <c r="E671" s="19"/>
      <c r="F671" s="19"/>
      <c r="G671" s="19"/>
      <c r="H671" s="19"/>
      <c r="I671" s="28"/>
      <c r="J671" s="28"/>
      <c r="K671" s="28"/>
      <c r="L671" s="19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9"/>
      <c r="D672" s="19"/>
      <c r="E672" s="19"/>
      <c r="F672" s="19"/>
      <c r="G672" s="19"/>
      <c r="H672" s="19"/>
      <c r="I672" s="28"/>
      <c r="J672" s="28"/>
      <c r="K672" s="28"/>
      <c r="L672" s="19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9"/>
      <c r="D673" s="19"/>
      <c r="E673" s="19"/>
      <c r="F673" s="19"/>
      <c r="G673" s="19"/>
      <c r="H673" s="19"/>
      <c r="I673" s="28"/>
      <c r="J673" s="28"/>
      <c r="K673" s="28"/>
      <c r="L673" s="19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9"/>
      <c r="D674" s="19"/>
      <c r="E674" s="19"/>
      <c r="F674" s="19"/>
      <c r="G674" s="19"/>
      <c r="H674" s="19"/>
      <c r="I674" s="28"/>
      <c r="J674" s="28"/>
      <c r="K674" s="28"/>
      <c r="L674" s="19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9"/>
      <c r="D675" s="19"/>
      <c r="E675" s="19"/>
      <c r="F675" s="19"/>
      <c r="G675" s="19"/>
      <c r="H675" s="19"/>
      <c r="I675" s="28"/>
      <c r="J675" s="28"/>
      <c r="K675" s="28"/>
      <c r="L675" s="19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9"/>
      <c r="D676" s="19"/>
      <c r="E676" s="19"/>
      <c r="F676" s="19"/>
      <c r="G676" s="19"/>
      <c r="H676" s="19"/>
      <c r="I676" s="28"/>
      <c r="J676" s="28"/>
      <c r="K676" s="28"/>
      <c r="L676" s="19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9"/>
      <c r="D677" s="19"/>
      <c r="E677" s="19"/>
      <c r="F677" s="19"/>
      <c r="G677" s="19"/>
      <c r="H677" s="19"/>
      <c r="I677" s="28"/>
      <c r="J677" s="28"/>
      <c r="K677" s="28"/>
      <c r="L677" s="19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9"/>
      <c r="D678" s="19"/>
      <c r="E678" s="19"/>
      <c r="F678" s="19"/>
      <c r="G678" s="19"/>
      <c r="H678" s="19"/>
      <c r="I678" s="28"/>
      <c r="J678" s="28"/>
      <c r="K678" s="28"/>
      <c r="L678" s="19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9"/>
      <c r="D679" s="19"/>
      <c r="E679" s="19"/>
      <c r="F679" s="19"/>
      <c r="G679" s="19"/>
      <c r="H679" s="19"/>
      <c r="I679" s="28"/>
      <c r="J679" s="28"/>
      <c r="K679" s="28"/>
      <c r="L679" s="19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9"/>
      <c r="D680" s="19"/>
      <c r="E680" s="19"/>
      <c r="F680" s="19"/>
      <c r="G680" s="19"/>
      <c r="H680" s="19"/>
      <c r="I680" s="28"/>
      <c r="J680" s="28"/>
      <c r="K680" s="28"/>
      <c r="L680" s="19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9"/>
      <c r="D681" s="19"/>
      <c r="E681" s="19"/>
      <c r="F681" s="19"/>
      <c r="G681" s="19"/>
      <c r="H681" s="19"/>
      <c r="I681" s="28"/>
      <c r="J681" s="28"/>
      <c r="K681" s="28"/>
      <c r="L681" s="19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9"/>
      <c r="D682" s="19"/>
      <c r="E682" s="19"/>
      <c r="F682" s="19"/>
      <c r="G682" s="19"/>
      <c r="H682" s="19"/>
      <c r="I682" s="28"/>
      <c r="J682" s="28"/>
      <c r="K682" s="28"/>
      <c r="L682" s="19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9"/>
      <c r="D683" s="19"/>
      <c r="E683" s="19"/>
      <c r="F683" s="19"/>
      <c r="G683" s="19"/>
      <c r="H683" s="19"/>
      <c r="I683" s="28"/>
      <c r="J683" s="28"/>
      <c r="K683" s="28"/>
      <c r="L683" s="19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9"/>
      <c r="D684" s="19"/>
      <c r="E684" s="19"/>
      <c r="F684" s="19"/>
      <c r="G684" s="19"/>
      <c r="H684" s="19"/>
      <c r="I684" s="28"/>
      <c r="J684" s="28"/>
      <c r="K684" s="28"/>
      <c r="L684" s="19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9"/>
      <c r="D685" s="19"/>
      <c r="E685" s="19"/>
      <c r="F685" s="19"/>
      <c r="G685" s="19"/>
      <c r="H685" s="19"/>
      <c r="I685" s="28"/>
      <c r="J685" s="28"/>
      <c r="K685" s="28"/>
      <c r="L685" s="19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9"/>
      <c r="D686" s="19"/>
      <c r="E686" s="19"/>
      <c r="F686" s="19"/>
      <c r="G686" s="19"/>
      <c r="H686" s="19"/>
      <c r="I686" s="28"/>
      <c r="J686" s="28"/>
      <c r="K686" s="28"/>
      <c r="L686" s="19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9"/>
      <c r="D687" s="19"/>
      <c r="E687" s="19"/>
      <c r="F687" s="19"/>
      <c r="G687" s="19"/>
      <c r="H687" s="19"/>
      <c r="I687" s="28"/>
      <c r="J687" s="28"/>
      <c r="K687" s="28"/>
      <c r="L687" s="19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9"/>
      <c r="D688" s="19"/>
      <c r="E688" s="19"/>
      <c r="F688" s="19"/>
      <c r="G688" s="19"/>
      <c r="H688" s="19"/>
      <c r="I688" s="28"/>
      <c r="J688" s="28"/>
      <c r="K688" s="28"/>
      <c r="L688" s="19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9"/>
      <c r="D689" s="19"/>
      <c r="E689" s="19"/>
      <c r="F689" s="19"/>
      <c r="G689" s="19"/>
      <c r="H689" s="19"/>
      <c r="I689" s="28"/>
      <c r="J689" s="28"/>
      <c r="K689" s="28"/>
      <c r="L689" s="19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9"/>
      <c r="D690" s="19"/>
      <c r="E690" s="19"/>
      <c r="F690" s="19"/>
      <c r="G690" s="19"/>
      <c r="H690" s="19"/>
      <c r="I690" s="28"/>
      <c r="J690" s="28"/>
      <c r="K690" s="28"/>
      <c r="L690" s="19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9"/>
      <c r="D691" s="19"/>
      <c r="E691" s="19"/>
      <c r="F691" s="19"/>
      <c r="G691" s="19"/>
      <c r="H691" s="19"/>
      <c r="I691" s="28"/>
      <c r="J691" s="28"/>
      <c r="K691" s="28"/>
      <c r="L691" s="19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9"/>
      <c r="D692" s="19"/>
      <c r="E692" s="19"/>
      <c r="F692" s="19"/>
      <c r="G692" s="19"/>
      <c r="H692" s="19"/>
      <c r="I692" s="28"/>
      <c r="J692" s="28"/>
      <c r="K692" s="28"/>
      <c r="L692" s="19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9"/>
      <c r="D693" s="19"/>
      <c r="E693" s="19"/>
      <c r="F693" s="19"/>
      <c r="G693" s="19"/>
      <c r="H693" s="19"/>
      <c r="I693" s="28"/>
      <c r="J693" s="28"/>
      <c r="K693" s="28"/>
      <c r="L693" s="19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9"/>
      <c r="D694" s="19"/>
      <c r="E694" s="19"/>
      <c r="F694" s="19"/>
      <c r="G694" s="19"/>
      <c r="H694" s="19"/>
      <c r="I694" s="28"/>
      <c r="J694" s="28"/>
      <c r="K694" s="28"/>
      <c r="L694" s="19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9"/>
      <c r="D695" s="19"/>
      <c r="E695" s="19"/>
      <c r="F695" s="19"/>
      <c r="G695" s="19"/>
      <c r="H695" s="19"/>
      <c r="I695" s="28"/>
      <c r="J695" s="28"/>
      <c r="K695" s="28"/>
      <c r="L695" s="19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9"/>
      <c r="D696" s="19"/>
      <c r="E696" s="19"/>
      <c r="F696" s="19"/>
      <c r="G696" s="19"/>
      <c r="H696" s="19"/>
      <c r="I696" s="28"/>
      <c r="J696" s="28"/>
      <c r="K696" s="28"/>
      <c r="L696" s="19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9"/>
      <c r="D697" s="19"/>
      <c r="E697" s="19"/>
      <c r="F697" s="19"/>
      <c r="G697" s="19"/>
      <c r="H697" s="19"/>
      <c r="I697" s="28"/>
      <c r="J697" s="28"/>
      <c r="K697" s="28"/>
      <c r="L697" s="19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9"/>
      <c r="D698" s="19"/>
      <c r="E698" s="19"/>
      <c r="F698" s="19"/>
      <c r="G698" s="19"/>
      <c r="H698" s="19"/>
      <c r="I698" s="28"/>
      <c r="J698" s="28"/>
      <c r="K698" s="28"/>
      <c r="L698" s="19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9"/>
      <c r="D699" s="19"/>
      <c r="E699" s="19"/>
      <c r="F699" s="19"/>
      <c r="G699" s="19"/>
      <c r="H699" s="19"/>
      <c r="I699" s="28"/>
      <c r="J699" s="28"/>
      <c r="K699" s="28"/>
      <c r="L699" s="19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9"/>
      <c r="D700" s="19"/>
      <c r="E700" s="19"/>
      <c r="F700" s="19"/>
      <c r="G700" s="19"/>
      <c r="H700" s="19"/>
      <c r="I700" s="28"/>
      <c r="J700" s="28"/>
      <c r="K700" s="28"/>
      <c r="L700" s="19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9"/>
      <c r="D701" s="19"/>
      <c r="E701" s="19"/>
      <c r="F701" s="19"/>
      <c r="G701" s="19"/>
      <c r="H701" s="19"/>
      <c r="I701" s="28"/>
      <c r="J701" s="28"/>
      <c r="K701" s="28"/>
      <c r="L701" s="19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9"/>
      <c r="D702" s="19"/>
      <c r="E702" s="19"/>
      <c r="F702" s="19"/>
      <c r="G702" s="19"/>
      <c r="H702" s="19"/>
      <c r="I702" s="28"/>
      <c r="J702" s="28"/>
      <c r="K702" s="28"/>
      <c r="L702" s="19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9"/>
      <c r="D703" s="19"/>
      <c r="E703" s="19"/>
      <c r="F703" s="19"/>
      <c r="G703" s="19"/>
      <c r="H703" s="19"/>
      <c r="I703" s="28"/>
      <c r="J703" s="28"/>
      <c r="K703" s="28"/>
      <c r="L703" s="19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9"/>
      <c r="D704" s="19"/>
      <c r="E704" s="19"/>
      <c r="F704" s="19"/>
      <c r="G704" s="19"/>
      <c r="H704" s="19"/>
      <c r="I704" s="28"/>
      <c r="J704" s="28"/>
      <c r="K704" s="28"/>
      <c r="L704" s="19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9"/>
      <c r="D705" s="19"/>
      <c r="E705" s="19"/>
      <c r="F705" s="19"/>
      <c r="G705" s="19"/>
      <c r="H705" s="19"/>
      <c r="I705" s="28"/>
      <c r="J705" s="28"/>
      <c r="K705" s="28"/>
      <c r="L705" s="19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9"/>
      <c r="D706" s="19"/>
      <c r="E706" s="19"/>
      <c r="F706" s="19"/>
      <c r="G706" s="19"/>
      <c r="H706" s="19"/>
      <c r="I706" s="28"/>
      <c r="J706" s="28"/>
      <c r="K706" s="28"/>
      <c r="L706" s="19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9"/>
      <c r="D707" s="19"/>
      <c r="E707" s="19"/>
      <c r="F707" s="19"/>
      <c r="G707" s="19"/>
      <c r="H707" s="19"/>
      <c r="I707" s="28"/>
      <c r="J707" s="28"/>
      <c r="K707" s="28"/>
      <c r="L707" s="19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9"/>
      <c r="D708" s="19"/>
      <c r="E708" s="19"/>
      <c r="F708" s="19"/>
      <c r="G708" s="19"/>
      <c r="H708" s="19"/>
      <c r="I708" s="28"/>
      <c r="J708" s="28"/>
      <c r="K708" s="28"/>
      <c r="L708" s="19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9"/>
      <c r="D709" s="19"/>
      <c r="E709" s="19"/>
      <c r="F709" s="19"/>
      <c r="G709" s="19"/>
      <c r="H709" s="19"/>
      <c r="I709" s="28"/>
      <c r="J709" s="28"/>
      <c r="K709" s="28"/>
      <c r="L709" s="19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9"/>
      <c r="D710" s="19"/>
      <c r="E710" s="19"/>
      <c r="F710" s="19"/>
      <c r="G710" s="19"/>
      <c r="H710" s="19"/>
      <c r="I710" s="28"/>
      <c r="J710" s="28"/>
      <c r="K710" s="28"/>
      <c r="L710" s="19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9"/>
      <c r="D711" s="19"/>
      <c r="E711" s="19"/>
      <c r="F711" s="19"/>
      <c r="G711" s="19"/>
      <c r="H711" s="19"/>
      <c r="I711" s="28"/>
      <c r="J711" s="28"/>
      <c r="K711" s="28"/>
      <c r="L711" s="19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9"/>
      <c r="D712" s="19"/>
      <c r="E712" s="19"/>
      <c r="F712" s="19"/>
      <c r="G712" s="19"/>
      <c r="H712" s="19"/>
      <c r="I712" s="28"/>
      <c r="J712" s="28"/>
      <c r="K712" s="28"/>
      <c r="L712" s="19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9"/>
      <c r="D713" s="19"/>
      <c r="E713" s="19"/>
      <c r="F713" s="19"/>
      <c r="G713" s="19"/>
      <c r="H713" s="19"/>
      <c r="I713" s="28"/>
      <c r="J713" s="28"/>
      <c r="K713" s="28"/>
      <c r="L713" s="19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9"/>
      <c r="D714" s="19"/>
      <c r="E714" s="19"/>
      <c r="F714" s="19"/>
      <c r="G714" s="19"/>
      <c r="H714" s="19"/>
      <c r="I714" s="28"/>
      <c r="J714" s="28"/>
      <c r="K714" s="28"/>
      <c r="L714" s="19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9"/>
      <c r="D715" s="19"/>
      <c r="E715" s="19"/>
      <c r="F715" s="19"/>
      <c r="G715" s="19"/>
      <c r="H715" s="19"/>
      <c r="I715" s="28"/>
      <c r="J715" s="28"/>
      <c r="K715" s="28"/>
      <c r="L715" s="19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9"/>
      <c r="D716" s="19"/>
      <c r="E716" s="19"/>
      <c r="F716" s="19"/>
      <c r="G716" s="19"/>
      <c r="H716" s="19"/>
      <c r="I716" s="28"/>
      <c r="J716" s="28"/>
      <c r="K716" s="28"/>
      <c r="L716" s="19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9"/>
      <c r="D717" s="19"/>
      <c r="E717" s="19"/>
      <c r="F717" s="19"/>
      <c r="G717" s="19"/>
      <c r="H717" s="19"/>
      <c r="I717" s="28"/>
      <c r="J717" s="28"/>
      <c r="K717" s="28"/>
      <c r="L717" s="19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9"/>
      <c r="D718" s="19"/>
      <c r="E718" s="19"/>
      <c r="F718" s="19"/>
      <c r="G718" s="19"/>
      <c r="H718" s="19"/>
      <c r="I718" s="28"/>
      <c r="J718" s="28"/>
      <c r="K718" s="28"/>
      <c r="L718" s="19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9"/>
      <c r="D719" s="19"/>
      <c r="E719" s="19"/>
      <c r="F719" s="19"/>
      <c r="G719" s="19"/>
      <c r="H719" s="19"/>
      <c r="I719" s="28"/>
      <c r="J719" s="28"/>
      <c r="K719" s="28"/>
      <c r="L719" s="19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9"/>
      <c r="D720" s="19"/>
      <c r="E720" s="19"/>
      <c r="F720" s="19"/>
      <c r="G720" s="19"/>
      <c r="H720" s="19"/>
      <c r="I720" s="28"/>
      <c r="J720" s="28"/>
      <c r="K720" s="28"/>
      <c r="L720" s="19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9"/>
      <c r="D721" s="19"/>
      <c r="E721" s="19"/>
      <c r="F721" s="19"/>
      <c r="G721" s="19"/>
      <c r="H721" s="19"/>
      <c r="I721" s="28"/>
      <c r="J721" s="28"/>
      <c r="K721" s="28"/>
      <c r="L721" s="19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9"/>
      <c r="D722" s="19"/>
      <c r="E722" s="19"/>
      <c r="F722" s="19"/>
      <c r="G722" s="19"/>
      <c r="H722" s="19"/>
      <c r="I722" s="28"/>
      <c r="J722" s="28"/>
      <c r="K722" s="28"/>
      <c r="L722" s="19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9"/>
      <c r="D723" s="19"/>
      <c r="E723" s="19"/>
      <c r="F723" s="19"/>
      <c r="G723" s="19"/>
      <c r="H723" s="19"/>
      <c r="I723" s="28"/>
      <c r="J723" s="28"/>
      <c r="K723" s="28"/>
      <c r="L723" s="19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9"/>
      <c r="D724" s="19"/>
      <c r="E724" s="19"/>
      <c r="F724" s="19"/>
      <c r="G724" s="19"/>
      <c r="H724" s="19"/>
      <c r="I724" s="28"/>
      <c r="J724" s="28"/>
      <c r="K724" s="28"/>
      <c r="L724" s="19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9"/>
      <c r="D725" s="19"/>
      <c r="E725" s="19"/>
      <c r="F725" s="19"/>
      <c r="G725" s="19"/>
      <c r="H725" s="19"/>
      <c r="I725" s="28"/>
      <c r="J725" s="28"/>
      <c r="K725" s="28"/>
      <c r="L725" s="19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9"/>
      <c r="D726" s="19"/>
      <c r="E726" s="19"/>
      <c r="F726" s="19"/>
      <c r="G726" s="19"/>
      <c r="H726" s="19"/>
      <c r="I726" s="28"/>
      <c r="J726" s="28"/>
      <c r="K726" s="28"/>
      <c r="L726" s="19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9"/>
      <c r="D727" s="19"/>
      <c r="E727" s="19"/>
      <c r="F727" s="19"/>
      <c r="G727" s="19"/>
      <c r="H727" s="19"/>
      <c r="I727" s="28"/>
      <c r="J727" s="28"/>
      <c r="K727" s="28"/>
      <c r="L727" s="19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9"/>
      <c r="D728" s="19"/>
      <c r="E728" s="19"/>
      <c r="F728" s="19"/>
      <c r="G728" s="19"/>
      <c r="H728" s="19"/>
      <c r="I728" s="28"/>
      <c r="J728" s="28"/>
      <c r="K728" s="28"/>
      <c r="L728" s="19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9"/>
      <c r="D729" s="19"/>
      <c r="E729" s="19"/>
      <c r="F729" s="19"/>
      <c r="G729" s="19"/>
      <c r="H729" s="19"/>
      <c r="I729" s="28"/>
      <c r="J729" s="28"/>
      <c r="K729" s="28"/>
      <c r="L729" s="19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9"/>
      <c r="D730" s="19"/>
      <c r="E730" s="19"/>
      <c r="F730" s="19"/>
      <c r="G730" s="19"/>
      <c r="H730" s="19"/>
      <c r="I730" s="28"/>
      <c r="J730" s="28"/>
      <c r="K730" s="28"/>
      <c r="L730" s="19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9"/>
      <c r="D731" s="19"/>
      <c r="E731" s="19"/>
      <c r="F731" s="19"/>
      <c r="G731" s="19"/>
      <c r="H731" s="19"/>
      <c r="I731" s="28"/>
      <c r="J731" s="28"/>
      <c r="K731" s="28"/>
      <c r="L731" s="19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9"/>
      <c r="D732" s="19"/>
      <c r="E732" s="19"/>
      <c r="F732" s="19"/>
      <c r="G732" s="19"/>
      <c r="H732" s="19"/>
      <c r="I732" s="28"/>
      <c r="J732" s="28"/>
      <c r="K732" s="28"/>
      <c r="L732" s="19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9"/>
      <c r="D733" s="19"/>
      <c r="E733" s="19"/>
      <c r="F733" s="19"/>
      <c r="G733" s="19"/>
      <c r="H733" s="19"/>
      <c r="I733" s="28"/>
      <c r="J733" s="28"/>
      <c r="K733" s="28"/>
      <c r="L733" s="19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9"/>
      <c r="D734" s="19"/>
      <c r="E734" s="19"/>
      <c r="F734" s="19"/>
      <c r="G734" s="19"/>
      <c r="H734" s="19"/>
      <c r="I734" s="28"/>
      <c r="J734" s="28"/>
      <c r="K734" s="28"/>
      <c r="L734" s="19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9"/>
      <c r="D735" s="19"/>
      <c r="E735" s="19"/>
      <c r="F735" s="19"/>
      <c r="G735" s="19"/>
      <c r="H735" s="19"/>
      <c r="I735" s="28"/>
      <c r="J735" s="28"/>
      <c r="K735" s="28"/>
      <c r="L735" s="19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9"/>
      <c r="D736" s="19"/>
      <c r="E736" s="19"/>
      <c r="F736" s="19"/>
      <c r="G736" s="19"/>
      <c r="H736" s="19"/>
      <c r="I736" s="28"/>
      <c r="J736" s="28"/>
      <c r="K736" s="28"/>
      <c r="L736" s="19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9"/>
      <c r="D737" s="19"/>
      <c r="E737" s="19"/>
      <c r="F737" s="19"/>
      <c r="G737" s="19"/>
      <c r="H737" s="19"/>
      <c r="I737" s="28"/>
      <c r="J737" s="28"/>
      <c r="K737" s="28"/>
      <c r="L737" s="19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9"/>
      <c r="D738" s="19"/>
      <c r="E738" s="19"/>
      <c r="F738" s="19"/>
      <c r="G738" s="19"/>
      <c r="H738" s="19"/>
      <c r="I738" s="28"/>
      <c r="J738" s="28"/>
      <c r="K738" s="28"/>
      <c r="L738" s="19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9"/>
      <c r="D739" s="19"/>
      <c r="E739" s="19"/>
      <c r="F739" s="19"/>
      <c r="G739" s="19"/>
      <c r="H739" s="19"/>
      <c r="I739" s="28"/>
      <c r="J739" s="28"/>
      <c r="K739" s="28"/>
      <c r="L739" s="19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9"/>
      <c r="D740" s="19"/>
      <c r="E740" s="19"/>
      <c r="F740" s="19"/>
      <c r="G740" s="19"/>
      <c r="H740" s="19"/>
      <c r="I740" s="28"/>
      <c r="J740" s="28"/>
      <c r="K740" s="28"/>
      <c r="L740" s="19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9"/>
      <c r="D741" s="19"/>
      <c r="E741" s="19"/>
      <c r="F741" s="19"/>
      <c r="G741" s="19"/>
      <c r="H741" s="19"/>
      <c r="I741" s="28"/>
      <c r="J741" s="28"/>
      <c r="K741" s="28"/>
      <c r="L741" s="19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9"/>
      <c r="D742" s="19"/>
      <c r="E742" s="19"/>
      <c r="F742" s="19"/>
      <c r="G742" s="19"/>
      <c r="H742" s="19"/>
      <c r="I742" s="28"/>
      <c r="J742" s="28"/>
      <c r="K742" s="28"/>
      <c r="L742" s="19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9"/>
      <c r="D743" s="19"/>
      <c r="E743" s="19"/>
      <c r="F743" s="19"/>
      <c r="G743" s="19"/>
      <c r="H743" s="19"/>
      <c r="I743" s="28"/>
      <c r="J743" s="28"/>
      <c r="K743" s="28"/>
      <c r="L743" s="19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9"/>
      <c r="D744" s="19"/>
      <c r="E744" s="19"/>
      <c r="F744" s="19"/>
      <c r="G744" s="19"/>
      <c r="H744" s="19"/>
      <c r="I744" s="28"/>
      <c r="J744" s="28"/>
      <c r="K744" s="28"/>
      <c r="L744" s="19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9"/>
      <c r="D745" s="19"/>
      <c r="E745" s="19"/>
      <c r="F745" s="19"/>
      <c r="G745" s="19"/>
      <c r="H745" s="19"/>
      <c r="I745" s="28"/>
      <c r="J745" s="28"/>
      <c r="K745" s="28"/>
      <c r="L745" s="19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9"/>
      <c r="D746" s="19"/>
      <c r="E746" s="19"/>
      <c r="F746" s="19"/>
      <c r="G746" s="19"/>
      <c r="H746" s="19"/>
      <c r="I746" s="28"/>
      <c r="J746" s="28"/>
      <c r="K746" s="28"/>
      <c r="L746" s="19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9"/>
      <c r="D747" s="19"/>
      <c r="E747" s="19"/>
      <c r="F747" s="19"/>
      <c r="G747" s="19"/>
      <c r="H747" s="19"/>
      <c r="I747" s="28"/>
      <c r="J747" s="28"/>
      <c r="K747" s="28"/>
      <c r="L747" s="19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9"/>
      <c r="D748" s="19"/>
      <c r="E748" s="19"/>
      <c r="F748" s="19"/>
      <c r="G748" s="19"/>
      <c r="H748" s="19"/>
      <c r="I748" s="28"/>
      <c r="J748" s="28"/>
      <c r="K748" s="28"/>
      <c r="L748" s="19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9"/>
      <c r="D749" s="19"/>
      <c r="E749" s="19"/>
      <c r="F749" s="19"/>
      <c r="G749" s="19"/>
      <c r="H749" s="19"/>
      <c r="I749" s="28"/>
      <c r="J749" s="28"/>
      <c r="K749" s="28"/>
      <c r="L749" s="19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9"/>
      <c r="D750" s="19"/>
      <c r="E750" s="19"/>
      <c r="F750" s="19"/>
      <c r="G750" s="19"/>
      <c r="H750" s="19"/>
      <c r="I750" s="28"/>
      <c r="J750" s="28"/>
      <c r="K750" s="28"/>
      <c r="L750" s="19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9"/>
      <c r="D751" s="19"/>
      <c r="E751" s="19"/>
      <c r="F751" s="19"/>
      <c r="G751" s="19"/>
      <c r="H751" s="19"/>
      <c r="I751" s="28"/>
      <c r="J751" s="28"/>
      <c r="K751" s="28"/>
      <c r="L751" s="19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9"/>
      <c r="D752" s="19"/>
      <c r="E752" s="19"/>
      <c r="F752" s="19"/>
      <c r="G752" s="19"/>
      <c r="H752" s="19"/>
      <c r="I752" s="28"/>
      <c r="J752" s="28"/>
      <c r="K752" s="28"/>
      <c r="L752" s="19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9"/>
      <c r="D753" s="19"/>
      <c r="E753" s="19"/>
      <c r="F753" s="19"/>
      <c r="G753" s="19"/>
      <c r="H753" s="19"/>
      <c r="I753" s="28"/>
      <c r="J753" s="28"/>
      <c r="K753" s="28"/>
      <c r="L753" s="19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9"/>
      <c r="D754" s="19"/>
      <c r="E754" s="19"/>
      <c r="F754" s="19"/>
      <c r="G754" s="19"/>
      <c r="H754" s="19"/>
      <c r="I754" s="28"/>
      <c r="J754" s="28"/>
      <c r="K754" s="28"/>
      <c r="L754" s="19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9"/>
      <c r="D755" s="19"/>
      <c r="E755" s="19"/>
      <c r="F755" s="19"/>
      <c r="G755" s="19"/>
      <c r="H755" s="19"/>
      <c r="I755" s="28"/>
      <c r="J755" s="28"/>
      <c r="K755" s="28"/>
      <c r="L755" s="19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9"/>
      <c r="D756" s="19"/>
      <c r="E756" s="19"/>
      <c r="F756" s="19"/>
      <c r="G756" s="19"/>
      <c r="H756" s="19"/>
      <c r="I756" s="28"/>
      <c r="J756" s="28"/>
      <c r="K756" s="28"/>
      <c r="L756" s="19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9"/>
      <c r="D757" s="19"/>
      <c r="E757" s="19"/>
      <c r="F757" s="19"/>
      <c r="G757" s="19"/>
      <c r="H757" s="19"/>
      <c r="I757" s="28"/>
      <c r="J757" s="28"/>
      <c r="K757" s="28"/>
      <c r="L757" s="19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9"/>
      <c r="D758" s="19"/>
      <c r="E758" s="19"/>
      <c r="F758" s="19"/>
      <c r="G758" s="19"/>
      <c r="H758" s="19"/>
      <c r="I758" s="28"/>
      <c r="J758" s="28"/>
      <c r="K758" s="28"/>
      <c r="L758" s="19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9"/>
      <c r="D759" s="19"/>
      <c r="E759" s="19"/>
      <c r="F759" s="19"/>
      <c r="G759" s="19"/>
      <c r="H759" s="19"/>
      <c r="I759" s="28"/>
      <c r="J759" s="28"/>
      <c r="K759" s="28"/>
      <c r="L759" s="19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9"/>
      <c r="D760" s="19"/>
      <c r="E760" s="19"/>
      <c r="F760" s="19"/>
      <c r="G760" s="19"/>
      <c r="H760" s="19"/>
      <c r="I760" s="28"/>
      <c r="J760" s="28"/>
      <c r="K760" s="28"/>
      <c r="L760" s="19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9"/>
      <c r="D761" s="19"/>
      <c r="E761" s="19"/>
      <c r="F761" s="19"/>
      <c r="G761" s="19"/>
      <c r="H761" s="19"/>
      <c r="I761" s="28"/>
      <c r="J761" s="28"/>
      <c r="K761" s="28"/>
      <c r="L761" s="19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9"/>
      <c r="D762" s="19"/>
      <c r="E762" s="19"/>
      <c r="F762" s="19"/>
      <c r="G762" s="19"/>
      <c r="H762" s="19"/>
      <c r="I762" s="28"/>
      <c r="J762" s="28"/>
      <c r="K762" s="28"/>
      <c r="L762" s="19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9"/>
      <c r="D763" s="19"/>
      <c r="E763" s="19"/>
      <c r="F763" s="19"/>
      <c r="G763" s="19"/>
      <c r="H763" s="19"/>
      <c r="I763" s="28"/>
      <c r="J763" s="28"/>
      <c r="K763" s="28"/>
      <c r="L763" s="19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9"/>
      <c r="D764" s="19"/>
      <c r="E764" s="19"/>
      <c r="F764" s="19"/>
      <c r="G764" s="19"/>
      <c r="H764" s="19"/>
      <c r="I764" s="28"/>
      <c r="J764" s="28"/>
      <c r="K764" s="28"/>
      <c r="L764" s="19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9"/>
      <c r="D765" s="19"/>
      <c r="E765" s="19"/>
      <c r="F765" s="19"/>
      <c r="G765" s="19"/>
      <c r="H765" s="19"/>
      <c r="I765" s="28"/>
      <c r="J765" s="28"/>
      <c r="K765" s="28"/>
      <c r="L765" s="19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9"/>
      <c r="D766" s="19"/>
      <c r="E766" s="19"/>
      <c r="F766" s="19"/>
      <c r="G766" s="19"/>
      <c r="H766" s="19"/>
      <c r="I766" s="28"/>
      <c r="J766" s="28"/>
      <c r="K766" s="28"/>
      <c r="L766" s="19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9"/>
      <c r="D767" s="19"/>
      <c r="E767" s="19"/>
      <c r="F767" s="19"/>
      <c r="G767" s="19"/>
      <c r="H767" s="19"/>
      <c r="I767" s="28"/>
      <c r="J767" s="28"/>
      <c r="K767" s="28"/>
      <c r="L767" s="19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9"/>
      <c r="D768" s="19"/>
      <c r="E768" s="19"/>
      <c r="F768" s="19"/>
      <c r="G768" s="19"/>
      <c r="H768" s="19"/>
      <c r="I768" s="28"/>
      <c r="J768" s="28"/>
      <c r="K768" s="28"/>
      <c r="L768" s="19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9"/>
      <c r="D769" s="19"/>
      <c r="E769" s="19"/>
      <c r="F769" s="19"/>
      <c r="G769" s="19"/>
      <c r="H769" s="19"/>
      <c r="I769" s="28"/>
      <c r="J769" s="28"/>
      <c r="K769" s="28"/>
      <c r="L769" s="19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9"/>
      <c r="D770" s="19"/>
      <c r="E770" s="19"/>
      <c r="F770" s="19"/>
      <c r="G770" s="19"/>
      <c r="H770" s="19"/>
      <c r="I770" s="28"/>
      <c r="J770" s="28"/>
      <c r="K770" s="28"/>
      <c r="L770" s="19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9"/>
      <c r="D771" s="19"/>
      <c r="E771" s="19"/>
      <c r="F771" s="19"/>
      <c r="G771" s="19"/>
      <c r="H771" s="19"/>
      <c r="I771" s="28"/>
      <c r="J771" s="28"/>
      <c r="K771" s="28"/>
      <c r="L771" s="19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9"/>
      <c r="D772" s="19"/>
      <c r="E772" s="19"/>
      <c r="F772" s="19"/>
      <c r="G772" s="19"/>
      <c r="H772" s="19"/>
      <c r="I772" s="28"/>
      <c r="J772" s="28"/>
      <c r="K772" s="28"/>
      <c r="L772" s="19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9"/>
      <c r="D773" s="19"/>
      <c r="E773" s="19"/>
      <c r="F773" s="19"/>
      <c r="G773" s="19"/>
      <c r="H773" s="19"/>
      <c r="I773" s="28"/>
      <c r="J773" s="28"/>
      <c r="K773" s="28"/>
      <c r="L773" s="19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9"/>
      <c r="D774" s="19"/>
      <c r="E774" s="19"/>
      <c r="F774" s="19"/>
      <c r="G774" s="19"/>
      <c r="H774" s="19"/>
      <c r="I774" s="28"/>
      <c r="J774" s="28"/>
      <c r="K774" s="28"/>
      <c r="L774" s="19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9"/>
      <c r="D775" s="19"/>
      <c r="E775" s="19"/>
      <c r="F775" s="19"/>
      <c r="G775" s="19"/>
      <c r="H775" s="19"/>
      <c r="I775" s="28"/>
      <c r="J775" s="28"/>
      <c r="K775" s="28"/>
      <c r="L775" s="19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9"/>
      <c r="D776" s="19"/>
      <c r="E776" s="19"/>
      <c r="F776" s="19"/>
      <c r="G776" s="19"/>
      <c r="H776" s="19"/>
      <c r="I776" s="28"/>
      <c r="J776" s="28"/>
      <c r="K776" s="28"/>
      <c r="L776" s="19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9"/>
      <c r="D777" s="19"/>
      <c r="E777" s="19"/>
      <c r="F777" s="19"/>
      <c r="G777" s="19"/>
      <c r="H777" s="19"/>
      <c r="I777" s="28"/>
      <c r="J777" s="28"/>
      <c r="K777" s="28"/>
      <c r="L777" s="19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9"/>
      <c r="D778" s="19"/>
      <c r="E778" s="19"/>
      <c r="F778" s="19"/>
      <c r="G778" s="19"/>
      <c r="H778" s="19"/>
      <c r="I778" s="28"/>
      <c r="J778" s="28"/>
      <c r="K778" s="28"/>
      <c r="L778" s="19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9"/>
      <c r="D779" s="19"/>
      <c r="E779" s="19"/>
      <c r="F779" s="19"/>
      <c r="G779" s="19"/>
      <c r="H779" s="19"/>
      <c r="I779" s="28"/>
      <c r="J779" s="28"/>
      <c r="K779" s="28"/>
      <c r="L779" s="19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9"/>
      <c r="D780" s="19"/>
      <c r="E780" s="19"/>
      <c r="F780" s="19"/>
      <c r="G780" s="19"/>
      <c r="H780" s="19"/>
      <c r="I780" s="28"/>
      <c r="J780" s="28"/>
      <c r="K780" s="28"/>
      <c r="L780" s="19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9"/>
      <c r="D781" s="19"/>
      <c r="E781" s="19"/>
      <c r="F781" s="19"/>
      <c r="G781" s="19"/>
      <c r="H781" s="19"/>
      <c r="I781" s="28"/>
      <c r="J781" s="28"/>
      <c r="K781" s="28"/>
      <c r="L781" s="19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9"/>
      <c r="D782" s="19"/>
      <c r="E782" s="19"/>
      <c r="F782" s="19"/>
      <c r="G782" s="19"/>
      <c r="H782" s="19"/>
      <c r="I782" s="28"/>
      <c r="J782" s="28"/>
      <c r="K782" s="28"/>
      <c r="L782" s="19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9"/>
      <c r="D783" s="19"/>
      <c r="E783" s="19"/>
      <c r="F783" s="19"/>
      <c r="G783" s="19"/>
      <c r="H783" s="19"/>
      <c r="I783" s="28"/>
      <c r="J783" s="28"/>
      <c r="K783" s="28"/>
      <c r="L783" s="19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9"/>
      <c r="D784" s="19"/>
      <c r="E784" s="19"/>
      <c r="F784" s="19"/>
      <c r="G784" s="19"/>
      <c r="H784" s="19"/>
      <c r="I784" s="28"/>
      <c r="J784" s="28"/>
      <c r="K784" s="28"/>
      <c r="L784" s="19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9"/>
      <c r="D785" s="19"/>
      <c r="E785" s="19"/>
      <c r="F785" s="19"/>
      <c r="G785" s="19"/>
      <c r="H785" s="19"/>
      <c r="I785" s="28"/>
      <c r="J785" s="28"/>
      <c r="K785" s="28"/>
      <c r="L785" s="19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9"/>
      <c r="D786" s="19"/>
      <c r="E786" s="19"/>
      <c r="F786" s="19"/>
      <c r="G786" s="19"/>
      <c r="H786" s="19"/>
      <c r="I786" s="28"/>
      <c r="J786" s="28"/>
      <c r="K786" s="28"/>
      <c r="L786" s="19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9"/>
      <c r="D787" s="19"/>
      <c r="E787" s="19"/>
      <c r="F787" s="19"/>
      <c r="G787" s="19"/>
      <c r="H787" s="19"/>
      <c r="I787" s="28"/>
      <c r="J787" s="28"/>
      <c r="K787" s="28"/>
      <c r="L787" s="19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9"/>
      <c r="D788" s="19"/>
      <c r="E788" s="19"/>
      <c r="F788" s="19"/>
      <c r="G788" s="19"/>
      <c r="H788" s="19"/>
      <c r="I788" s="28"/>
      <c r="J788" s="28"/>
      <c r="K788" s="28"/>
      <c r="L788" s="19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9"/>
      <c r="D789" s="19"/>
      <c r="E789" s="19"/>
      <c r="F789" s="19"/>
      <c r="G789" s="19"/>
      <c r="H789" s="19"/>
      <c r="I789" s="28"/>
      <c r="J789" s="28"/>
      <c r="K789" s="28"/>
      <c r="L789" s="19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9"/>
      <c r="D790" s="19"/>
      <c r="E790" s="19"/>
      <c r="F790" s="19"/>
      <c r="G790" s="19"/>
      <c r="H790" s="19"/>
      <c r="I790" s="28"/>
      <c r="J790" s="28"/>
      <c r="K790" s="28"/>
      <c r="L790" s="19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9"/>
      <c r="D791" s="19"/>
      <c r="E791" s="19"/>
      <c r="F791" s="19"/>
      <c r="G791" s="19"/>
      <c r="H791" s="19"/>
      <c r="I791" s="28"/>
      <c r="J791" s="28"/>
      <c r="K791" s="28"/>
      <c r="L791" s="19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9"/>
      <c r="D792" s="19"/>
      <c r="E792" s="19"/>
      <c r="F792" s="19"/>
      <c r="G792" s="19"/>
      <c r="H792" s="19"/>
      <c r="I792" s="28"/>
      <c r="J792" s="28"/>
      <c r="K792" s="28"/>
      <c r="L792" s="19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9"/>
      <c r="D793" s="19"/>
      <c r="E793" s="19"/>
      <c r="F793" s="19"/>
      <c r="G793" s="19"/>
      <c r="H793" s="19"/>
      <c r="I793" s="28"/>
      <c r="J793" s="28"/>
      <c r="K793" s="28"/>
      <c r="L793" s="19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9"/>
      <c r="D794" s="19"/>
      <c r="E794" s="19"/>
      <c r="F794" s="19"/>
      <c r="G794" s="19"/>
      <c r="H794" s="19"/>
      <c r="I794" s="28"/>
      <c r="J794" s="28"/>
      <c r="K794" s="28"/>
      <c r="L794" s="19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9"/>
      <c r="D795" s="19"/>
      <c r="E795" s="19"/>
      <c r="F795" s="19"/>
      <c r="G795" s="19"/>
      <c r="H795" s="19"/>
      <c r="I795" s="28"/>
      <c r="J795" s="28"/>
      <c r="K795" s="28"/>
      <c r="L795" s="19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9"/>
      <c r="D796" s="19"/>
      <c r="E796" s="19"/>
      <c r="F796" s="19"/>
      <c r="G796" s="19"/>
      <c r="H796" s="19"/>
      <c r="I796" s="28"/>
      <c r="J796" s="28"/>
      <c r="K796" s="28"/>
      <c r="L796" s="19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9"/>
      <c r="D797" s="19"/>
      <c r="E797" s="19"/>
      <c r="F797" s="19"/>
      <c r="G797" s="19"/>
      <c r="H797" s="19"/>
      <c r="I797" s="28"/>
      <c r="J797" s="28"/>
      <c r="K797" s="28"/>
      <c r="L797" s="19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9"/>
      <c r="D798" s="19"/>
      <c r="E798" s="19"/>
      <c r="F798" s="19"/>
      <c r="G798" s="19"/>
      <c r="H798" s="19"/>
      <c r="I798" s="28"/>
      <c r="J798" s="28"/>
      <c r="K798" s="28"/>
      <c r="L798" s="19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9"/>
      <c r="D799" s="19"/>
      <c r="E799" s="19"/>
      <c r="F799" s="19"/>
      <c r="G799" s="19"/>
      <c r="H799" s="19"/>
      <c r="I799" s="28"/>
      <c r="J799" s="28"/>
      <c r="K799" s="28"/>
      <c r="L799" s="19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9"/>
      <c r="D800" s="19"/>
      <c r="E800" s="19"/>
      <c r="F800" s="19"/>
      <c r="G800" s="19"/>
      <c r="H800" s="19"/>
      <c r="I800" s="28"/>
      <c r="J800" s="28"/>
      <c r="K800" s="28"/>
      <c r="L800" s="19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9"/>
      <c r="D801" s="19"/>
      <c r="E801" s="19"/>
      <c r="F801" s="19"/>
      <c r="G801" s="19"/>
      <c r="H801" s="19"/>
      <c r="I801" s="28"/>
      <c r="J801" s="28"/>
      <c r="K801" s="28"/>
      <c r="L801" s="19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9"/>
      <c r="D802" s="19"/>
      <c r="E802" s="19"/>
      <c r="F802" s="19"/>
      <c r="G802" s="19"/>
      <c r="H802" s="19"/>
      <c r="I802" s="28"/>
      <c r="J802" s="28"/>
      <c r="K802" s="28"/>
      <c r="L802" s="19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9"/>
      <c r="D803" s="19"/>
      <c r="E803" s="19"/>
      <c r="F803" s="19"/>
      <c r="G803" s="19"/>
      <c r="H803" s="19"/>
      <c r="I803" s="28"/>
      <c r="J803" s="28"/>
      <c r="K803" s="28"/>
      <c r="L803" s="19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9"/>
      <c r="D804" s="19"/>
      <c r="E804" s="19"/>
      <c r="F804" s="19"/>
      <c r="G804" s="19"/>
      <c r="H804" s="19"/>
      <c r="I804" s="28"/>
      <c r="J804" s="28"/>
      <c r="K804" s="28"/>
      <c r="L804" s="19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9"/>
      <c r="D805" s="19"/>
      <c r="E805" s="19"/>
      <c r="F805" s="19"/>
      <c r="G805" s="19"/>
      <c r="H805" s="19"/>
      <c r="I805" s="28"/>
      <c r="J805" s="28"/>
      <c r="K805" s="28"/>
      <c r="L805" s="19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9"/>
      <c r="D806" s="19"/>
      <c r="E806" s="19"/>
      <c r="F806" s="19"/>
      <c r="G806" s="19"/>
      <c r="H806" s="19"/>
      <c r="I806" s="28"/>
      <c r="J806" s="28"/>
      <c r="K806" s="28"/>
      <c r="L806" s="19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9"/>
      <c r="D807" s="19"/>
      <c r="E807" s="19"/>
      <c r="F807" s="19"/>
      <c r="G807" s="19"/>
      <c r="H807" s="19"/>
      <c r="I807" s="28"/>
      <c r="J807" s="28"/>
      <c r="K807" s="28"/>
      <c r="L807" s="19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9"/>
      <c r="D808" s="19"/>
      <c r="E808" s="19"/>
      <c r="F808" s="19"/>
      <c r="G808" s="19"/>
      <c r="H808" s="19"/>
      <c r="I808" s="28"/>
      <c r="J808" s="28"/>
      <c r="K808" s="28"/>
      <c r="L808" s="19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9"/>
      <c r="D809" s="19"/>
      <c r="E809" s="19"/>
      <c r="F809" s="19"/>
      <c r="G809" s="19"/>
      <c r="H809" s="19"/>
      <c r="I809" s="28"/>
      <c r="J809" s="28"/>
      <c r="K809" s="28"/>
      <c r="L809" s="19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9"/>
      <c r="D810" s="19"/>
      <c r="E810" s="19"/>
      <c r="F810" s="19"/>
      <c r="G810" s="19"/>
      <c r="H810" s="19"/>
      <c r="I810" s="28"/>
      <c r="J810" s="28"/>
      <c r="K810" s="28"/>
      <c r="L810" s="19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9"/>
      <c r="D811" s="19"/>
      <c r="E811" s="19"/>
      <c r="F811" s="19"/>
      <c r="G811" s="19"/>
      <c r="H811" s="19"/>
      <c r="I811" s="28"/>
      <c r="J811" s="28"/>
      <c r="K811" s="28"/>
      <c r="L811" s="19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9"/>
      <c r="D812" s="19"/>
      <c r="E812" s="19"/>
      <c r="F812" s="19"/>
      <c r="G812" s="19"/>
      <c r="H812" s="19"/>
      <c r="I812" s="28"/>
      <c r="J812" s="28"/>
      <c r="K812" s="28"/>
      <c r="L812" s="19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9"/>
      <c r="D813" s="19"/>
      <c r="E813" s="19"/>
      <c r="F813" s="19"/>
      <c r="G813" s="19"/>
      <c r="H813" s="19"/>
      <c r="I813" s="28"/>
      <c r="J813" s="28"/>
      <c r="K813" s="28"/>
      <c r="L813" s="19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9"/>
      <c r="D814" s="19"/>
      <c r="E814" s="19"/>
      <c r="F814" s="19"/>
      <c r="G814" s="19"/>
      <c r="H814" s="19"/>
      <c r="I814" s="28"/>
      <c r="J814" s="28"/>
      <c r="K814" s="28"/>
      <c r="L814" s="19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9"/>
      <c r="D815" s="19"/>
      <c r="E815" s="19"/>
      <c r="F815" s="19"/>
      <c r="G815" s="19"/>
      <c r="H815" s="19"/>
      <c r="I815" s="28"/>
      <c r="J815" s="28"/>
      <c r="K815" s="28"/>
      <c r="L815" s="19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9"/>
      <c r="D816" s="19"/>
      <c r="E816" s="19"/>
      <c r="F816" s="19"/>
      <c r="G816" s="19"/>
      <c r="H816" s="19"/>
      <c r="I816" s="28"/>
      <c r="J816" s="28"/>
      <c r="K816" s="28"/>
      <c r="L816" s="19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9"/>
      <c r="D817" s="19"/>
      <c r="E817" s="19"/>
      <c r="F817" s="19"/>
      <c r="G817" s="19"/>
      <c r="H817" s="19"/>
      <c r="I817" s="28"/>
      <c r="J817" s="28"/>
      <c r="K817" s="28"/>
      <c r="L817" s="19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9"/>
      <c r="D818" s="19"/>
      <c r="E818" s="19"/>
      <c r="F818" s="19"/>
      <c r="G818" s="19"/>
      <c r="H818" s="19"/>
      <c r="I818" s="28"/>
      <c r="J818" s="28"/>
      <c r="K818" s="28"/>
      <c r="L818" s="19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9"/>
      <c r="D819" s="19"/>
      <c r="E819" s="19"/>
      <c r="F819" s="19"/>
      <c r="G819" s="19"/>
      <c r="H819" s="19"/>
      <c r="I819" s="28"/>
      <c r="J819" s="28"/>
      <c r="K819" s="28"/>
      <c r="L819" s="19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9"/>
      <c r="D820" s="19"/>
      <c r="E820" s="19"/>
      <c r="F820" s="19"/>
      <c r="G820" s="19"/>
      <c r="H820" s="19"/>
      <c r="I820" s="28"/>
      <c r="J820" s="28"/>
      <c r="K820" s="28"/>
      <c r="L820" s="19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9"/>
      <c r="D821" s="19"/>
      <c r="E821" s="19"/>
      <c r="F821" s="19"/>
      <c r="G821" s="19"/>
      <c r="H821" s="19"/>
      <c r="I821" s="28"/>
      <c r="J821" s="28"/>
      <c r="K821" s="28"/>
      <c r="L821" s="19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9"/>
      <c r="D822" s="19"/>
      <c r="E822" s="19"/>
      <c r="F822" s="19"/>
      <c r="G822" s="19"/>
      <c r="H822" s="19"/>
      <c r="I822" s="28"/>
      <c r="J822" s="28"/>
      <c r="K822" s="28"/>
      <c r="L822" s="19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9"/>
      <c r="D823" s="19"/>
      <c r="E823" s="19"/>
      <c r="F823" s="19"/>
      <c r="G823" s="19"/>
      <c r="H823" s="19"/>
      <c r="I823" s="28"/>
      <c r="J823" s="28"/>
      <c r="K823" s="28"/>
      <c r="L823" s="19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9"/>
      <c r="D824" s="19"/>
      <c r="E824" s="19"/>
      <c r="F824" s="19"/>
      <c r="G824" s="19"/>
      <c r="H824" s="19"/>
      <c r="I824" s="28"/>
      <c r="J824" s="28"/>
      <c r="K824" s="28"/>
      <c r="L824" s="19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9"/>
      <c r="D825" s="19"/>
      <c r="E825" s="19"/>
      <c r="F825" s="19"/>
      <c r="G825" s="19"/>
      <c r="H825" s="19"/>
      <c r="I825" s="28"/>
      <c r="J825" s="28"/>
      <c r="K825" s="28"/>
      <c r="L825" s="19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9"/>
      <c r="D826" s="19"/>
      <c r="E826" s="19"/>
      <c r="F826" s="19"/>
      <c r="G826" s="19"/>
      <c r="H826" s="19"/>
      <c r="I826" s="28"/>
      <c r="J826" s="28"/>
      <c r="K826" s="28"/>
      <c r="L826" s="19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9"/>
      <c r="D827" s="19"/>
      <c r="E827" s="19"/>
      <c r="F827" s="19"/>
      <c r="G827" s="19"/>
      <c r="H827" s="19"/>
      <c r="I827" s="28"/>
      <c r="J827" s="28"/>
      <c r="K827" s="28"/>
      <c r="L827" s="19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9"/>
      <c r="D828" s="19"/>
      <c r="E828" s="19"/>
      <c r="F828" s="19"/>
      <c r="G828" s="19"/>
      <c r="H828" s="19"/>
      <c r="I828" s="28"/>
      <c r="J828" s="28"/>
      <c r="K828" s="28"/>
      <c r="L828" s="19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9"/>
      <c r="D829" s="19"/>
      <c r="E829" s="19"/>
      <c r="F829" s="19"/>
      <c r="G829" s="19"/>
      <c r="H829" s="19"/>
      <c r="I829" s="28"/>
      <c r="J829" s="28"/>
      <c r="K829" s="28"/>
      <c r="L829" s="19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9"/>
      <c r="D830" s="19"/>
      <c r="E830" s="19"/>
      <c r="F830" s="19"/>
      <c r="G830" s="19"/>
      <c r="H830" s="19"/>
      <c r="I830" s="28"/>
      <c r="J830" s="28"/>
      <c r="K830" s="28"/>
      <c r="L830" s="19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9"/>
      <c r="D831" s="19"/>
      <c r="E831" s="19"/>
      <c r="F831" s="19"/>
      <c r="G831" s="19"/>
      <c r="H831" s="19"/>
      <c r="I831" s="28"/>
      <c r="J831" s="28"/>
      <c r="K831" s="28"/>
      <c r="L831" s="19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9"/>
      <c r="D832" s="19"/>
      <c r="E832" s="19"/>
      <c r="F832" s="19"/>
      <c r="G832" s="19"/>
      <c r="H832" s="19"/>
      <c r="I832" s="28"/>
      <c r="J832" s="28"/>
      <c r="K832" s="28"/>
      <c r="L832" s="19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9"/>
      <c r="D833" s="19"/>
      <c r="E833" s="19"/>
      <c r="F833" s="19"/>
      <c r="G833" s="19"/>
      <c r="H833" s="19"/>
      <c r="I833" s="28"/>
      <c r="J833" s="28"/>
      <c r="K833" s="28"/>
      <c r="L833" s="19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9"/>
      <c r="D834" s="19"/>
      <c r="E834" s="19"/>
      <c r="F834" s="19"/>
      <c r="G834" s="19"/>
      <c r="H834" s="19"/>
      <c r="I834" s="28"/>
      <c r="J834" s="28"/>
      <c r="K834" s="28"/>
      <c r="L834" s="19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9"/>
      <c r="D835" s="19"/>
      <c r="E835" s="19"/>
      <c r="F835" s="19"/>
      <c r="G835" s="19"/>
      <c r="H835" s="19"/>
      <c r="I835" s="28"/>
      <c r="J835" s="28"/>
      <c r="K835" s="28"/>
      <c r="L835" s="19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9"/>
      <c r="D836" s="19"/>
      <c r="E836" s="19"/>
      <c r="F836" s="19"/>
      <c r="G836" s="19"/>
      <c r="H836" s="19"/>
      <c r="I836" s="28"/>
      <c r="J836" s="28"/>
      <c r="K836" s="28"/>
      <c r="L836" s="19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9"/>
      <c r="D837" s="19"/>
      <c r="E837" s="19"/>
      <c r="F837" s="19"/>
      <c r="G837" s="19"/>
      <c r="H837" s="19"/>
      <c r="I837" s="28"/>
      <c r="J837" s="28"/>
      <c r="K837" s="28"/>
      <c r="L837" s="19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9"/>
      <c r="D838" s="19"/>
      <c r="E838" s="19"/>
      <c r="F838" s="19"/>
      <c r="G838" s="19"/>
      <c r="H838" s="19"/>
      <c r="I838" s="28"/>
      <c r="J838" s="28"/>
      <c r="K838" s="28"/>
      <c r="L838" s="19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9"/>
      <c r="D839" s="19"/>
      <c r="E839" s="19"/>
      <c r="F839" s="19"/>
      <c r="G839" s="19"/>
      <c r="H839" s="19"/>
      <c r="I839" s="28"/>
      <c r="J839" s="28"/>
      <c r="K839" s="28"/>
      <c r="L839" s="19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9"/>
      <c r="D840" s="19"/>
      <c r="E840" s="19"/>
      <c r="F840" s="19"/>
      <c r="G840" s="19"/>
      <c r="H840" s="19"/>
      <c r="I840" s="28"/>
      <c r="J840" s="28"/>
      <c r="K840" s="28"/>
      <c r="L840" s="19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9"/>
      <c r="D841" s="19"/>
      <c r="E841" s="19"/>
      <c r="F841" s="19"/>
      <c r="G841" s="19"/>
      <c r="H841" s="19"/>
      <c r="I841" s="28"/>
      <c r="J841" s="28"/>
      <c r="K841" s="28"/>
      <c r="L841" s="19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9"/>
      <c r="D842" s="19"/>
      <c r="E842" s="19"/>
      <c r="F842" s="19"/>
      <c r="G842" s="19"/>
      <c r="H842" s="19"/>
      <c r="I842" s="28"/>
      <c r="J842" s="28"/>
      <c r="K842" s="28"/>
      <c r="L842" s="19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9"/>
      <c r="D843" s="19"/>
      <c r="E843" s="19"/>
      <c r="F843" s="19"/>
      <c r="G843" s="19"/>
      <c r="H843" s="19"/>
      <c r="I843" s="28"/>
      <c r="J843" s="28"/>
      <c r="K843" s="28"/>
      <c r="L843" s="19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9"/>
      <c r="D844" s="19"/>
      <c r="E844" s="19"/>
      <c r="F844" s="19"/>
      <c r="G844" s="19"/>
      <c r="H844" s="19"/>
      <c r="I844" s="28"/>
      <c r="J844" s="28"/>
      <c r="K844" s="28"/>
      <c r="L844" s="19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9"/>
      <c r="D845" s="19"/>
      <c r="E845" s="19"/>
      <c r="F845" s="19"/>
      <c r="G845" s="19"/>
      <c r="H845" s="19"/>
      <c r="I845" s="28"/>
      <c r="J845" s="28"/>
      <c r="K845" s="28"/>
      <c r="L845" s="19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9"/>
      <c r="D846" s="19"/>
      <c r="E846" s="19"/>
      <c r="F846" s="19"/>
      <c r="G846" s="19"/>
      <c r="H846" s="19"/>
      <c r="I846" s="28"/>
      <c r="J846" s="28"/>
      <c r="K846" s="28"/>
      <c r="L846" s="19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9"/>
      <c r="D847" s="19"/>
      <c r="E847" s="19"/>
      <c r="F847" s="19"/>
      <c r="G847" s="19"/>
      <c r="H847" s="19"/>
      <c r="I847" s="28"/>
      <c r="J847" s="28"/>
      <c r="K847" s="28"/>
      <c r="L847" s="19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9"/>
      <c r="D848" s="19"/>
      <c r="E848" s="19"/>
      <c r="F848" s="19"/>
      <c r="G848" s="19"/>
      <c r="H848" s="19"/>
      <c r="I848" s="28"/>
      <c r="J848" s="28"/>
      <c r="K848" s="28"/>
      <c r="L848" s="19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9"/>
      <c r="D849" s="19"/>
      <c r="E849" s="19"/>
      <c r="F849" s="19"/>
      <c r="G849" s="19"/>
      <c r="H849" s="19"/>
      <c r="I849" s="28"/>
      <c r="J849" s="28"/>
      <c r="K849" s="28"/>
      <c r="L849" s="19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9"/>
      <c r="D850" s="19"/>
      <c r="E850" s="19"/>
      <c r="F850" s="19"/>
      <c r="G850" s="19"/>
      <c r="H850" s="19"/>
      <c r="I850" s="28"/>
      <c r="J850" s="28"/>
      <c r="K850" s="28"/>
      <c r="L850" s="19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9"/>
      <c r="D851" s="19"/>
      <c r="E851" s="19"/>
      <c r="F851" s="19"/>
      <c r="G851" s="19"/>
      <c r="H851" s="19"/>
      <c r="I851" s="28"/>
      <c r="J851" s="28"/>
      <c r="K851" s="28"/>
      <c r="L851" s="19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9"/>
      <c r="D852" s="19"/>
      <c r="E852" s="19"/>
      <c r="F852" s="19"/>
      <c r="G852" s="19"/>
      <c r="H852" s="19"/>
      <c r="I852" s="28"/>
      <c r="J852" s="28"/>
      <c r="K852" s="28"/>
      <c r="L852" s="19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9"/>
      <c r="D853" s="19"/>
      <c r="E853" s="19"/>
      <c r="F853" s="19"/>
      <c r="G853" s="19"/>
      <c r="H853" s="19"/>
      <c r="I853" s="28"/>
      <c r="J853" s="28"/>
      <c r="K853" s="28"/>
      <c r="L853" s="19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9"/>
      <c r="D854" s="19"/>
      <c r="E854" s="19"/>
      <c r="F854" s="19"/>
      <c r="G854" s="19"/>
      <c r="H854" s="19"/>
      <c r="I854" s="28"/>
      <c r="J854" s="28"/>
      <c r="K854" s="28"/>
      <c r="L854" s="19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9"/>
      <c r="D855" s="19"/>
      <c r="E855" s="19"/>
      <c r="F855" s="19"/>
      <c r="G855" s="19"/>
      <c r="H855" s="19"/>
      <c r="I855" s="28"/>
      <c r="J855" s="28"/>
      <c r="K855" s="28"/>
      <c r="L855" s="19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9"/>
      <c r="D856" s="19"/>
      <c r="E856" s="19"/>
      <c r="F856" s="19"/>
      <c r="G856" s="19"/>
      <c r="H856" s="19"/>
      <c r="I856" s="28"/>
      <c r="J856" s="28"/>
      <c r="K856" s="28"/>
      <c r="L856" s="19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9"/>
      <c r="D857" s="19"/>
      <c r="E857" s="19"/>
      <c r="F857" s="19"/>
      <c r="G857" s="19"/>
      <c r="H857" s="19"/>
      <c r="I857" s="28"/>
      <c r="J857" s="28"/>
      <c r="K857" s="28"/>
      <c r="L857" s="19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9"/>
      <c r="D858" s="19"/>
      <c r="E858" s="19"/>
      <c r="F858" s="19"/>
      <c r="G858" s="19"/>
      <c r="H858" s="19"/>
      <c r="I858" s="28"/>
      <c r="J858" s="28"/>
      <c r="K858" s="28"/>
      <c r="L858" s="19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9"/>
      <c r="D859" s="19"/>
      <c r="E859" s="19"/>
      <c r="F859" s="19"/>
      <c r="G859" s="19"/>
      <c r="H859" s="19"/>
      <c r="I859" s="28"/>
      <c r="J859" s="28"/>
      <c r="K859" s="28"/>
      <c r="L859" s="19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9"/>
      <c r="D860" s="19"/>
      <c r="E860" s="19"/>
      <c r="F860" s="19"/>
      <c r="G860" s="19"/>
      <c r="H860" s="19"/>
      <c r="I860" s="28"/>
      <c r="J860" s="28"/>
      <c r="K860" s="28"/>
      <c r="L860" s="19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9"/>
      <c r="D861" s="19"/>
      <c r="E861" s="19"/>
      <c r="F861" s="19"/>
      <c r="G861" s="19"/>
      <c r="H861" s="19"/>
      <c r="I861" s="28"/>
      <c r="J861" s="28"/>
      <c r="K861" s="28"/>
      <c r="L861" s="19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9"/>
      <c r="D862" s="19"/>
      <c r="E862" s="19"/>
      <c r="F862" s="19"/>
      <c r="G862" s="19"/>
      <c r="H862" s="19"/>
      <c r="I862" s="28"/>
      <c r="J862" s="28"/>
      <c r="K862" s="28"/>
      <c r="L862" s="19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9"/>
      <c r="D863" s="19"/>
      <c r="E863" s="19"/>
      <c r="F863" s="19"/>
      <c r="G863" s="19"/>
      <c r="H863" s="19"/>
      <c r="I863" s="28"/>
      <c r="J863" s="28"/>
      <c r="K863" s="28"/>
      <c r="L863" s="19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9"/>
      <c r="D864" s="19"/>
      <c r="E864" s="19"/>
      <c r="F864" s="19"/>
      <c r="G864" s="19"/>
      <c r="H864" s="19"/>
      <c r="I864" s="28"/>
      <c r="J864" s="28"/>
      <c r="K864" s="28"/>
      <c r="L864" s="19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9"/>
      <c r="D865" s="19"/>
      <c r="E865" s="19"/>
      <c r="F865" s="19"/>
      <c r="G865" s="19"/>
      <c r="H865" s="19"/>
      <c r="I865" s="28"/>
      <c r="J865" s="28"/>
      <c r="K865" s="28"/>
      <c r="L865" s="19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9"/>
      <c r="D866" s="19"/>
      <c r="E866" s="19"/>
      <c r="F866" s="19"/>
      <c r="G866" s="19"/>
      <c r="H866" s="19"/>
      <c r="I866" s="28"/>
      <c r="J866" s="28"/>
      <c r="K866" s="28"/>
      <c r="L866" s="19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9"/>
      <c r="D867" s="19"/>
      <c r="E867" s="19"/>
      <c r="F867" s="19"/>
      <c r="G867" s="19"/>
      <c r="H867" s="19"/>
      <c r="I867" s="28"/>
      <c r="J867" s="28"/>
      <c r="K867" s="28"/>
      <c r="L867" s="19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9"/>
      <c r="D868" s="19"/>
      <c r="E868" s="19"/>
      <c r="F868" s="19"/>
      <c r="G868" s="19"/>
      <c r="H868" s="19"/>
      <c r="I868" s="28"/>
      <c r="J868" s="28"/>
      <c r="K868" s="28"/>
      <c r="L868" s="19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9"/>
      <c r="D869" s="19"/>
      <c r="E869" s="19"/>
      <c r="F869" s="19"/>
      <c r="G869" s="19"/>
      <c r="H869" s="19"/>
      <c r="I869" s="28"/>
      <c r="J869" s="28"/>
      <c r="K869" s="28"/>
      <c r="L869" s="19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9"/>
      <c r="D870" s="19"/>
      <c r="E870" s="19"/>
      <c r="F870" s="19"/>
      <c r="G870" s="19"/>
      <c r="H870" s="19"/>
      <c r="I870" s="28"/>
      <c r="J870" s="28"/>
      <c r="K870" s="28"/>
      <c r="L870" s="19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9"/>
      <c r="D871" s="19"/>
      <c r="E871" s="19"/>
      <c r="F871" s="19"/>
      <c r="G871" s="19"/>
      <c r="H871" s="19"/>
      <c r="I871" s="28"/>
      <c r="J871" s="28"/>
      <c r="K871" s="28"/>
      <c r="L871" s="19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9"/>
      <c r="D872" s="19"/>
      <c r="E872" s="19"/>
      <c r="F872" s="19"/>
      <c r="G872" s="19"/>
      <c r="H872" s="19"/>
      <c r="I872" s="28"/>
      <c r="J872" s="28"/>
      <c r="K872" s="28"/>
      <c r="L872" s="19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9"/>
      <c r="D873" s="19"/>
      <c r="E873" s="19"/>
      <c r="F873" s="19"/>
      <c r="G873" s="19"/>
      <c r="H873" s="19"/>
      <c r="I873" s="28"/>
      <c r="J873" s="28"/>
      <c r="K873" s="28"/>
      <c r="L873" s="19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9"/>
      <c r="D874" s="19"/>
      <c r="E874" s="19"/>
      <c r="F874" s="19"/>
      <c r="G874" s="19"/>
      <c r="H874" s="19"/>
      <c r="I874" s="28"/>
      <c r="J874" s="28"/>
      <c r="K874" s="28"/>
      <c r="L874" s="19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9"/>
      <c r="D875" s="19"/>
      <c r="E875" s="19"/>
      <c r="F875" s="19"/>
      <c r="G875" s="19"/>
      <c r="H875" s="19"/>
      <c r="I875" s="28"/>
      <c r="J875" s="28"/>
      <c r="K875" s="28"/>
      <c r="L875" s="19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9"/>
      <c r="D876" s="19"/>
      <c r="E876" s="19"/>
      <c r="F876" s="19"/>
      <c r="G876" s="19"/>
      <c r="H876" s="19"/>
      <c r="I876" s="28"/>
      <c r="J876" s="28"/>
      <c r="K876" s="28"/>
      <c r="L876" s="19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9"/>
      <c r="D877" s="19"/>
      <c r="E877" s="19"/>
      <c r="F877" s="19"/>
      <c r="G877" s="19"/>
      <c r="H877" s="19"/>
      <c r="I877" s="28"/>
      <c r="J877" s="28"/>
      <c r="K877" s="28"/>
      <c r="L877" s="19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9"/>
      <c r="D878" s="19"/>
      <c r="E878" s="19"/>
      <c r="F878" s="19"/>
      <c r="G878" s="19"/>
      <c r="H878" s="19"/>
      <c r="I878" s="28"/>
      <c r="J878" s="28"/>
      <c r="K878" s="28"/>
      <c r="L878" s="19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9"/>
      <c r="D879" s="19"/>
      <c r="E879" s="19"/>
      <c r="F879" s="19"/>
      <c r="G879" s="19"/>
      <c r="H879" s="19"/>
      <c r="I879" s="28"/>
      <c r="J879" s="28"/>
      <c r="K879" s="28"/>
      <c r="L879" s="19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9"/>
      <c r="D880" s="19"/>
      <c r="E880" s="19"/>
      <c r="F880" s="19"/>
      <c r="G880" s="19"/>
      <c r="H880" s="19"/>
      <c r="I880" s="28"/>
      <c r="J880" s="28"/>
      <c r="K880" s="28"/>
      <c r="L880" s="19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9"/>
      <c r="D881" s="19"/>
      <c r="E881" s="19"/>
      <c r="F881" s="19"/>
      <c r="G881" s="19"/>
      <c r="H881" s="19"/>
      <c r="I881" s="28"/>
      <c r="J881" s="28"/>
      <c r="K881" s="28"/>
      <c r="L881" s="19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9"/>
      <c r="D882" s="19"/>
      <c r="E882" s="19"/>
      <c r="F882" s="19"/>
      <c r="G882" s="19"/>
      <c r="H882" s="19"/>
      <c r="I882" s="28"/>
      <c r="J882" s="28"/>
      <c r="K882" s="28"/>
      <c r="L882" s="19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9"/>
      <c r="D883" s="19"/>
      <c r="E883" s="19"/>
      <c r="F883" s="19"/>
      <c r="G883" s="19"/>
      <c r="H883" s="19"/>
      <c r="I883" s="28"/>
      <c r="J883" s="28"/>
      <c r="K883" s="28"/>
      <c r="L883" s="19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9"/>
      <c r="D884" s="19"/>
      <c r="E884" s="19"/>
      <c r="F884" s="19"/>
      <c r="G884" s="19"/>
      <c r="H884" s="19"/>
      <c r="I884" s="28"/>
      <c r="J884" s="28"/>
      <c r="K884" s="28"/>
      <c r="L884" s="19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9"/>
      <c r="D885" s="19"/>
      <c r="E885" s="19"/>
      <c r="F885" s="19"/>
      <c r="G885" s="19"/>
      <c r="H885" s="19"/>
      <c r="I885" s="28"/>
      <c r="J885" s="28"/>
      <c r="K885" s="28"/>
      <c r="L885" s="19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9"/>
      <c r="D886" s="19"/>
      <c r="E886" s="19"/>
      <c r="F886" s="19"/>
      <c r="G886" s="19"/>
      <c r="H886" s="19"/>
      <c r="I886" s="28"/>
      <c r="J886" s="28"/>
      <c r="K886" s="28"/>
      <c r="L886" s="19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9"/>
      <c r="D887" s="19"/>
      <c r="E887" s="19"/>
      <c r="F887" s="19"/>
      <c r="G887" s="19"/>
      <c r="H887" s="19"/>
      <c r="I887" s="28"/>
      <c r="J887" s="28"/>
      <c r="K887" s="28"/>
      <c r="L887" s="19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9"/>
      <c r="D888" s="19"/>
      <c r="E888" s="19"/>
      <c r="F888" s="19"/>
      <c r="G888" s="19"/>
      <c r="H888" s="19"/>
      <c r="I888" s="28"/>
      <c r="J888" s="28"/>
      <c r="K888" s="28"/>
      <c r="L888" s="19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9"/>
      <c r="D889" s="19"/>
      <c r="E889" s="19"/>
      <c r="F889" s="19"/>
      <c r="G889" s="19"/>
      <c r="H889" s="19"/>
      <c r="I889" s="28"/>
      <c r="J889" s="28"/>
      <c r="K889" s="28"/>
      <c r="L889" s="19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9"/>
      <c r="D890" s="19"/>
      <c r="E890" s="19"/>
      <c r="F890" s="19"/>
      <c r="G890" s="19"/>
      <c r="H890" s="19"/>
      <c r="I890" s="28"/>
      <c r="J890" s="28"/>
      <c r="K890" s="28"/>
      <c r="L890" s="19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9"/>
      <c r="D891" s="19"/>
      <c r="E891" s="19"/>
      <c r="F891" s="19"/>
      <c r="G891" s="19"/>
      <c r="H891" s="19"/>
      <c r="I891" s="28"/>
      <c r="J891" s="28"/>
      <c r="K891" s="28"/>
      <c r="L891" s="19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9"/>
      <c r="D892" s="19"/>
      <c r="E892" s="19"/>
      <c r="F892" s="19"/>
      <c r="G892" s="19"/>
      <c r="H892" s="19"/>
      <c r="I892" s="28"/>
      <c r="J892" s="28"/>
      <c r="K892" s="28"/>
      <c r="L892" s="19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9"/>
      <c r="D893" s="19"/>
      <c r="E893" s="19"/>
      <c r="F893" s="19"/>
      <c r="G893" s="19"/>
      <c r="H893" s="19"/>
      <c r="I893" s="28"/>
      <c r="J893" s="28"/>
      <c r="K893" s="28"/>
      <c r="L893" s="19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9"/>
      <c r="D894" s="19"/>
      <c r="E894" s="19"/>
      <c r="F894" s="19"/>
      <c r="G894" s="19"/>
      <c r="H894" s="19"/>
      <c r="I894" s="28"/>
      <c r="J894" s="28"/>
      <c r="K894" s="28"/>
      <c r="L894" s="19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9"/>
      <c r="D895" s="19"/>
      <c r="E895" s="19"/>
      <c r="F895" s="19"/>
      <c r="G895" s="19"/>
      <c r="H895" s="19"/>
      <c r="I895" s="28"/>
      <c r="J895" s="28"/>
      <c r="K895" s="28"/>
      <c r="L895" s="19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9"/>
      <c r="D896" s="19"/>
      <c r="E896" s="19"/>
      <c r="F896" s="19"/>
      <c r="G896" s="19"/>
      <c r="H896" s="19"/>
      <c r="I896" s="28"/>
      <c r="J896" s="28"/>
      <c r="K896" s="28"/>
      <c r="L896" s="19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9"/>
      <c r="D897" s="19"/>
      <c r="E897" s="19"/>
      <c r="F897" s="19"/>
      <c r="G897" s="19"/>
      <c r="H897" s="19"/>
      <c r="I897" s="28"/>
      <c r="J897" s="28"/>
      <c r="K897" s="28"/>
      <c r="L897" s="19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9"/>
      <c r="D898" s="19"/>
      <c r="E898" s="19"/>
      <c r="F898" s="19"/>
      <c r="G898" s="19"/>
      <c r="H898" s="19"/>
      <c r="I898" s="28"/>
      <c r="J898" s="28"/>
      <c r="K898" s="28"/>
      <c r="L898" s="19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9"/>
      <c r="D899" s="19"/>
      <c r="E899" s="19"/>
      <c r="F899" s="19"/>
      <c r="G899" s="19"/>
      <c r="H899" s="19"/>
      <c r="I899" s="28"/>
      <c r="J899" s="28"/>
      <c r="K899" s="28"/>
      <c r="L899" s="19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9"/>
      <c r="D900" s="19"/>
      <c r="E900" s="19"/>
      <c r="F900" s="19"/>
      <c r="G900" s="19"/>
      <c r="H900" s="19"/>
      <c r="I900" s="28"/>
      <c r="J900" s="28"/>
      <c r="K900" s="28"/>
      <c r="L900" s="19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9"/>
      <c r="D901" s="19"/>
      <c r="E901" s="19"/>
      <c r="F901" s="19"/>
      <c r="G901" s="19"/>
      <c r="H901" s="19"/>
      <c r="I901" s="28"/>
      <c r="J901" s="28"/>
      <c r="K901" s="28"/>
      <c r="L901" s="19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9"/>
      <c r="D902" s="19"/>
      <c r="E902" s="19"/>
      <c r="F902" s="19"/>
      <c r="G902" s="19"/>
      <c r="H902" s="19"/>
      <c r="I902" s="28"/>
      <c r="J902" s="28"/>
      <c r="K902" s="28"/>
      <c r="L902" s="19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9"/>
      <c r="D903" s="19"/>
      <c r="E903" s="19"/>
      <c r="F903" s="19"/>
      <c r="G903" s="19"/>
      <c r="H903" s="19"/>
      <c r="I903" s="28"/>
      <c r="J903" s="28"/>
      <c r="K903" s="28"/>
      <c r="L903" s="19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9"/>
      <c r="D904" s="19"/>
      <c r="E904" s="19"/>
      <c r="F904" s="19"/>
      <c r="G904" s="19"/>
      <c r="H904" s="19"/>
      <c r="I904" s="28"/>
      <c r="J904" s="28"/>
      <c r="K904" s="28"/>
      <c r="L904" s="19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9"/>
      <c r="D905" s="19"/>
      <c r="E905" s="19"/>
      <c r="F905" s="19"/>
      <c r="G905" s="19"/>
      <c r="H905" s="19"/>
      <c r="I905" s="28"/>
      <c r="J905" s="28"/>
      <c r="K905" s="28"/>
      <c r="L905" s="19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9"/>
      <c r="D906" s="19"/>
      <c r="E906" s="19"/>
      <c r="F906" s="19"/>
      <c r="G906" s="19"/>
      <c r="H906" s="19"/>
      <c r="I906" s="28"/>
      <c r="J906" s="28"/>
      <c r="K906" s="28"/>
      <c r="L906" s="19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9"/>
      <c r="D907" s="19"/>
      <c r="E907" s="19"/>
      <c r="F907" s="19"/>
      <c r="G907" s="19"/>
      <c r="H907" s="19"/>
      <c r="I907" s="28"/>
      <c r="J907" s="28"/>
      <c r="K907" s="28"/>
      <c r="L907" s="19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9"/>
      <c r="D908" s="19"/>
      <c r="E908" s="19"/>
      <c r="F908" s="19"/>
      <c r="G908" s="19"/>
      <c r="H908" s="19"/>
      <c r="I908" s="28"/>
      <c r="J908" s="28"/>
      <c r="K908" s="28"/>
      <c r="L908" s="19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9"/>
      <c r="D909" s="19"/>
      <c r="E909" s="19"/>
      <c r="F909" s="19"/>
      <c r="G909" s="19"/>
      <c r="H909" s="19"/>
      <c r="I909" s="28"/>
      <c r="J909" s="28"/>
      <c r="K909" s="28"/>
      <c r="L909" s="19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9"/>
      <c r="D910" s="19"/>
      <c r="E910" s="19"/>
      <c r="F910" s="19"/>
      <c r="G910" s="19"/>
      <c r="H910" s="19"/>
      <c r="I910" s="28"/>
      <c r="J910" s="28"/>
      <c r="K910" s="28"/>
      <c r="L910" s="19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9"/>
      <c r="D911" s="19"/>
      <c r="E911" s="19"/>
      <c r="F911" s="19"/>
      <c r="G911" s="19"/>
      <c r="H911" s="19"/>
      <c r="I911" s="28"/>
      <c r="J911" s="28"/>
      <c r="K911" s="28"/>
      <c r="L911" s="19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9"/>
      <c r="D912" s="19"/>
      <c r="E912" s="19"/>
      <c r="F912" s="19"/>
      <c r="G912" s="19"/>
      <c r="H912" s="19"/>
      <c r="I912" s="28"/>
      <c r="J912" s="28"/>
      <c r="K912" s="28"/>
      <c r="L912" s="19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9"/>
      <c r="D913" s="19"/>
      <c r="E913" s="19"/>
      <c r="F913" s="19"/>
      <c r="G913" s="19"/>
      <c r="H913" s="19"/>
      <c r="I913" s="28"/>
      <c r="J913" s="28"/>
      <c r="K913" s="28"/>
      <c r="L913" s="19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9"/>
      <c r="D914" s="19"/>
      <c r="E914" s="19"/>
      <c r="F914" s="19"/>
      <c r="G914" s="19"/>
      <c r="H914" s="19"/>
      <c r="I914" s="28"/>
      <c r="J914" s="28"/>
      <c r="K914" s="28"/>
      <c r="L914" s="19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9"/>
      <c r="D915" s="19"/>
      <c r="E915" s="19"/>
      <c r="F915" s="19"/>
      <c r="G915" s="19"/>
      <c r="H915" s="19"/>
      <c r="I915" s="28"/>
      <c r="J915" s="28"/>
      <c r="K915" s="28"/>
      <c r="L915" s="19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9"/>
      <c r="D916" s="19"/>
      <c r="E916" s="19"/>
      <c r="F916" s="19"/>
      <c r="G916" s="19"/>
      <c r="H916" s="19"/>
      <c r="I916" s="28"/>
      <c r="J916" s="28"/>
      <c r="K916" s="28"/>
      <c r="L916" s="19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9"/>
      <c r="D917" s="19"/>
      <c r="E917" s="19"/>
      <c r="F917" s="19"/>
      <c r="G917" s="19"/>
      <c r="H917" s="19"/>
      <c r="I917" s="28"/>
      <c r="J917" s="28"/>
      <c r="K917" s="28"/>
      <c r="L917" s="19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9"/>
      <c r="D918" s="19"/>
      <c r="E918" s="19"/>
      <c r="F918" s="19"/>
      <c r="G918" s="19"/>
      <c r="H918" s="19"/>
      <c r="I918" s="28"/>
      <c r="J918" s="28"/>
      <c r="K918" s="28"/>
      <c r="L918" s="19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9"/>
      <c r="D919" s="19"/>
      <c r="E919" s="19"/>
      <c r="F919" s="19"/>
      <c r="G919" s="19"/>
      <c r="H919" s="19"/>
      <c r="I919" s="28"/>
      <c r="J919" s="28"/>
      <c r="K919" s="28"/>
      <c r="L919" s="19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9"/>
      <c r="D920" s="19"/>
      <c r="E920" s="19"/>
      <c r="F920" s="19"/>
      <c r="G920" s="19"/>
      <c r="H920" s="19"/>
      <c r="I920" s="28"/>
      <c r="J920" s="28"/>
      <c r="K920" s="28"/>
      <c r="L920" s="19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9"/>
      <c r="D921" s="19"/>
      <c r="E921" s="19"/>
      <c r="F921" s="19"/>
      <c r="G921" s="19"/>
      <c r="H921" s="19"/>
      <c r="I921" s="28"/>
      <c r="J921" s="28"/>
      <c r="K921" s="28"/>
      <c r="L921" s="19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9"/>
      <c r="D922" s="19"/>
      <c r="E922" s="19"/>
      <c r="F922" s="19"/>
      <c r="G922" s="19"/>
      <c r="H922" s="19"/>
      <c r="I922" s="28"/>
      <c r="J922" s="28"/>
      <c r="K922" s="28"/>
      <c r="L922" s="19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9"/>
      <c r="D923" s="19"/>
      <c r="E923" s="19"/>
      <c r="F923" s="19"/>
      <c r="G923" s="19"/>
      <c r="H923" s="19"/>
      <c r="I923" s="28"/>
      <c r="J923" s="28"/>
      <c r="K923" s="28"/>
      <c r="L923" s="19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9"/>
      <c r="D924" s="19"/>
      <c r="E924" s="19"/>
      <c r="F924" s="19"/>
      <c r="G924" s="19"/>
      <c r="H924" s="19"/>
      <c r="I924" s="28"/>
      <c r="J924" s="28"/>
      <c r="K924" s="28"/>
      <c r="L924" s="19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9"/>
      <c r="D925" s="19"/>
      <c r="E925" s="19"/>
      <c r="F925" s="19"/>
      <c r="G925" s="19"/>
      <c r="H925" s="19"/>
      <c r="I925" s="28"/>
      <c r="J925" s="28"/>
      <c r="K925" s="28"/>
      <c r="L925" s="19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9"/>
      <c r="D926" s="19"/>
      <c r="E926" s="19"/>
      <c r="F926" s="19"/>
      <c r="G926" s="19"/>
      <c r="H926" s="19"/>
      <c r="I926" s="28"/>
      <c r="J926" s="28"/>
      <c r="K926" s="28"/>
      <c r="L926" s="19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9"/>
      <c r="D927" s="19"/>
      <c r="E927" s="19"/>
      <c r="F927" s="19"/>
      <c r="G927" s="19"/>
      <c r="H927" s="19"/>
      <c r="I927" s="28"/>
      <c r="J927" s="28"/>
      <c r="K927" s="28"/>
      <c r="L927" s="19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9"/>
      <c r="D928" s="19"/>
      <c r="E928" s="19"/>
      <c r="F928" s="19"/>
      <c r="G928" s="19"/>
      <c r="H928" s="19"/>
      <c r="I928" s="28"/>
      <c r="J928" s="28"/>
      <c r="K928" s="28"/>
      <c r="L928" s="19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9"/>
      <c r="D929" s="19"/>
      <c r="E929" s="19"/>
      <c r="F929" s="19"/>
      <c r="G929" s="19"/>
      <c r="H929" s="19"/>
      <c r="I929" s="28"/>
      <c r="J929" s="28"/>
      <c r="K929" s="28"/>
      <c r="L929" s="19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9"/>
      <c r="D930" s="19"/>
      <c r="E930" s="19"/>
      <c r="F930" s="19"/>
      <c r="G930" s="19"/>
      <c r="H930" s="19"/>
      <c r="I930" s="28"/>
      <c r="J930" s="28"/>
      <c r="K930" s="28"/>
      <c r="L930" s="19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9"/>
      <c r="D931" s="19"/>
      <c r="E931" s="19"/>
      <c r="F931" s="19"/>
      <c r="G931" s="19"/>
      <c r="H931" s="19"/>
      <c r="I931" s="28"/>
      <c r="J931" s="28"/>
      <c r="K931" s="28"/>
      <c r="L931" s="19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9"/>
      <c r="D932" s="19"/>
      <c r="E932" s="19"/>
      <c r="F932" s="19"/>
      <c r="G932" s="19"/>
      <c r="H932" s="19"/>
      <c r="I932" s="28"/>
      <c r="J932" s="28"/>
      <c r="K932" s="28"/>
      <c r="L932" s="19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9"/>
      <c r="D933" s="19"/>
      <c r="E933" s="19"/>
      <c r="F933" s="19"/>
      <c r="G933" s="19"/>
      <c r="H933" s="19"/>
      <c r="I933" s="28"/>
      <c r="J933" s="28"/>
      <c r="K933" s="28"/>
      <c r="L933" s="19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9"/>
      <c r="D934" s="19"/>
      <c r="E934" s="19"/>
      <c r="F934" s="19"/>
      <c r="G934" s="19"/>
      <c r="H934" s="19"/>
      <c r="I934" s="28"/>
      <c r="J934" s="28"/>
      <c r="K934" s="28"/>
      <c r="L934" s="19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9"/>
      <c r="D935" s="19"/>
      <c r="E935" s="19"/>
      <c r="F935" s="19"/>
      <c r="G935" s="19"/>
      <c r="H935" s="19"/>
      <c r="I935" s="28"/>
      <c r="J935" s="28"/>
      <c r="K935" s="28"/>
      <c r="L935" s="19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9"/>
      <c r="D936" s="19"/>
      <c r="E936" s="19"/>
      <c r="F936" s="19"/>
      <c r="G936" s="19"/>
      <c r="H936" s="19"/>
      <c r="I936" s="28"/>
      <c r="J936" s="28"/>
      <c r="K936" s="28"/>
      <c r="L936" s="19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9"/>
      <c r="D937" s="19"/>
      <c r="E937" s="19"/>
      <c r="F937" s="19"/>
      <c r="G937" s="19"/>
      <c r="H937" s="19"/>
      <c r="I937" s="28"/>
      <c r="J937" s="28"/>
      <c r="K937" s="28"/>
      <c r="L937" s="19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9"/>
      <c r="D938" s="19"/>
      <c r="E938" s="19"/>
      <c r="F938" s="19"/>
      <c r="G938" s="19"/>
      <c r="H938" s="19"/>
      <c r="I938" s="28"/>
      <c r="J938" s="28"/>
      <c r="K938" s="28"/>
      <c r="L938" s="19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9"/>
      <c r="D939" s="19"/>
      <c r="E939" s="19"/>
      <c r="F939" s="19"/>
      <c r="G939" s="19"/>
      <c r="H939" s="19"/>
      <c r="I939" s="28"/>
      <c r="J939" s="28"/>
      <c r="K939" s="28"/>
      <c r="L939" s="19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9"/>
      <c r="D940" s="19"/>
      <c r="E940" s="19"/>
      <c r="F940" s="19"/>
      <c r="G940" s="19"/>
      <c r="H940" s="19"/>
      <c r="I940" s="28"/>
      <c r="J940" s="28"/>
      <c r="K940" s="28"/>
      <c r="L940" s="19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9"/>
      <c r="D941" s="19"/>
      <c r="E941" s="19"/>
      <c r="F941" s="19"/>
      <c r="G941" s="19"/>
      <c r="H941" s="19"/>
      <c r="I941" s="28"/>
      <c r="J941" s="28"/>
      <c r="K941" s="28"/>
      <c r="L941" s="19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9"/>
      <c r="D942" s="19"/>
      <c r="E942" s="19"/>
      <c r="F942" s="19"/>
      <c r="G942" s="19"/>
      <c r="H942" s="19"/>
      <c r="I942" s="28"/>
      <c r="J942" s="28"/>
      <c r="K942" s="28"/>
      <c r="L942" s="19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9"/>
      <c r="D943" s="19"/>
      <c r="E943" s="19"/>
      <c r="F943" s="19"/>
      <c r="G943" s="19"/>
      <c r="H943" s="19"/>
      <c r="I943" s="28"/>
      <c r="J943" s="28"/>
      <c r="K943" s="28"/>
      <c r="L943" s="19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9"/>
      <c r="D944" s="19"/>
      <c r="E944" s="19"/>
      <c r="F944" s="19"/>
      <c r="G944" s="19"/>
      <c r="H944" s="19"/>
      <c r="I944" s="28"/>
      <c r="J944" s="28"/>
      <c r="K944" s="28"/>
      <c r="L944" s="19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9"/>
      <c r="D945" s="19"/>
      <c r="E945" s="19"/>
      <c r="F945" s="19"/>
      <c r="G945" s="19"/>
      <c r="H945" s="19"/>
      <c r="I945" s="28"/>
      <c r="J945" s="28"/>
      <c r="K945" s="28"/>
      <c r="L945" s="19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9"/>
      <c r="D946" s="19"/>
      <c r="E946" s="19"/>
      <c r="F946" s="19"/>
      <c r="G946" s="19"/>
      <c r="H946" s="19"/>
      <c r="I946" s="28"/>
      <c r="J946" s="28"/>
      <c r="K946" s="28"/>
      <c r="L946" s="19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9"/>
      <c r="D947" s="19"/>
      <c r="E947" s="19"/>
      <c r="F947" s="19"/>
      <c r="G947" s="19"/>
      <c r="H947" s="19"/>
      <c r="I947" s="28"/>
      <c r="J947" s="28"/>
      <c r="K947" s="28"/>
      <c r="L947" s="19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9"/>
      <c r="D948" s="19"/>
      <c r="E948" s="19"/>
      <c r="F948" s="19"/>
      <c r="G948" s="19"/>
      <c r="H948" s="19"/>
      <c r="I948" s="28"/>
      <c r="J948" s="28"/>
      <c r="K948" s="28"/>
      <c r="L948" s="19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9"/>
      <c r="D949" s="19"/>
      <c r="E949" s="19"/>
      <c r="F949" s="19"/>
      <c r="G949" s="19"/>
      <c r="H949" s="19"/>
      <c r="I949" s="28"/>
      <c r="J949" s="28"/>
      <c r="K949" s="28"/>
      <c r="L949" s="19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9"/>
      <c r="D950" s="19"/>
      <c r="E950" s="19"/>
      <c r="F950" s="19"/>
      <c r="G950" s="19"/>
      <c r="H950" s="19"/>
      <c r="I950" s="28"/>
      <c r="J950" s="28"/>
      <c r="K950" s="28"/>
      <c r="L950" s="19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9"/>
      <c r="D951" s="19"/>
      <c r="E951" s="19"/>
      <c r="F951" s="19"/>
      <c r="G951" s="19"/>
      <c r="H951" s="19"/>
      <c r="I951" s="28"/>
      <c r="J951" s="28"/>
      <c r="K951" s="28"/>
      <c r="L951" s="19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9"/>
      <c r="D952" s="19"/>
      <c r="E952" s="19"/>
      <c r="F952" s="19"/>
      <c r="G952" s="19"/>
      <c r="H952" s="19"/>
      <c r="I952" s="28"/>
      <c r="J952" s="28"/>
      <c r="K952" s="28"/>
      <c r="L952" s="19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9"/>
      <c r="D953" s="19"/>
      <c r="E953" s="19"/>
      <c r="F953" s="19"/>
      <c r="G953" s="19"/>
      <c r="H953" s="19"/>
      <c r="I953" s="28"/>
      <c r="J953" s="28"/>
      <c r="K953" s="28"/>
      <c r="L953" s="19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9"/>
      <c r="D954" s="19"/>
      <c r="E954" s="19"/>
      <c r="F954" s="19"/>
      <c r="G954" s="19"/>
      <c r="H954" s="19"/>
      <c r="I954" s="28"/>
      <c r="J954" s="28"/>
      <c r="K954" s="28"/>
      <c r="L954" s="19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9"/>
      <c r="D955" s="19"/>
      <c r="E955" s="19"/>
      <c r="F955" s="19"/>
      <c r="G955" s="19"/>
      <c r="H955" s="19"/>
      <c r="I955" s="28"/>
      <c r="J955" s="28"/>
      <c r="K955" s="28"/>
      <c r="L955" s="19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9"/>
      <c r="D956" s="19"/>
      <c r="E956" s="19"/>
      <c r="F956" s="19"/>
      <c r="G956" s="19"/>
      <c r="H956" s="19"/>
      <c r="I956" s="28"/>
      <c r="J956" s="28"/>
      <c r="K956" s="28"/>
      <c r="L956" s="19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9"/>
      <c r="D957" s="19"/>
      <c r="E957" s="19"/>
      <c r="F957" s="19"/>
      <c r="G957" s="19"/>
      <c r="H957" s="19"/>
      <c r="I957" s="28"/>
      <c r="J957" s="28"/>
      <c r="K957" s="28"/>
      <c r="L957" s="19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9"/>
      <c r="D958" s="19"/>
      <c r="E958" s="19"/>
      <c r="F958" s="19"/>
      <c r="G958" s="19"/>
      <c r="H958" s="19"/>
      <c r="I958" s="28"/>
      <c r="J958" s="28"/>
      <c r="K958" s="28"/>
      <c r="L958" s="19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9"/>
      <c r="D959" s="19"/>
      <c r="E959" s="19"/>
      <c r="F959" s="19"/>
      <c r="G959" s="19"/>
      <c r="H959" s="19"/>
      <c r="I959" s="28"/>
      <c r="J959" s="28"/>
      <c r="K959" s="28"/>
      <c r="L959" s="19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9"/>
      <c r="D960" s="19"/>
      <c r="E960" s="19"/>
      <c r="F960" s="19"/>
      <c r="G960" s="19"/>
      <c r="H960" s="19"/>
      <c r="I960" s="28"/>
      <c r="J960" s="28"/>
      <c r="K960" s="28"/>
      <c r="L960" s="19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9"/>
      <c r="D961" s="19"/>
      <c r="E961" s="19"/>
      <c r="F961" s="19"/>
      <c r="G961" s="19"/>
      <c r="H961" s="19"/>
      <c r="I961" s="28"/>
      <c r="J961" s="28"/>
      <c r="K961" s="28"/>
      <c r="L961" s="19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9"/>
      <c r="D962" s="19"/>
      <c r="E962" s="19"/>
      <c r="F962" s="19"/>
      <c r="G962" s="19"/>
      <c r="H962" s="19"/>
      <c r="I962" s="28"/>
      <c r="J962" s="28"/>
      <c r="K962" s="28"/>
      <c r="L962" s="19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9"/>
      <c r="D963" s="19"/>
      <c r="E963" s="19"/>
      <c r="F963" s="19"/>
      <c r="G963" s="19"/>
      <c r="H963" s="19"/>
      <c r="I963" s="28"/>
      <c r="J963" s="28"/>
      <c r="K963" s="28"/>
      <c r="L963" s="19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9"/>
      <c r="D964" s="19"/>
      <c r="E964" s="19"/>
      <c r="F964" s="19"/>
      <c r="G964" s="19"/>
      <c r="H964" s="19"/>
      <c r="I964" s="28"/>
      <c r="J964" s="28"/>
      <c r="K964" s="28"/>
      <c r="L964" s="19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9"/>
      <c r="D965" s="19"/>
      <c r="E965" s="19"/>
      <c r="F965" s="19"/>
      <c r="G965" s="19"/>
      <c r="H965" s="19"/>
      <c r="I965" s="28"/>
      <c r="J965" s="28"/>
      <c r="K965" s="28"/>
      <c r="L965" s="19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9"/>
      <c r="D966" s="19"/>
      <c r="E966" s="19"/>
      <c r="F966" s="19"/>
      <c r="G966" s="19"/>
      <c r="H966" s="19"/>
      <c r="I966" s="28"/>
      <c r="J966" s="28"/>
      <c r="K966" s="28"/>
      <c r="L966" s="19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9"/>
      <c r="D967" s="19"/>
      <c r="E967" s="19"/>
      <c r="F967" s="19"/>
      <c r="G967" s="19"/>
      <c r="H967" s="19"/>
      <c r="I967" s="28"/>
      <c r="J967" s="28"/>
      <c r="K967" s="28"/>
      <c r="L967" s="19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9"/>
      <c r="D968" s="19"/>
      <c r="E968" s="19"/>
      <c r="F968" s="19"/>
      <c r="G968" s="19"/>
      <c r="H968" s="19"/>
      <c r="I968" s="28"/>
      <c r="J968" s="28"/>
      <c r="K968" s="28"/>
      <c r="L968" s="19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9"/>
      <c r="D969" s="19"/>
      <c r="E969" s="19"/>
      <c r="F969" s="19"/>
      <c r="G969" s="19"/>
      <c r="H969" s="19"/>
      <c r="I969" s="28"/>
      <c r="J969" s="28"/>
      <c r="K969" s="28"/>
      <c r="L969" s="19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9"/>
      <c r="D970" s="19"/>
      <c r="E970" s="19"/>
      <c r="F970" s="19"/>
      <c r="G970" s="19"/>
      <c r="H970" s="19"/>
      <c r="I970" s="28"/>
      <c r="J970" s="28"/>
      <c r="K970" s="28"/>
      <c r="L970" s="19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9"/>
      <c r="D971" s="19"/>
      <c r="E971" s="19"/>
      <c r="F971" s="19"/>
      <c r="G971" s="19"/>
      <c r="H971" s="19"/>
      <c r="I971" s="28"/>
      <c r="J971" s="28"/>
      <c r="K971" s="28"/>
      <c r="L971" s="19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</sheetData>
  <pageMargins left="0.7" right="0.7" top="0.75" bottom="0.75" header="0" footer="0"/>
  <pageSetup orientation="portrait"/>
  <drawing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0"/>
  <sheetViews>
    <sheetView showGridLines="0" tabSelected="1" workbookViewId="0">
      <selection activeCell="D20" sqref="D20"/>
    </sheetView>
  </sheetViews>
  <sheetFormatPr defaultColWidth="14.42578125" defaultRowHeight="15" customHeight="1"/>
  <cols>
    <col min="1" max="1" width="11.42578125" customWidth="1"/>
    <col min="2" max="2" width="42.28515625" customWidth="1"/>
    <col min="3" max="3" width="11.42578125" customWidth="1"/>
    <col min="4" max="4" width="33.7109375" customWidth="1"/>
    <col min="5" max="5" width="11.42578125" customWidth="1"/>
    <col min="6" max="6" width="15.42578125" customWidth="1"/>
    <col min="7" max="26" width="11.42578125" customWidth="1"/>
  </cols>
  <sheetData>
    <row r="1" spans="1:26" ht="15.75">
      <c r="A1" s="140"/>
      <c r="B1" s="140"/>
      <c r="C1" s="140"/>
      <c r="D1" s="306"/>
      <c r="E1" s="140"/>
      <c r="F1" s="140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40"/>
      <c r="B2" s="426" t="s">
        <v>87</v>
      </c>
      <c r="C2" s="444"/>
      <c r="D2" s="445"/>
      <c r="E2" s="140"/>
      <c r="F2" s="140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40"/>
      <c r="B3" s="427" t="s">
        <v>392</v>
      </c>
      <c r="C3" s="443"/>
      <c r="D3" s="446"/>
      <c r="E3" s="140"/>
      <c r="F3" s="140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40"/>
      <c r="B4" s="307" t="s">
        <v>393</v>
      </c>
      <c r="C4" s="308"/>
      <c r="D4" s="309" t="s">
        <v>27</v>
      </c>
      <c r="E4" s="140"/>
      <c r="F4" s="140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>
      <c r="A5" s="140"/>
      <c r="B5" s="310" t="s">
        <v>394</v>
      </c>
      <c r="C5" s="140"/>
      <c r="D5" s="311">
        <v>0</v>
      </c>
      <c r="E5" s="140"/>
      <c r="F5" s="140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40"/>
      <c r="B6" s="310" t="s">
        <v>395</v>
      </c>
      <c r="C6" s="140"/>
      <c r="D6" s="311">
        <f>(Capital!H12*10%)</f>
        <v>29349438.036740001</v>
      </c>
      <c r="E6" s="140"/>
      <c r="F6" s="140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>
      <c r="A7" s="140"/>
      <c r="B7" s="310" t="s">
        <v>396</v>
      </c>
      <c r="C7" s="140"/>
      <c r="D7" s="311">
        <v>0</v>
      </c>
      <c r="E7" s="140"/>
      <c r="F7" s="140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>
      <c r="A8" s="140"/>
      <c r="B8" s="310" t="s">
        <v>397</v>
      </c>
      <c r="C8" s="140"/>
      <c r="D8" s="311">
        <f>Capital!J8</f>
        <v>219985400</v>
      </c>
      <c r="E8" s="140"/>
      <c r="F8" s="140" t="s">
        <v>398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40"/>
      <c r="B9" s="312" t="s">
        <v>399</v>
      </c>
      <c r="C9" s="140"/>
      <c r="D9" s="311"/>
      <c r="E9" s="140"/>
      <c r="F9" s="140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40"/>
      <c r="B10" s="310" t="s">
        <v>400</v>
      </c>
      <c r="C10" s="140"/>
      <c r="D10" s="311">
        <f>Maquinas!F36</f>
        <v>3321400</v>
      </c>
      <c r="E10" s="140"/>
      <c r="F10" s="140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40"/>
      <c r="B11" s="310" t="s">
        <v>401</v>
      </c>
      <c r="C11" s="140"/>
      <c r="D11" s="311">
        <f>Maquinas!F25</f>
        <v>18640090</v>
      </c>
      <c r="E11" s="140"/>
      <c r="F11" s="140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40"/>
      <c r="B12" s="310" t="s">
        <v>402</v>
      </c>
      <c r="C12" s="140"/>
      <c r="D12" s="311">
        <f>Maquinas!F42</f>
        <v>3391594</v>
      </c>
      <c r="E12" s="140"/>
      <c r="F12" s="140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40"/>
      <c r="B13" s="310" t="s">
        <v>403</v>
      </c>
      <c r="C13" s="140"/>
      <c r="D13" s="313">
        <f>SUM(D5:D12)</f>
        <v>274687922.03674001</v>
      </c>
      <c r="E13" s="140"/>
      <c r="F13" s="291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40"/>
      <c r="B14" s="307" t="s">
        <v>404</v>
      </c>
      <c r="C14" s="308"/>
      <c r="D14" s="309"/>
      <c r="E14" s="140"/>
      <c r="F14" s="140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40"/>
      <c r="B15" s="310" t="s">
        <v>405</v>
      </c>
      <c r="C15" s="140"/>
      <c r="D15" s="311">
        <f>(Capital!H14)</f>
        <v>88048314.11022</v>
      </c>
      <c r="E15" s="140"/>
      <c r="F15" s="140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40"/>
      <c r="B16" s="310" t="s">
        <v>406</v>
      </c>
      <c r="C16" s="140"/>
      <c r="D16" s="311">
        <v>0</v>
      </c>
      <c r="E16" s="140"/>
      <c r="F16" s="140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40"/>
      <c r="B17" s="310" t="s">
        <v>407</v>
      </c>
      <c r="C17" s="140"/>
      <c r="D17" s="313">
        <f>SUM(D15:D16)</f>
        <v>88048314.11022</v>
      </c>
      <c r="E17" s="140"/>
      <c r="F17" s="140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40"/>
      <c r="B18" s="307" t="s">
        <v>408</v>
      </c>
      <c r="C18" s="308"/>
      <c r="D18" s="309"/>
      <c r="E18" s="140"/>
      <c r="F18" s="140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>
      <c r="A19" s="140"/>
      <c r="B19" s="310" t="s">
        <v>409</v>
      </c>
      <c r="C19" s="140"/>
      <c r="D19" s="311">
        <f>(D13-D17)</f>
        <v>186639607.92651999</v>
      </c>
      <c r="E19" s="140"/>
      <c r="F19" s="140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>
      <c r="A20" s="140"/>
      <c r="B20" s="310" t="s">
        <v>410</v>
      </c>
      <c r="C20" s="140"/>
      <c r="D20" s="313">
        <f>D19</f>
        <v>186639607.92651999</v>
      </c>
      <c r="E20" s="140"/>
      <c r="F20" s="140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40"/>
      <c r="B21" s="310"/>
      <c r="C21" s="140"/>
      <c r="D21" s="314"/>
      <c r="E21" s="140"/>
      <c r="F21" s="140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40"/>
      <c r="B22" s="315" t="s">
        <v>411</v>
      </c>
      <c r="C22" s="316"/>
      <c r="D22" s="317">
        <f>D17+D20</f>
        <v>274687922.03674001</v>
      </c>
      <c r="E22" s="140"/>
      <c r="F22" s="140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40"/>
      <c r="B23" s="140"/>
      <c r="C23" s="140"/>
      <c r="D23" s="306"/>
      <c r="E23" s="140"/>
      <c r="F23" s="140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40"/>
      <c r="B24" s="140"/>
      <c r="C24" s="140"/>
      <c r="D24" s="306"/>
      <c r="E24" s="140"/>
      <c r="F24" s="140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40"/>
      <c r="B25" s="140"/>
      <c r="C25" s="140"/>
      <c r="D25" s="306"/>
      <c r="E25" s="140"/>
      <c r="F25" s="140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40"/>
      <c r="B26" s="140"/>
      <c r="C26" s="140"/>
      <c r="D26" s="306"/>
      <c r="E26" s="140"/>
      <c r="F26" s="140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40"/>
      <c r="B27" s="434" t="s">
        <v>412</v>
      </c>
      <c r="C27" s="140"/>
      <c r="D27" s="435" t="s">
        <v>413</v>
      </c>
      <c r="E27" s="140"/>
      <c r="F27" s="140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3"/>
      <c r="B28" s="13"/>
      <c r="C28" s="13"/>
      <c r="D28" s="37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3"/>
      <c r="B29" s="13"/>
      <c r="C29" s="13"/>
      <c r="D29" s="37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3"/>
      <c r="B30" s="13"/>
      <c r="C30" s="13"/>
      <c r="D30" s="37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3"/>
      <c r="B31" s="13"/>
      <c r="C31" s="13"/>
      <c r="D31" s="37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3"/>
      <c r="B32" s="13"/>
      <c r="C32" s="13"/>
      <c r="D32" s="37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3"/>
      <c r="B33" s="13"/>
      <c r="C33" s="13"/>
      <c r="D33" s="37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3"/>
      <c r="B34" s="13"/>
      <c r="C34" s="13"/>
      <c r="D34" s="37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3"/>
      <c r="B35" s="13"/>
      <c r="C35" s="13"/>
      <c r="D35" s="37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3"/>
      <c r="B36" s="13"/>
      <c r="C36" s="13"/>
      <c r="D36" s="37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3"/>
      <c r="B37" s="13"/>
      <c r="C37" s="13"/>
      <c r="D37" s="37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3"/>
      <c r="B38" s="13"/>
      <c r="C38" s="13"/>
      <c r="D38" s="37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3"/>
      <c r="B39" s="13"/>
      <c r="C39" s="13"/>
      <c r="D39" s="37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3"/>
      <c r="B40" s="13"/>
      <c r="C40" s="13"/>
      <c r="D40" s="37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3"/>
      <c r="B41" s="13"/>
      <c r="C41" s="13"/>
      <c r="D41" s="37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3"/>
      <c r="B42" s="13"/>
      <c r="C42" s="13"/>
      <c r="D42" s="37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3"/>
      <c r="B43" s="13"/>
      <c r="C43" s="13"/>
      <c r="D43" s="37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3"/>
      <c r="B44" s="13"/>
      <c r="C44" s="13"/>
      <c r="D44" s="37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3"/>
      <c r="B45" s="13"/>
      <c r="C45" s="13"/>
      <c r="D45" s="37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13"/>
      <c r="C46" s="13"/>
      <c r="D46" s="37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3"/>
      <c r="C47" s="13"/>
      <c r="D47" s="37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13"/>
      <c r="C48" s="13"/>
      <c r="D48" s="37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3"/>
      <c r="C49" s="13"/>
      <c r="D49" s="37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3"/>
      <c r="C50" s="13"/>
      <c r="D50" s="37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3"/>
      <c r="C51" s="13"/>
      <c r="D51" s="37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3"/>
      <c r="C52" s="13"/>
      <c r="D52" s="37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3"/>
      <c r="C53" s="13"/>
      <c r="D53" s="37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3"/>
      <c r="C54" s="13"/>
      <c r="D54" s="37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3"/>
      <c r="C55" s="13"/>
      <c r="D55" s="37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3"/>
      <c r="C56" s="13"/>
      <c r="D56" s="37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3"/>
      <c r="C57" s="13"/>
      <c r="D57" s="37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3"/>
      <c r="C58" s="13"/>
      <c r="D58" s="37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3"/>
      <c r="C59" s="13"/>
      <c r="D59" s="37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13"/>
      <c r="D60" s="37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13"/>
      <c r="D61" s="37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13"/>
      <c r="D62" s="37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13"/>
      <c r="D63" s="37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13"/>
      <c r="D64" s="37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3"/>
      <c r="D65" s="37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3"/>
      <c r="D66" s="37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3"/>
      <c r="D67" s="37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3"/>
      <c r="D68" s="37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3"/>
      <c r="D69" s="37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3"/>
      <c r="D70" s="37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3"/>
      <c r="D71" s="37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3"/>
      <c r="D72" s="37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3"/>
      <c r="D73" s="37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3"/>
      <c r="D74" s="37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3"/>
      <c r="D75" s="37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3"/>
      <c r="D76" s="37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3"/>
      <c r="D77" s="37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3"/>
      <c r="D78" s="37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3"/>
      <c r="D79" s="37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3"/>
      <c r="D80" s="37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3"/>
      <c r="D81" s="37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3"/>
      <c r="D82" s="37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3"/>
      <c r="D83" s="37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3"/>
      <c r="D84" s="37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3"/>
      <c r="D85" s="37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3"/>
      <c r="D86" s="37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3"/>
      <c r="D87" s="37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3"/>
      <c r="D88" s="37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3"/>
      <c r="D89" s="37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3"/>
      <c r="D90" s="37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3"/>
      <c r="D91" s="37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3"/>
      <c r="D92" s="37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3"/>
      <c r="D93" s="37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3"/>
      <c r="D94" s="37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3"/>
      <c r="D95" s="37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3"/>
      <c r="D96" s="37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3"/>
      <c r="D97" s="37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3"/>
      <c r="D98" s="37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3"/>
      <c r="D99" s="37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3"/>
      <c r="D100" s="37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3"/>
      <c r="D101" s="37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3"/>
      <c r="D102" s="37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3"/>
      <c r="D103" s="37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3"/>
      <c r="D104" s="37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3"/>
      <c r="D105" s="37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3"/>
      <c r="D106" s="37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3"/>
      <c r="D107" s="37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3"/>
      <c r="D108" s="37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3"/>
      <c r="D109" s="37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3"/>
      <c r="D110" s="37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3"/>
      <c r="D111" s="37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3"/>
      <c r="D112" s="37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3"/>
      <c r="D113" s="37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3"/>
      <c r="D114" s="37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3"/>
      <c r="D115" s="37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3"/>
      <c r="D116" s="37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3"/>
      <c r="D117" s="37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3"/>
      <c r="D118" s="37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3"/>
      <c r="D119" s="37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3"/>
      <c r="D120" s="37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3"/>
      <c r="D121" s="37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3"/>
      <c r="D122" s="37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3"/>
      <c r="D123" s="37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3"/>
      <c r="D124" s="37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3"/>
      <c r="D125" s="37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3"/>
      <c r="D126" s="37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3"/>
      <c r="D127" s="37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3"/>
      <c r="D128" s="37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3"/>
      <c r="D129" s="37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3"/>
      <c r="D130" s="37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3"/>
      <c r="D131" s="37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3"/>
      <c r="D132" s="37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3"/>
      <c r="D133" s="37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3"/>
      <c r="D134" s="37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3"/>
      <c r="D135" s="37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3"/>
      <c r="D136" s="37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3"/>
      <c r="D137" s="37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3"/>
      <c r="D138" s="37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3"/>
      <c r="D139" s="37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3"/>
      <c r="D140" s="37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3"/>
      <c r="D141" s="37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3"/>
      <c r="D142" s="37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3"/>
      <c r="D143" s="37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3"/>
      <c r="D144" s="37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3"/>
      <c r="D145" s="37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3"/>
      <c r="D146" s="37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3"/>
      <c r="D147" s="37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3"/>
      <c r="D148" s="37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3"/>
      <c r="D149" s="37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3"/>
      <c r="D150" s="37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3"/>
      <c r="D151" s="37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3"/>
      <c r="D152" s="37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3"/>
      <c r="D153" s="37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3"/>
      <c r="D154" s="37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3"/>
      <c r="D155" s="37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3"/>
      <c r="D156" s="37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3"/>
      <c r="D157" s="37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3"/>
      <c r="D158" s="37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3"/>
      <c r="D159" s="37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3"/>
      <c r="D160" s="37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3"/>
      <c r="D161" s="37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3"/>
      <c r="D162" s="37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3"/>
      <c r="D163" s="37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3"/>
      <c r="D164" s="37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3"/>
      <c r="D165" s="37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3"/>
      <c r="D166" s="37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3"/>
      <c r="D167" s="37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3"/>
      <c r="D168" s="37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3"/>
      <c r="D169" s="37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3"/>
      <c r="D170" s="37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3"/>
      <c r="D171" s="37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3"/>
      <c r="D172" s="37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3"/>
      <c r="D173" s="37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3"/>
      <c r="D174" s="37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3"/>
      <c r="D175" s="37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3"/>
      <c r="D176" s="37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3"/>
      <c r="D177" s="37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3"/>
      <c r="D178" s="37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3"/>
      <c r="D179" s="37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3"/>
      <c r="D180" s="37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3"/>
      <c r="D181" s="37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3"/>
      <c r="D182" s="37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3"/>
      <c r="D183" s="37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3"/>
      <c r="D184" s="37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3"/>
      <c r="D185" s="37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3"/>
      <c r="D186" s="37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3"/>
      <c r="D187" s="37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3"/>
      <c r="D188" s="37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3"/>
      <c r="D189" s="37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3"/>
      <c r="D190" s="37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3"/>
      <c r="D191" s="37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3"/>
      <c r="D192" s="37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3"/>
      <c r="D193" s="37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3"/>
      <c r="D194" s="37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3"/>
      <c r="D195" s="37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3"/>
      <c r="D196" s="37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3"/>
      <c r="D197" s="37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3"/>
      <c r="D198" s="37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3"/>
      <c r="D199" s="37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3"/>
      <c r="D200" s="37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3"/>
      <c r="D201" s="37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3"/>
      <c r="D202" s="37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3"/>
      <c r="D203" s="37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3"/>
      <c r="D204" s="37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3"/>
      <c r="D205" s="37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3"/>
      <c r="D206" s="37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3"/>
      <c r="D207" s="37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3"/>
      <c r="D208" s="37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3"/>
      <c r="D209" s="37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3"/>
      <c r="D210" s="37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3"/>
      <c r="D211" s="37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3"/>
      <c r="D212" s="37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3"/>
      <c r="D213" s="37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3"/>
      <c r="D214" s="37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3"/>
      <c r="D215" s="37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3"/>
      <c r="D216" s="37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3"/>
      <c r="D217" s="37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3"/>
      <c r="D218" s="37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3"/>
      <c r="D219" s="37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3"/>
      <c r="D220" s="37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3"/>
      <c r="D221" s="37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3"/>
      <c r="D222" s="37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3"/>
      <c r="D223" s="37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3"/>
      <c r="D224" s="37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3"/>
      <c r="D225" s="37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3"/>
      <c r="D226" s="37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3"/>
      <c r="D227" s="37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3"/>
      <c r="D228" s="37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3"/>
      <c r="D229" s="37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3"/>
      <c r="D230" s="37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3"/>
      <c r="D231" s="37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3"/>
      <c r="D232" s="37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3"/>
      <c r="D233" s="37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3"/>
      <c r="D234" s="37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3"/>
      <c r="D235" s="37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3"/>
      <c r="D236" s="37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3"/>
      <c r="D237" s="37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3"/>
      <c r="D238" s="37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3"/>
      <c r="D239" s="37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3"/>
      <c r="D240" s="37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3"/>
      <c r="D241" s="37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3"/>
      <c r="D242" s="37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3"/>
      <c r="D243" s="37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3"/>
      <c r="D244" s="37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3"/>
      <c r="D245" s="37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3"/>
      <c r="D246" s="37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3"/>
      <c r="D247" s="37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3"/>
      <c r="D248" s="37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3"/>
      <c r="D249" s="37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3"/>
      <c r="D250" s="37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3"/>
      <c r="D251" s="37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3"/>
      <c r="D252" s="37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3"/>
      <c r="D253" s="37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3"/>
      <c r="D254" s="37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3"/>
      <c r="D255" s="37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3"/>
      <c r="D256" s="37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3"/>
      <c r="D257" s="37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3"/>
      <c r="D258" s="37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3"/>
      <c r="D259" s="37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3"/>
      <c r="D260" s="37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3"/>
      <c r="D261" s="37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3"/>
      <c r="D262" s="37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3"/>
      <c r="D263" s="37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3"/>
      <c r="D264" s="37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3"/>
      <c r="D265" s="37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3"/>
      <c r="D266" s="37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3"/>
      <c r="D267" s="37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3"/>
      <c r="D268" s="37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3"/>
      <c r="D269" s="37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3"/>
      <c r="D270" s="37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3"/>
      <c r="D271" s="37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3"/>
      <c r="D272" s="37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3"/>
      <c r="D273" s="37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3"/>
      <c r="D274" s="37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3"/>
      <c r="D275" s="37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3"/>
      <c r="D276" s="37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3"/>
      <c r="D277" s="37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3"/>
      <c r="D278" s="37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3"/>
      <c r="D279" s="37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3"/>
      <c r="D280" s="37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3"/>
      <c r="D281" s="37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3"/>
      <c r="D282" s="37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3"/>
      <c r="D283" s="37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3"/>
      <c r="D284" s="37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3"/>
      <c r="D285" s="37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3"/>
      <c r="D286" s="37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3"/>
      <c r="D287" s="37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3"/>
      <c r="D288" s="37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3"/>
      <c r="D289" s="37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3"/>
      <c r="D290" s="37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3"/>
      <c r="D291" s="37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3"/>
      <c r="D292" s="37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3"/>
      <c r="D293" s="37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3"/>
      <c r="D294" s="37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3"/>
      <c r="D295" s="37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3"/>
      <c r="D296" s="37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3"/>
      <c r="D297" s="37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3"/>
      <c r="D298" s="37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3"/>
      <c r="D299" s="37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3"/>
      <c r="D300" s="37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3"/>
      <c r="D301" s="37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3"/>
      <c r="D302" s="37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3"/>
      <c r="D303" s="37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3"/>
      <c r="D304" s="37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3"/>
      <c r="D305" s="37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3"/>
      <c r="D306" s="37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3"/>
      <c r="D307" s="37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3"/>
      <c r="D308" s="37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3"/>
      <c r="D309" s="37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3"/>
      <c r="D310" s="37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3"/>
      <c r="D311" s="37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3"/>
      <c r="D312" s="37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3"/>
      <c r="D313" s="37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3"/>
      <c r="D314" s="37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3"/>
      <c r="D315" s="37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3"/>
      <c r="D316" s="37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3"/>
      <c r="D317" s="37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3"/>
      <c r="D318" s="37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3"/>
      <c r="D319" s="37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3"/>
      <c r="D320" s="37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3"/>
      <c r="D321" s="37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3"/>
      <c r="D322" s="37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3"/>
      <c r="D323" s="37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3"/>
      <c r="D324" s="37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3"/>
      <c r="D325" s="37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3"/>
      <c r="D326" s="37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3"/>
      <c r="D327" s="37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3"/>
      <c r="D328" s="37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3"/>
      <c r="D329" s="37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3"/>
      <c r="D330" s="37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3"/>
      <c r="D331" s="37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3"/>
      <c r="D332" s="37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3"/>
      <c r="D333" s="37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3"/>
      <c r="D334" s="37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3"/>
      <c r="D335" s="37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3"/>
      <c r="D336" s="37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3"/>
      <c r="D337" s="37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3"/>
      <c r="D338" s="37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3"/>
      <c r="D339" s="37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3"/>
      <c r="D340" s="37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3"/>
      <c r="D341" s="37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3"/>
      <c r="D342" s="37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3"/>
      <c r="D343" s="37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3"/>
      <c r="D344" s="37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3"/>
      <c r="D345" s="37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3"/>
      <c r="D346" s="37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3"/>
      <c r="D347" s="37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3"/>
      <c r="D348" s="37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3"/>
      <c r="D349" s="37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3"/>
      <c r="D350" s="37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3"/>
      <c r="D351" s="37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3"/>
      <c r="D352" s="37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3"/>
      <c r="D353" s="37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3"/>
      <c r="D354" s="37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3"/>
      <c r="D355" s="37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3"/>
      <c r="D356" s="37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3"/>
      <c r="D357" s="37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3"/>
      <c r="D358" s="37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3"/>
      <c r="D359" s="37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3"/>
      <c r="D360" s="37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3"/>
      <c r="D361" s="37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3"/>
      <c r="D362" s="37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3"/>
      <c r="D363" s="37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3"/>
      <c r="D364" s="37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3"/>
      <c r="D365" s="37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3"/>
      <c r="D366" s="37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3"/>
      <c r="D367" s="37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3"/>
      <c r="D368" s="37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3"/>
      <c r="D369" s="37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3"/>
      <c r="D370" s="37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3"/>
      <c r="D371" s="37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3"/>
      <c r="D372" s="37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3"/>
      <c r="D373" s="37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3"/>
      <c r="D374" s="37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3"/>
      <c r="D375" s="37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3"/>
      <c r="D376" s="37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3"/>
      <c r="D377" s="37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3"/>
      <c r="D378" s="37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3"/>
      <c r="D379" s="37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3"/>
      <c r="D380" s="37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3"/>
      <c r="D381" s="37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3"/>
      <c r="D382" s="37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3"/>
      <c r="D383" s="37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3"/>
      <c r="D384" s="37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3"/>
      <c r="D385" s="37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3"/>
      <c r="D386" s="37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3"/>
      <c r="D387" s="37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3"/>
      <c r="D388" s="37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3"/>
      <c r="D389" s="37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3"/>
      <c r="D390" s="37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3"/>
      <c r="D391" s="37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3"/>
      <c r="D392" s="37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3"/>
      <c r="D393" s="37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3"/>
      <c r="D394" s="37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3"/>
      <c r="D395" s="37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3"/>
      <c r="D396" s="37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3"/>
      <c r="D397" s="37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3"/>
      <c r="D398" s="37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3"/>
      <c r="D399" s="37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3"/>
      <c r="D400" s="37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3"/>
      <c r="D401" s="37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3"/>
      <c r="D402" s="37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3"/>
      <c r="D403" s="37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3"/>
      <c r="D404" s="37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3"/>
      <c r="D405" s="37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3"/>
      <c r="D406" s="37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3"/>
      <c r="D407" s="37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3"/>
      <c r="D408" s="37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3"/>
      <c r="D409" s="37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3"/>
      <c r="D410" s="37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3"/>
      <c r="D411" s="37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3"/>
      <c r="D412" s="37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3"/>
      <c r="D413" s="37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3"/>
      <c r="D414" s="37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3"/>
      <c r="D415" s="37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3"/>
      <c r="D416" s="37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3"/>
      <c r="D417" s="37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3"/>
      <c r="D418" s="37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3"/>
      <c r="D419" s="37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3"/>
      <c r="D420" s="37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3"/>
      <c r="D421" s="37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3"/>
      <c r="D422" s="37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3"/>
      <c r="D423" s="37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3"/>
      <c r="D424" s="37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3"/>
      <c r="D425" s="37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3"/>
      <c r="D426" s="37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3"/>
      <c r="D427" s="37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3"/>
      <c r="D428" s="37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3"/>
      <c r="D429" s="37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3"/>
      <c r="D430" s="37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3"/>
      <c r="D431" s="37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3"/>
      <c r="D432" s="37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3"/>
      <c r="D433" s="37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3"/>
      <c r="D434" s="37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3"/>
      <c r="D435" s="37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3"/>
      <c r="D436" s="37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3"/>
      <c r="D437" s="37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3"/>
      <c r="D438" s="37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3"/>
      <c r="D439" s="37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3"/>
      <c r="D440" s="37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3"/>
      <c r="D441" s="37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3"/>
      <c r="D442" s="37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3"/>
      <c r="D443" s="37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3"/>
      <c r="D444" s="37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3"/>
      <c r="D445" s="37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3"/>
      <c r="D446" s="37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3"/>
      <c r="D447" s="37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3"/>
      <c r="D448" s="37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3"/>
      <c r="D449" s="37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3"/>
      <c r="D450" s="37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3"/>
      <c r="D451" s="37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3"/>
      <c r="D452" s="37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3"/>
      <c r="D453" s="37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3"/>
      <c r="D454" s="37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3"/>
      <c r="D455" s="37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3"/>
      <c r="D456" s="37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3"/>
      <c r="D457" s="37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3"/>
      <c r="D458" s="37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3"/>
      <c r="D459" s="37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3"/>
      <c r="D460" s="37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3"/>
      <c r="D461" s="37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3"/>
      <c r="D462" s="37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3"/>
      <c r="D463" s="37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3"/>
      <c r="D464" s="37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3"/>
      <c r="D465" s="37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3"/>
      <c r="D466" s="37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3"/>
      <c r="D467" s="37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3"/>
      <c r="D468" s="37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3"/>
      <c r="D469" s="37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3"/>
      <c r="D470" s="37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3"/>
      <c r="D471" s="37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3"/>
      <c r="D472" s="37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3"/>
      <c r="D473" s="37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3"/>
      <c r="D474" s="37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3"/>
      <c r="D475" s="37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3"/>
      <c r="D476" s="37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3"/>
      <c r="D477" s="37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3"/>
      <c r="D478" s="37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3"/>
      <c r="D479" s="37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3"/>
      <c r="D480" s="37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3"/>
      <c r="D481" s="37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3"/>
      <c r="D482" s="37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3"/>
      <c r="D483" s="37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3"/>
      <c r="D484" s="37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3"/>
      <c r="D485" s="37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3"/>
      <c r="D486" s="37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3"/>
      <c r="D487" s="37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3"/>
      <c r="D488" s="37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3"/>
      <c r="D489" s="37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3"/>
      <c r="D490" s="37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3"/>
      <c r="D491" s="37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3"/>
      <c r="D492" s="37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3"/>
      <c r="D493" s="37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3"/>
      <c r="D494" s="37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3"/>
      <c r="D495" s="37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3"/>
      <c r="D496" s="37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3"/>
      <c r="D497" s="37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3"/>
      <c r="D498" s="37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3"/>
      <c r="D499" s="37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3"/>
      <c r="D500" s="37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3"/>
      <c r="D501" s="37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3"/>
      <c r="D502" s="37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3"/>
      <c r="D503" s="37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3"/>
      <c r="D504" s="37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3"/>
      <c r="D505" s="37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3"/>
      <c r="D506" s="37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3"/>
      <c r="D507" s="37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3"/>
      <c r="D508" s="37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3"/>
      <c r="D509" s="37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3"/>
      <c r="D510" s="37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3"/>
      <c r="D511" s="37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3"/>
      <c r="D512" s="37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3"/>
      <c r="D513" s="37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3"/>
      <c r="D514" s="37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3"/>
      <c r="D515" s="37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3"/>
      <c r="D516" s="37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3"/>
      <c r="D517" s="37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3"/>
      <c r="D518" s="37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3"/>
      <c r="D519" s="37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3"/>
      <c r="D520" s="37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3"/>
      <c r="D521" s="37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3"/>
      <c r="D522" s="37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3"/>
      <c r="D523" s="37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3"/>
      <c r="D524" s="37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3"/>
      <c r="D525" s="37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3"/>
      <c r="D526" s="37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3"/>
      <c r="D527" s="37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3"/>
      <c r="D528" s="37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3"/>
      <c r="D529" s="37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3"/>
      <c r="D530" s="37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3"/>
      <c r="D531" s="37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3"/>
      <c r="D532" s="37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3"/>
      <c r="D533" s="37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3"/>
      <c r="D534" s="37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3"/>
      <c r="D535" s="37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3"/>
      <c r="D536" s="37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3"/>
      <c r="D537" s="37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3"/>
      <c r="D538" s="37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3"/>
      <c r="D539" s="37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3"/>
      <c r="D540" s="37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3"/>
      <c r="D541" s="37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3"/>
      <c r="D542" s="37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3"/>
      <c r="D543" s="37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3"/>
      <c r="D544" s="37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3"/>
      <c r="D545" s="37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3"/>
      <c r="D546" s="37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3"/>
      <c r="D547" s="37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3"/>
      <c r="D548" s="37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3"/>
      <c r="D549" s="37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3"/>
      <c r="D550" s="37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3"/>
      <c r="D551" s="37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3"/>
      <c r="D552" s="37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3"/>
      <c r="D553" s="37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3"/>
      <c r="D554" s="37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3"/>
      <c r="D555" s="37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3"/>
      <c r="D556" s="37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3"/>
      <c r="D557" s="37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3"/>
      <c r="D558" s="37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3"/>
      <c r="D559" s="37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3"/>
      <c r="D560" s="37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3"/>
      <c r="D561" s="37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3"/>
      <c r="D562" s="37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3"/>
      <c r="D563" s="37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3"/>
      <c r="D564" s="37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3"/>
      <c r="D565" s="37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3"/>
      <c r="D566" s="37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3"/>
      <c r="D567" s="37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3"/>
      <c r="D568" s="37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3"/>
      <c r="D569" s="37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3"/>
      <c r="D570" s="37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3"/>
      <c r="D571" s="37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3"/>
      <c r="D572" s="37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3"/>
      <c r="D573" s="37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3"/>
      <c r="D574" s="37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3"/>
      <c r="D575" s="37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3"/>
      <c r="D576" s="37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3"/>
      <c r="D577" s="37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3"/>
      <c r="D578" s="37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3"/>
      <c r="D579" s="37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3"/>
      <c r="D580" s="37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3"/>
      <c r="D581" s="37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3"/>
      <c r="D582" s="37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3"/>
      <c r="D583" s="37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3"/>
      <c r="D584" s="37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3"/>
      <c r="D585" s="37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3"/>
      <c r="D586" s="37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3"/>
      <c r="D587" s="37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3"/>
      <c r="D588" s="37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3"/>
      <c r="D589" s="37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3"/>
      <c r="D590" s="37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3"/>
      <c r="D591" s="37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3"/>
      <c r="D592" s="37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3"/>
      <c r="D593" s="37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3"/>
      <c r="D594" s="37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3"/>
      <c r="D595" s="37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3"/>
      <c r="D596" s="37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3"/>
      <c r="D597" s="37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3"/>
      <c r="D598" s="37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3"/>
      <c r="D599" s="37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3"/>
      <c r="D600" s="37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3"/>
      <c r="D601" s="37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3"/>
      <c r="D602" s="37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3"/>
      <c r="D603" s="37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3"/>
      <c r="D604" s="37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3"/>
      <c r="D605" s="37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3"/>
      <c r="D606" s="37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3"/>
      <c r="D607" s="37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3"/>
      <c r="D608" s="37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3"/>
      <c r="D609" s="37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3"/>
      <c r="D610" s="37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3"/>
      <c r="D611" s="37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3"/>
      <c r="D612" s="37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3"/>
      <c r="D613" s="37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3"/>
      <c r="D614" s="37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3"/>
      <c r="D615" s="37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3"/>
      <c r="D616" s="37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3"/>
      <c r="D617" s="37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3"/>
      <c r="D618" s="37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3"/>
      <c r="D619" s="37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3"/>
      <c r="D620" s="37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3"/>
      <c r="D621" s="37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3"/>
      <c r="D622" s="37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3"/>
      <c r="D623" s="37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3"/>
      <c r="D624" s="37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3"/>
      <c r="D625" s="37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3"/>
      <c r="D626" s="37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3"/>
      <c r="D627" s="37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3"/>
      <c r="D628" s="37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3"/>
      <c r="D629" s="37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3"/>
      <c r="D630" s="37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3"/>
      <c r="D631" s="37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3"/>
      <c r="D632" s="37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3"/>
      <c r="D633" s="37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3"/>
      <c r="D634" s="37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3"/>
      <c r="D635" s="37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3"/>
      <c r="D636" s="37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3"/>
      <c r="D637" s="37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3"/>
      <c r="D638" s="37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3"/>
      <c r="D639" s="37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3"/>
      <c r="D640" s="37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3"/>
      <c r="D641" s="37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3"/>
      <c r="D642" s="37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3"/>
      <c r="D643" s="37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3"/>
      <c r="D644" s="37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3"/>
      <c r="D645" s="37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3"/>
      <c r="D646" s="37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3"/>
      <c r="D647" s="37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3"/>
      <c r="D648" s="37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3"/>
      <c r="D649" s="37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3"/>
      <c r="D650" s="37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3"/>
      <c r="D651" s="37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3"/>
      <c r="D652" s="37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3"/>
      <c r="D653" s="37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3"/>
      <c r="D654" s="37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3"/>
      <c r="D655" s="37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3"/>
      <c r="D656" s="37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3"/>
      <c r="D657" s="37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3"/>
      <c r="D658" s="37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3"/>
      <c r="D659" s="37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3"/>
      <c r="D660" s="37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3"/>
      <c r="D661" s="37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3"/>
      <c r="D662" s="37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3"/>
      <c r="D663" s="37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3"/>
      <c r="D664" s="37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3"/>
      <c r="D665" s="37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3"/>
      <c r="D666" s="37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3"/>
      <c r="D667" s="37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3"/>
      <c r="D668" s="37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3"/>
      <c r="D669" s="37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3"/>
      <c r="D670" s="37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3"/>
      <c r="D671" s="37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3"/>
      <c r="D672" s="37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3"/>
      <c r="D673" s="37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3"/>
      <c r="D674" s="37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3"/>
      <c r="D675" s="37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3"/>
      <c r="D676" s="37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3"/>
      <c r="D677" s="37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3"/>
      <c r="D678" s="37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3"/>
      <c r="D679" s="37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3"/>
      <c r="D680" s="37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3"/>
      <c r="D681" s="37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3"/>
      <c r="D682" s="37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3"/>
      <c r="D683" s="37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3"/>
      <c r="D684" s="37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3"/>
      <c r="D685" s="37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3"/>
      <c r="D686" s="37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3"/>
      <c r="D687" s="37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3"/>
      <c r="D688" s="37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3"/>
      <c r="D689" s="37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3"/>
      <c r="D690" s="37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3"/>
      <c r="D691" s="37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3"/>
      <c r="D692" s="37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3"/>
      <c r="D693" s="37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3"/>
      <c r="D694" s="37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3"/>
      <c r="D695" s="37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3"/>
      <c r="D696" s="37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3"/>
      <c r="D697" s="37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3"/>
      <c r="D698" s="37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3"/>
      <c r="D699" s="37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3"/>
      <c r="D700" s="37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3"/>
      <c r="D701" s="37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3"/>
      <c r="D702" s="37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3"/>
      <c r="D703" s="37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3"/>
      <c r="D704" s="37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3"/>
      <c r="D705" s="37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3"/>
      <c r="D706" s="37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3"/>
      <c r="D707" s="37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3"/>
      <c r="D708" s="37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3"/>
      <c r="D709" s="37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3"/>
      <c r="D710" s="37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3"/>
      <c r="D711" s="37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3"/>
      <c r="D712" s="37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3"/>
      <c r="D713" s="37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3"/>
      <c r="D714" s="37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3"/>
      <c r="D715" s="37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3"/>
      <c r="D716" s="37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3"/>
      <c r="D717" s="37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3"/>
      <c r="D718" s="37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3"/>
      <c r="D719" s="37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3"/>
      <c r="D720" s="37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3"/>
      <c r="D721" s="37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3"/>
      <c r="D722" s="37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3"/>
      <c r="D723" s="37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3"/>
      <c r="D724" s="37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3"/>
      <c r="D725" s="37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3"/>
      <c r="D726" s="37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3"/>
      <c r="D727" s="37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3"/>
      <c r="D728" s="37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3"/>
      <c r="D729" s="37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3"/>
      <c r="D730" s="37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3"/>
      <c r="D731" s="37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3"/>
      <c r="D732" s="37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3"/>
      <c r="D733" s="37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3"/>
      <c r="D734" s="37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3"/>
      <c r="D735" s="37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3"/>
      <c r="D736" s="37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3"/>
      <c r="D737" s="37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3"/>
      <c r="D738" s="37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3"/>
      <c r="D739" s="37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3"/>
      <c r="D740" s="37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3"/>
      <c r="D741" s="37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3"/>
      <c r="D742" s="37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3"/>
      <c r="D743" s="37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3"/>
      <c r="D744" s="37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3"/>
      <c r="D745" s="37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3"/>
      <c r="D746" s="37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3"/>
      <c r="D747" s="37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3"/>
      <c r="D748" s="37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3"/>
      <c r="D749" s="37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3"/>
      <c r="D750" s="37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3"/>
      <c r="D751" s="37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3"/>
      <c r="D752" s="37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3"/>
      <c r="D753" s="37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3"/>
      <c r="D754" s="37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3"/>
      <c r="D755" s="37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3"/>
      <c r="D756" s="37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3"/>
      <c r="D757" s="37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3"/>
      <c r="D758" s="37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3"/>
      <c r="D759" s="37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3"/>
      <c r="D760" s="37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3"/>
      <c r="D761" s="37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3"/>
      <c r="D762" s="37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3"/>
      <c r="D763" s="37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3"/>
      <c r="D764" s="37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3"/>
      <c r="D765" s="37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3"/>
      <c r="D766" s="37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3"/>
      <c r="D767" s="37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3"/>
      <c r="D768" s="37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3"/>
      <c r="D769" s="37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3"/>
      <c r="D770" s="37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3"/>
      <c r="D771" s="37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3"/>
      <c r="D772" s="37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3"/>
      <c r="D773" s="37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3"/>
      <c r="D774" s="37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3"/>
      <c r="D775" s="37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3"/>
      <c r="D776" s="37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3"/>
      <c r="D777" s="37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3"/>
      <c r="D778" s="37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3"/>
      <c r="D779" s="37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3"/>
      <c r="D780" s="37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3"/>
      <c r="D781" s="37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3"/>
      <c r="D782" s="37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3"/>
      <c r="D783" s="37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3"/>
      <c r="D784" s="37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3"/>
      <c r="D785" s="37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3"/>
      <c r="D786" s="37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3"/>
      <c r="D787" s="37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3"/>
      <c r="D788" s="37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3"/>
      <c r="D789" s="37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3"/>
      <c r="D790" s="37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3"/>
      <c r="D791" s="37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3"/>
      <c r="D792" s="37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3"/>
      <c r="D793" s="37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3"/>
      <c r="D794" s="37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3"/>
      <c r="D795" s="37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3"/>
      <c r="D796" s="37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3"/>
      <c r="D797" s="37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3"/>
      <c r="D798" s="37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3"/>
      <c r="D799" s="37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3"/>
      <c r="D800" s="37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3"/>
      <c r="D801" s="37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3"/>
      <c r="D802" s="37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3"/>
      <c r="D803" s="37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3"/>
      <c r="D804" s="37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3"/>
      <c r="D805" s="37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3"/>
      <c r="D806" s="37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3"/>
      <c r="D807" s="37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3"/>
      <c r="D808" s="37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3"/>
      <c r="D809" s="37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3"/>
      <c r="D810" s="37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3"/>
      <c r="D811" s="37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3"/>
      <c r="D812" s="37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3"/>
      <c r="D813" s="37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3"/>
      <c r="D814" s="37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3"/>
      <c r="D815" s="37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3"/>
      <c r="D816" s="37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3"/>
      <c r="D817" s="37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3"/>
      <c r="D818" s="37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3"/>
      <c r="D819" s="37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3"/>
      <c r="D820" s="37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3"/>
      <c r="D821" s="37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3"/>
      <c r="D822" s="37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3"/>
      <c r="D823" s="37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3"/>
      <c r="D824" s="37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3"/>
      <c r="D825" s="37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3"/>
      <c r="D826" s="37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3"/>
      <c r="D827" s="37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3"/>
      <c r="D828" s="37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3"/>
      <c r="D829" s="37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3"/>
      <c r="D830" s="37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3"/>
      <c r="D831" s="37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3"/>
      <c r="D832" s="37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3"/>
      <c r="D833" s="37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3"/>
      <c r="D834" s="37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3"/>
      <c r="D835" s="37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3"/>
      <c r="D836" s="37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3"/>
      <c r="D837" s="37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3"/>
      <c r="D838" s="37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3"/>
      <c r="D839" s="37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3"/>
      <c r="D840" s="37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3"/>
      <c r="D841" s="37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3"/>
      <c r="D842" s="37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3"/>
      <c r="D843" s="37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3"/>
      <c r="D844" s="37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3"/>
      <c r="D845" s="37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3"/>
      <c r="D846" s="37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3"/>
      <c r="D847" s="37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3"/>
      <c r="D848" s="37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3"/>
      <c r="D849" s="37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3"/>
      <c r="D850" s="37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3"/>
      <c r="D851" s="37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3"/>
      <c r="D852" s="37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3"/>
      <c r="D853" s="37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3"/>
      <c r="D854" s="37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3"/>
      <c r="D855" s="37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3"/>
      <c r="D856" s="37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3"/>
      <c r="D857" s="37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3"/>
      <c r="D858" s="37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3"/>
      <c r="D859" s="37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3"/>
      <c r="D860" s="37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3"/>
      <c r="D861" s="37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3"/>
      <c r="D862" s="37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3"/>
      <c r="D863" s="37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3"/>
      <c r="D864" s="37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3"/>
      <c r="D865" s="37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3"/>
      <c r="D866" s="37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3"/>
      <c r="D867" s="37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3"/>
      <c r="D868" s="37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3"/>
      <c r="D869" s="37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3"/>
      <c r="D870" s="37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3"/>
      <c r="D871" s="37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3"/>
      <c r="D872" s="37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3"/>
      <c r="D873" s="37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3"/>
      <c r="D874" s="37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3"/>
      <c r="D875" s="37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3"/>
      <c r="D876" s="37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3"/>
      <c r="D877" s="37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3"/>
      <c r="D878" s="37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3"/>
      <c r="D879" s="37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3"/>
      <c r="D880" s="37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3"/>
      <c r="D881" s="37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3"/>
      <c r="D882" s="37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3"/>
      <c r="D883" s="37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3"/>
      <c r="D884" s="37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3"/>
      <c r="D885" s="37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3"/>
      <c r="D886" s="37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3"/>
      <c r="D887" s="37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3"/>
      <c r="D888" s="37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3"/>
      <c r="D889" s="37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3"/>
      <c r="D890" s="37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3"/>
      <c r="D891" s="37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3"/>
      <c r="D892" s="37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3"/>
      <c r="D893" s="37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3"/>
      <c r="D894" s="37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3"/>
      <c r="D895" s="37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3"/>
      <c r="D896" s="37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3"/>
      <c r="D897" s="37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3"/>
      <c r="D898" s="37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3"/>
      <c r="D899" s="37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3"/>
      <c r="D900" s="37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3"/>
      <c r="D901" s="37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3"/>
      <c r="D902" s="37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3"/>
      <c r="D903" s="37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3"/>
      <c r="D904" s="37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3"/>
      <c r="D905" s="37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3"/>
      <c r="D906" s="37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3"/>
      <c r="D907" s="37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3"/>
      <c r="D908" s="37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3"/>
      <c r="D909" s="37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3"/>
      <c r="D910" s="37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3"/>
      <c r="D911" s="37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3"/>
      <c r="D912" s="37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3"/>
      <c r="D913" s="37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3"/>
      <c r="D914" s="37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3"/>
      <c r="D915" s="37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3"/>
      <c r="D916" s="37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3"/>
      <c r="D917" s="37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3"/>
      <c r="D918" s="37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3"/>
      <c r="D919" s="37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3"/>
      <c r="D920" s="37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3"/>
      <c r="D921" s="37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3"/>
      <c r="D922" s="37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3"/>
      <c r="D923" s="37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3"/>
      <c r="D924" s="37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3"/>
      <c r="D925" s="37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3"/>
      <c r="D926" s="37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3"/>
      <c r="D927" s="37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3"/>
      <c r="D928" s="37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3"/>
      <c r="D929" s="37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3"/>
      <c r="D930" s="37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3"/>
      <c r="D931" s="37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3"/>
      <c r="D932" s="37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3"/>
      <c r="D933" s="37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3"/>
      <c r="D934" s="37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3"/>
      <c r="D935" s="37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3"/>
      <c r="D936" s="37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3"/>
      <c r="D937" s="37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3"/>
      <c r="D938" s="37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3"/>
      <c r="D939" s="37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3"/>
      <c r="D940" s="37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3"/>
      <c r="D941" s="37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3"/>
      <c r="D942" s="37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3"/>
      <c r="D943" s="37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3"/>
      <c r="D944" s="37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3"/>
      <c r="D945" s="37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3"/>
      <c r="D946" s="37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3"/>
      <c r="D947" s="37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3"/>
      <c r="D948" s="37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3"/>
      <c r="D949" s="37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3"/>
      <c r="D950" s="37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3"/>
      <c r="D951" s="37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3"/>
      <c r="D952" s="37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3"/>
      <c r="D953" s="37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3"/>
      <c r="D954" s="37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3"/>
      <c r="D955" s="37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3"/>
      <c r="D956" s="37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3"/>
      <c r="D957" s="37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3"/>
      <c r="D958" s="37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3"/>
      <c r="D959" s="37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3"/>
      <c r="D960" s="37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3"/>
      <c r="D961" s="37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3"/>
      <c r="D962" s="37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3"/>
      <c r="D963" s="37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3"/>
      <c r="D964" s="37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3"/>
      <c r="D965" s="37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3"/>
      <c r="D966" s="37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3"/>
      <c r="D967" s="37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3"/>
      <c r="D968" s="37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3"/>
      <c r="D969" s="37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3"/>
      <c r="D970" s="37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3"/>
      <c r="D971" s="37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13"/>
      <c r="D972" s="37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13"/>
      <c r="D973" s="37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13"/>
      <c r="D974" s="37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13"/>
      <c r="D975" s="37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13"/>
      <c r="D976" s="37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13"/>
      <c r="D977" s="37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13"/>
      <c r="D978" s="37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13"/>
      <c r="D979" s="37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13"/>
      <c r="D980" s="37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13"/>
      <c r="D981" s="37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13"/>
      <c r="D982" s="37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13"/>
      <c r="D983" s="37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13"/>
      <c r="D984" s="37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13"/>
      <c r="D985" s="37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13"/>
      <c r="D986" s="37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13"/>
      <c r="D987" s="37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13"/>
      <c r="D988" s="37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13"/>
      <c r="D989" s="37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13"/>
      <c r="D990" s="37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13"/>
      <c r="D991" s="37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13"/>
      <c r="D992" s="37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13"/>
      <c r="D993" s="37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13"/>
      <c r="D994" s="37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13"/>
      <c r="D995" s="37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13"/>
      <c r="D996" s="37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13"/>
      <c r="D997" s="37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13"/>
      <c r="D998" s="37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13"/>
      <c r="D999" s="37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B1000" s="13"/>
      <c r="C1000" s="13"/>
      <c r="D1000" s="37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2">
    <mergeCell ref="B2:D2"/>
    <mergeCell ref="B3:D3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Z1001"/>
  <sheetViews>
    <sheetView showGridLines="0" workbookViewId="0">
      <selection activeCell="C9" sqref="C9"/>
    </sheetView>
  </sheetViews>
  <sheetFormatPr defaultColWidth="14.42578125" defaultRowHeight="15" customHeight="1"/>
  <cols>
    <col min="1" max="1" width="11.42578125" customWidth="1"/>
    <col min="2" max="2" width="35.28515625" customWidth="1"/>
    <col min="3" max="3" width="19.7109375" bestFit="1" customWidth="1"/>
    <col min="4" max="4" width="14.140625" customWidth="1"/>
    <col min="5" max="5" width="20.42578125" customWidth="1"/>
    <col min="6" max="6" width="14.140625" customWidth="1"/>
    <col min="7" max="7" width="15.7109375" customWidth="1"/>
    <col min="8" max="8" width="11.42578125" customWidth="1"/>
    <col min="9" max="9" width="14.28515625" customWidth="1"/>
    <col min="10" max="10" width="13.85546875" customWidth="1"/>
    <col min="11" max="26" width="11.42578125" customWidth="1"/>
  </cols>
  <sheetData>
    <row r="1" spans="1:26" ht="15.75">
      <c r="A1" s="140"/>
      <c r="B1" s="140"/>
      <c r="C1" s="142"/>
      <c r="D1" s="142"/>
      <c r="E1" s="142"/>
      <c r="F1" s="142"/>
      <c r="G1" s="142"/>
      <c r="H1" s="140"/>
      <c r="I1" s="140"/>
      <c r="J1" s="140"/>
      <c r="K1" s="140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40"/>
      <c r="B2" s="426" t="s">
        <v>39</v>
      </c>
      <c r="C2" s="444"/>
      <c r="D2" s="444"/>
      <c r="E2" s="444"/>
      <c r="F2" s="444"/>
      <c r="G2" s="445"/>
      <c r="H2" s="140"/>
      <c r="I2" s="318" t="s">
        <v>77</v>
      </c>
      <c r="J2" s="319" t="s">
        <v>78</v>
      </c>
      <c r="K2" s="140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76"/>
      <c r="B3" s="426" t="s">
        <v>414</v>
      </c>
      <c r="C3" s="447"/>
      <c r="D3" s="447"/>
      <c r="E3" s="447"/>
      <c r="F3" s="447"/>
      <c r="G3" s="445"/>
      <c r="H3" s="176"/>
      <c r="I3" s="199">
        <v>2024</v>
      </c>
      <c r="J3" s="200">
        <f>592%/100</f>
        <v>5.9200000000000003E-2</v>
      </c>
      <c r="K3" s="140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76"/>
      <c r="B4" s="320"/>
      <c r="C4" s="321">
        <v>2024</v>
      </c>
      <c r="D4" s="321">
        <v>2025</v>
      </c>
      <c r="E4" s="321">
        <v>2026</v>
      </c>
      <c r="F4" s="321">
        <v>2027</v>
      </c>
      <c r="G4" s="322">
        <v>2028</v>
      </c>
      <c r="H4" s="176"/>
      <c r="I4" s="199">
        <v>2025</v>
      </c>
      <c r="J4" s="200">
        <f>634%/100</f>
        <v>6.3399999999999998E-2</v>
      </c>
      <c r="K4" s="140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>
      <c r="A5" s="176"/>
      <c r="B5" s="307" t="s">
        <v>415</v>
      </c>
      <c r="C5" s="323"/>
      <c r="D5" s="323"/>
      <c r="E5" s="323"/>
      <c r="F5" s="323"/>
      <c r="G5" s="309"/>
      <c r="H5" s="176"/>
      <c r="I5" s="199">
        <v>2026</v>
      </c>
      <c r="J5" s="200">
        <f>729%/100</f>
        <v>7.2900000000000006E-2</v>
      </c>
      <c r="K5" s="140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76"/>
      <c r="B6" s="310" t="s">
        <v>416</v>
      </c>
      <c r="C6" s="324">
        <f>(VentasAños!C6)</f>
        <v>462878988.37051368</v>
      </c>
      <c r="D6" s="324">
        <f>(VentasAños!D6)</f>
        <v>519998255.53543508</v>
      </c>
      <c r="E6" s="324">
        <f>(VentasAños!E6)</f>
        <v>589106023.69609439</v>
      </c>
      <c r="F6" s="324">
        <f>(VentasAños!F6)</f>
        <v>669342264.12350249</v>
      </c>
      <c r="G6" s="325">
        <f>(VentasAños!G6)</f>
        <v>753143915.59176493</v>
      </c>
      <c r="H6" s="176"/>
      <c r="I6" s="199">
        <v>2027</v>
      </c>
      <c r="J6" s="200">
        <f>762%/100</f>
        <v>7.6200000000000004E-2</v>
      </c>
      <c r="K6" s="140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>
      <c r="A7" s="176"/>
      <c r="B7" s="310" t="s">
        <v>417</v>
      </c>
      <c r="C7" s="326">
        <f>C6</f>
        <v>462878988.37051368</v>
      </c>
      <c r="D7" s="326">
        <f>D6</f>
        <v>519998255.53543508</v>
      </c>
      <c r="E7" s="326">
        <f>E6</f>
        <v>589106023.69609439</v>
      </c>
      <c r="F7" s="326">
        <f>F6</f>
        <v>669342264.12350249</v>
      </c>
      <c r="G7" s="327">
        <f>G6</f>
        <v>753143915.59176493</v>
      </c>
      <c r="H7" s="176"/>
      <c r="I7" s="199">
        <v>2028</v>
      </c>
      <c r="J7" s="200">
        <f>652%/100</f>
        <v>6.5199999999999994E-2</v>
      </c>
      <c r="K7" s="140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>
      <c r="A8" s="176"/>
      <c r="B8" s="307" t="s">
        <v>418</v>
      </c>
      <c r="C8" s="323"/>
      <c r="D8" s="323"/>
      <c r="E8" s="323"/>
      <c r="F8" s="323"/>
      <c r="G8" s="309"/>
      <c r="H8" s="176"/>
      <c r="I8" s="140"/>
      <c r="J8" s="140"/>
      <c r="K8" s="140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76"/>
      <c r="B9" s="310" t="s">
        <v>419</v>
      </c>
      <c r="C9" s="324">
        <f>(Capital!J8*$J$3)+Capital!J8</f>
        <v>233008535.68000001</v>
      </c>
      <c r="D9" s="328">
        <f>(C9*$J$4)+C9</f>
        <v>247781276.842112</v>
      </c>
      <c r="E9" s="328">
        <f>(D9*$J$5)+D9</f>
        <v>265844531.92390198</v>
      </c>
      <c r="F9" s="328">
        <f>(E9*$J$6)+E9</f>
        <v>286101885.25650328</v>
      </c>
      <c r="G9" s="311">
        <f>(F9*$J$7)+F9</f>
        <v>304755728.17522728</v>
      </c>
      <c r="H9" s="216"/>
      <c r="I9" s="140"/>
      <c r="J9" s="140"/>
      <c r="K9" s="140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76"/>
      <c r="B10" s="310" t="s">
        <v>420</v>
      </c>
      <c r="C10" s="329">
        <f>(C9)</f>
        <v>233008535.68000001</v>
      </c>
      <c r="D10" s="329">
        <f>(D9)</f>
        <v>247781276.842112</v>
      </c>
      <c r="E10" s="329">
        <f>(E9)</f>
        <v>265844531.92390198</v>
      </c>
      <c r="F10" s="329">
        <f>(F9)</f>
        <v>286101885.25650328</v>
      </c>
      <c r="G10" s="330">
        <f>(G9)</f>
        <v>304755728.17522728</v>
      </c>
      <c r="H10" s="176"/>
      <c r="I10" s="140"/>
      <c r="J10" s="140"/>
      <c r="K10" s="140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76"/>
      <c r="B11" s="310" t="s">
        <v>421</v>
      </c>
      <c r="C11" s="328">
        <f>(C7-C10)</f>
        <v>229870452.69051367</v>
      </c>
      <c r="D11" s="328">
        <f t="shared" ref="D11:G11" si="0">(D7-D10)</f>
        <v>272216978.69332308</v>
      </c>
      <c r="E11" s="328">
        <f t="shared" si="0"/>
        <v>323261491.77219242</v>
      </c>
      <c r="F11" s="328">
        <f t="shared" si="0"/>
        <v>383240378.86699921</v>
      </c>
      <c r="G11" s="311">
        <f t="shared" si="0"/>
        <v>448388187.41653764</v>
      </c>
      <c r="H11" s="176"/>
      <c r="I11" s="221"/>
      <c r="J11" s="140"/>
      <c r="K11" s="140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76"/>
      <c r="B12" s="310" t="s">
        <v>422</v>
      </c>
      <c r="C12" s="331">
        <f>(C11/C7)</f>
        <v>0.49661025552214694</v>
      </c>
      <c r="D12" s="331">
        <f>(D11/D7)</f>
        <v>0.52349594598740523</v>
      </c>
      <c r="E12" s="331">
        <f>(E11/E7)</f>
        <v>0.54873228038651878</v>
      </c>
      <c r="F12" s="331">
        <f>(F11/F7)</f>
        <v>0.57256264755498287</v>
      </c>
      <c r="G12" s="332">
        <f>(G11/G7)</f>
        <v>0.59535525433306768</v>
      </c>
      <c r="H12" s="176"/>
      <c r="I12" s="140"/>
      <c r="J12" s="140"/>
      <c r="K12" s="140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76"/>
      <c r="B13" s="307" t="s">
        <v>423</v>
      </c>
      <c r="C13" s="323"/>
      <c r="D13" s="323"/>
      <c r="E13" s="323"/>
      <c r="F13" s="323"/>
      <c r="G13" s="309"/>
      <c r="H13" s="176"/>
      <c r="I13" s="140"/>
      <c r="J13" s="140"/>
      <c r="K13" s="140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76"/>
      <c r="B14" s="310" t="s">
        <v>424</v>
      </c>
      <c r="C14" s="328">
        <f>(Nomina!J13*$J$3)+Nomina!J13</f>
        <v>107882894.04940033</v>
      </c>
      <c r="D14" s="328">
        <f>(C14*$J$4)+C14</f>
        <v>114722669.53213231</v>
      </c>
      <c r="E14" s="328">
        <f>(D14*$J$5)+D14</f>
        <v>123085952.14102475</v>
      </c>
      <c r="F14" s="328">
        <f>(E14*$J$6)+E14</f>
        <v>132465101.69417083</v>
      </c>
      <c r="G14" s="311">
        <f>(F14*$J$7)+F14</f>
        <v>141101826.32463077</v>
      </c>
      <c r="H14" s="176"/>
      <c r="I14" s="140"/>
      <c r="J14" s="140"/>
      <c r="K14" s="140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76"/>
      <c r="B15" s="310" t="s">
        <v>425</v>
      </c>
      <c r="C15" s="328">
        <f>(Gastos!D10)</f>
        <v>953280</v>
      </c>
      <c r="D15" s="328">
        <f>(Gastos!E10)</f>
        <v>1013717.952</v>
      </c>
      <c r="E15" s="328">
        <f>(Gastos!F10)</f>
        <v>1087617.9907008</v>
      </c>
      <c r="F15" s="328">
        <f>(Gastos!G10)</f>
        <v>1170494.4815922009</v>
      </c>
      <c r="G15" s="311">
        <f>(Gastos!H10)</f>
        <v>1246810.7217920125</v>
      </c>
      <c r="H15" s="176"/>
      <c r="I15" s="140"/>
      <c r="J15" s="158"/>
      <c r="K15" s="140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76"/>
      <c r="B16" s="310" t="s">
        <v>426</v>
      </c>
      <c r="C16" s="328">
        <f>Gastos!$D$24</f>
        <v>18262302.719999999</v>
      </c>
      <c r="D16" s="328">
        <f>Gastos!$E$24</f>
        <v>18262302.719999999</v>
      </c>
      <c r="E16" s="328">
        <f>Gastos!$F$24</f>
        <v>19593624.588288002</v>
      </c>
      <c r="F16" s="328">
        <f>Gastos!$G$24</f>
        <v>21086658.781915545</v>
      </c>
      <c r="G16" s="333">
        <f>Gastos!$H$24</f>
        <v>22461508.93449644</v>
      </c>
      <c r="H16" s="176"/>
      <c r="I16" s="140"/>
      <c r="J16" s="158"/>
      <c r="K16" s="140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76"/>
      <c r="B17" s="310" t="s">
        <v>427</v>
      </c>
      <c r="C17" s="328">
        <f>(Gastos!D15)</f>
        <v>4448640</v>
      </c>
      <c r="D17" s="328">
        <f>(Gastos!E15)</f>
        <v>4730683.7759999996</v>
      </c>
      <c r="E17" s="328">
        <f>(Gastos!F15)</f>
        <v>5075550.6232703999</v>
      </c>
      <c r="F17" s="328">
        <f>(Gastos!G15)</f>
        <v>5462307.5807636045</v>
      </c>
      <c r="G17" s="311">
        <f>(Gastos!H15)</f>
        <v>5818450.0350293918</v>
      </c>
      <c r="H17" s="176"/>
      <c r="I17" s="140"/>
      <c r="J17" s="140"/>
      <c r="K17" s="140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76"/>
      <c r="B18" s="310" t="s">
        <v>428</v>
      </c>
      <c r="C18" s="328">
        <f>(Depre!F9*J3)+Depre!F9</f>
        <v>3044636.2937599998</v>
      </c>
      <c r="D18" s="328">
        <f>(C18*J4)+C18</f>
        <v>3237666.2347843838</v>
      </c>
      <c r="E18" s="328">
        <f>(D18*J5)+D18</f>
        <v>3473692.1033001654</v>
      </c>
      <c r="F18" s="328">
        <f>(E18*J6)+E18</f>
        <v>3738387.441571638</v>
      </c>
      <c r="G18" s="311">
        <f>(F18*J7)+F18</f>
        <v>3982130.3027621089</v>
      </c>
      <c r="H18" s="176"/>
      <c r="I18" s="140"/>
      <c r="J18" s="140"/>
      <c r="K18" s="140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>
      <c r="A19" s="176"/>
      <c r="B19" s="307" t="s">
        <v>429</v>
      </c>
      <c r="C19" s="334">
        <f>(C11-C14-C15-C16-C17-C18)</f>
        <v>95278699.62735334</v>
      </c>
      <c r="D19" s="334">
        <f>(D11-D14-D15-D16-D17-D18)</f>
        <v>130249938.47840638</v>
      </c>
      <c r="E19" s="334">
        <f>(E11-E14-E15-E16-E17-E18)</f>
        <v>170945054.32560828</v>
      </c>
      <c r="F19" s="334">
        <f>(F11-F14-F15-F16-F17-F18)</f>
        <v>219317428.88698536</v>
      </c>
      <c r="G19" s="335">
        <f>(G11-G14-G15-G16-G17-G18)</f>
        <v>273777461.09782696</v>
      </c>
      <c r="H19" s="176"/>
      <c r="I19" s="140"/>
      <c r="J19" s="140"/>
      <c r="K19" s="140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>
      <c r="A20" s="176"/>
      <c r="B20" s="310" t="s">
        <v>430</v>
      </c>
      <c r="C20" s="328">
        <f>(Amorti!$K$22)</f>
        <v>19878749.889523942</v>
      </c>
      <c r="D20" s="328">
        <f>(Amorti!$K$34)</f>
        <v>14595851.04291074</v>
      </c>
      <c r="E20" s="328">
        <f>(Amorti!$K$46)</f>
        <v>9312952.1962975506</v>
      </c>
      <c r="F20" s="328">
        <f>(Amorti!$K$58)</f>
        <v>4030053.3496843497</v>
      </c>
      <c r="G20" s="311">
        <v>0</v>
      </c>
      <c r="H20" s="176"/>
      <c r="I20" s="140"/>
      <c r="J20" s="140"/>
      <c r="K20" s="140"/>
      <c r="L20" s="13"/>
      <c r="M20" s="13" t="s">
        <v>431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>
      <c r="A21" s="176"/>
      <c r="B21" s="310" t="s">
        <v>432</v>
      </c>
      <c r="C21" s="328">
        <f>($C$19*15%/1000)</f>
        <v>14291.804944103</v>
      </c>
      <c r="D21" s="328">
        <f>($D$19*15%/1000)</f>
        <v>19537.490771760957</v>
      </c>
      <c r="E21" s="328">
        <f>($E$19*15%/1000)</f>
        <v>25641.758148841243</v>
      </c>
      <c r="F21" s="328">
        <f>($F$19*15%/1000)</f>
        <v>32897.614333047801</v>
      </c>
      <c r="G21" s="311">
        <f>($G$19*15%/1000)</f>
        <v>41066.619164674041</v>
      </c>
      <c r="H21" s="176"/>
      <c r="I21" s="336" t="s">
        <v>433</v>
      </c>
      <c r="J21" s="337"/>
      <c r="K21" s="140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76"/>
      <c r="B22" s="310" t="s">
        <v>434</v>
      </c>
      <c r="C22" s="328">
        <f>($C$19*35%)</f>
        <v>33347544.869573668</v>
      </c>
      <c r="D22" s="328">
        <f>($D$19*35%)</f>
        <v>45587478.467442229</v>
      </c>
      <c r="E22" s="328">
        <f>($E$19*35%)</f>
        <v>59830769.013962895</v>
      </c>
      <c r="F22" s="328">
        <f>($F$19*35%)</f>
        <v>76761100.110444874</v>
      </c>
      <c r="G22" s="311">
        <f>($G$19*35%)</f>
        <v>95822111.384239435</v>
      </c>
      <c r="H22" s="176"/>
      <c r="I22" s="338" t="s">
        <v>435</v>
      </c>
      <c r="J22" s="339"/>
      <c r="K22" s="176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76"/>
      <c r="B23" s="310" t="s">
        <v>436</v>
      </c>
      <c r="C23" s="328">
        <f>(127000*J3)+127000</f>
        <v>134518.39999999999</v>
      </c>
      <c r="D23" s="328">
        <f>(C23*$J$4)+C23</f>
        <v>143046.86655999999</v>
      </c>
      <c r="E23" s="328">
        <f>(D23*$J$5)+D23</f>
        <v>153474.98313222401</v>
      </c>
      <c r="F23" s="328">
        <f>(E23*$J$6)+E23</f>
        <v>165169.77684689948</v>
      </c>
      <c r="G23" s="311">
        <f>(F23*$J$7)+F23</f>
        <v>175938.84629731733</v>
      </c>
      <c r="H23" s="176"/>
      <c r="I23" s="340" t="s">
        <v>437</v>
      </c>
      <c r="J23" s="341">
        <v>127000</v>
      </c>
      <c r="K23" s="176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76"/>
      <c r="B24" s="342" t="s">
        <v>438</v>
      </c>
      <c r="C24" s="343">
        <f>(C19-C20-C21-C22-C23)</f>
        <v>41903594.663311638</v>
      </c>
      <c r="D24" s="343">
        <f t="shared" ref="D24:F24" si="1">(D19-D20-D21-D22-D23)</f>
        <v>69904024.610721663</v>
      </c>
      <c r="E24" s="343">
        <f t="shared" si="1"/>
        <v>101622216.37406676</v>
      </c>
      <c r="F24" s="343">
        <f t="shared" si="1"/>
        <v>138328208.03567621</v>
      </c>
      <c r="G24" s="344">
        <f>(G19-G20-G21-G22-G23)</f>
        <v>177738344.24812555</v>
      </c>
      <c r="H24" s="345"/>
      <c r="I24" s="155"/>
      <c r="J24" s="155"/>
      <c r="K24" s="176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40"/>
      <c r="B25" s="176"/>
      <c r="C25" s="345"/>
      <c r="D25" s="345"/>
      <c r="E25" s="345"/>
      <c r="F25" s="345"/>
      <c r="G25" s="345"/>
      <c r="H25" s="142"/>
      <c r="I25" s="346"/>
      <c r="J25" s="176"/>
      <c r="K25" s="140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40"/>
      <c r="B26" s="140"/>
      <c r="C26" s="142"/>
      <c r="D26" s="142"/>
      <c r="E26" s="142"/>
      <c r="F26" s="142"/>
      <c r="G26" s="142"/>
      <c r="H26" s="140"/>
      <c r="I26" s="140"/>
      <c r="J26" s="140"/>
      <c r="K26" s="140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40"/>
      <c r="B27" s="176"/>
      <c r="C27" s="345"/>
      <c r="D27" s="142"/>
      <c r="E27" s="345"/>
      <c r="F27" s="345"/>
      <c r="G27" s="345"/>
      <c r="H27" s="140"/>
      <c r="I27" s="140"/>
      <c r="J27" s="140"/>
      <c r="K27" s="140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76"/>
      <c r="B28" s="436"/>
      <c r="C28" s="437"/>
      <c r="D28" s="345"/>
      <c r="E28" s="437"/>
      <c r="F28" s="437"/>
      <c r="G28" s="437"/>
      <c r="H28" s="176"/>
      <c r="I28" s="140"/>
      <c r="J28" s="140"/>
      <c r="K28" s="140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40"/>
      <c r="B29" s="438" t="s">
        <v>412</v>
      </c>
      <c r="C29" s="438"/>
      <c r="D29" s="142"/>
      <c r="E29" s="345"/>
      <c r="F29" s="345" t="s">
        <v>413</v>
      </c>
      <c r="G29" s="345"/>
      <c r="H29" s="140"/>
      <c r="I29" s="140"/>
      <c r="J29" s="140"/>
      <c r="K29" s="140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3"/>
      <c r="B30" s="13"/>
      <c r="C30" s="19"/>
      <c r="D30" s="19"/>
      <c r="E30" s="19"/>
      <c r="F30" s="19"/>
      <c r="G30" s="19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3"/>
      <c r="B31" s="13"/>
      <c r="C31" s="19"/>
      <c r="D31" s="19"/>
      <c r="E31" s="19"/>
      <c r="F31" s="19"/>
      <c r="G31" s="19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3"/>
      <c r="B32" s="13"/>
      <c r="C32" s="19"/>
      <c r="D32" s="19"/>
      <c r="E32" s="19"/>
      <c r="F32" s="19"/>
      <c r="G32" s="19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3"/>
      <c r="B33" s="13"/>
      <c r="C33" s="19"/>
      <c r="D33" s="19"/>
      <c r="E33" s="19"/>
      <c r="F33" s="19"/>
      <c r="G33" s="19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3"/>
      <c r="B34" s="13"/>
      <c r="C34" s="19"/>
      <c r="D34" s="19"/>
      <c r="E34" s="19"/>
      <c r="F34" s="19"/>
      <c r="G34" s="19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3"/>
      <c r="B35" s="13"/>
      <c r="C35" s="19"/>
      <c r="D35" s="19"/>
      <c r="E35" s="19"/>
      <c r="F35" s="19"/>
      <c r="G35" s="19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3"/>
      <c r="B36" s="13"/>
      <c r="C36" s="19"/>
      <c r="D36" s="19"/>
      <c r="E36" s="19"/>
      <c r="F36" s="19"/>
      <c r="G36" s="19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3"/>
      <c r="B37" s="13"/>
      <c r="C37" s="19"/>
      <c r="D37" s="19"/>
      <c r="E37" s="19"/>
      <c r="F37" s="19"/>
      <c r="G37" s="19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3"/>
      <c r="B38" s="13"/>
      <c r="C38" s="19"/>
      <c r="D38" s="19"/>
      <c r="E38" s="19"/>
      <c r="F38" s="19"/>
      <c r="G38" s="19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3"/>
      <c r="B39" s="13"/>
      <c r="C39" s="19"/>
      <c r="D39" s="19"/>
      <c r="E39" s="19"/>
      <c r="F39" s="19"/>
      <c r="G39" s="19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3"/>
      <c r="B40" s="13"/>
      <c r="C40" s="19"/>
      <c r="D40" s="19"/>
      <c r="E40" s="19"/>
      <c r="F40" s="19"/>
      <c r="G40" s="19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3"/>
      <c r="B41" s="13"/>
      <c r="C41" s="19"/>
      <c r="D41" s="19"/>
      <c r="E41" s="19"/>
      <c r="F41" s="19"/>
      <c r="G41" s="19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3"/>
      <c r="B42" s="13"/>
      <c r="C42" s="19"/>
      <c r="D42" s="19"/>
      <c r="E42" s="19"/>
      <c r="F42" s="19"/>
      <c r="G42" s="19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3"/>
      <c r="B43" s="13"/>
      <c r="C43" s="19"/>
      <c r="D43" s="19"/>
      <c r="E43" s="19"/>
      <c r="F43" s="19"/>
      <c r="G43" s="19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3"/>
      <c r="B44" s="13"/>
      <c r="C44" s="19"/>
      <c r="D44" s="19"/>
      <c r="E44" s="19"/>
      <c r="F44" s="19"/>
      <c r="G44" s="19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3"/>
      <c r="B45" s="13"/>
      <c r="C45" s="19"/>
      <c r="D45" s="19"/>
      <c r="E45" s="19"/>
      <c r="F45" s="19"/>
      <c r="G45" s="19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13"/>
      <c r="C46" s="19"/>
      <c r="D46" s="19"/>
      <c r="E46" s="19"/>
      <c r="F46" s="19"/>
      <c r="G46" s="19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3"/>
      <c r="C47" s="19"/>
      <c r="D47" s="19"/>
      <c r="E47" s="19"/>
      <c r="F47" s="19"/>
      <c r="G47" s="19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13"/>
      <c r="C48" s="19"/>
      <c r="D48" s="19"/>
      <c r="E48" s="19"/>
      <c r="F48" s="19"/>
      <c r="G48" s="19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3"/>
      <c r="C49" s="19"/>
      <c r="D49" s="19"/>
      <c r="E49" s="19"/>
      <c r="F49" s="19"/>
      <c r="G49" s="19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3"/>
      <c r="C50" s="19"/>
      <c r="D50" s="19"/>
      <c r="E50" s="19"/>
      <c r="F50" s="19"/>
      <c r="G50" s="19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3"/>
      <c r="C51" s="19"/>
      <c r="D51" s="19"/>
      <c r="E51" s="19"/>
      <c r="F51" s="19"/>
      <c r="G51" s="19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3"/>
      <c r="C52" s="19"/>
      <c r="D52" s="19"/>
      <c r="E52" s="19"/>
      <c r="F52" s="19"/>
      <c r="G52" s="19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3"/>
      <c r="C53" s="19"/>
      <c r="D53" s="19"/>
      <c r="E53" s="19"/>
      <c r="F53" s="19"/>
      <c r="G53" s="19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3"/>
      <c r="C54" s="19"/>
      <c r="D54" s="19"/>
      <c r="E54" s="19"/>
      <c r="F54" s="19"/>
      <c r="G54" s="19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3"/>
      <c r="C55" s="19"/>
      <c r="D55" s="19"/>
      <c r="E55" s="19"/>
      <c r="F55" s="19"/>
      <c r="G55" s="19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3"/>
      <c r="C56" s="19"/>
      <c r="D56" s="19"/>
      <c r="E56" s="19"/>
      <c r="F56" s="19"/>
      <c r="G56" s="19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3"/>
      <c r="C57" s="19"/>
      <c r="D57" s="19"/>
      <c r="E57" s="19"/>
      <c r="F57" s="19"/>
      <c r="G57" s="19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3"/>
      <c r="C58" s="19"/>
      <c r="D58" s="19"/>
      <c r="E58" s="19"/>
      <c r="F58" s="19"/>
      <c r="G58" s="19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3"/>
      <c r="C59" s="19"/>
      <c r="D59" s="19"/>
      <c r="E59" s="19"/>
      <c r="F59" s="19"/>
      <c r="G59" s="19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19"/>
      <c r="D60" s="19"/>
      <c r="E60" s="19"/>
      <c r="F60" s="19"/>
      <c r="G60" s="19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19"/>
      <c r="D61" s="19"/>
      <c r="E61" s="19"/>
      <c r="F61" s="19"/>
      <c r="G61" s="19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19"/>
      <c r="D62" s="19"/>
      <c r="E62" s="19"/>
      <c r="F62" s="19"/>
      <c r="G62" s="19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19"/>
      <c r="D63" s="19"/>
      <c r="E63" s="19"/>
      <c r="F63" s="19"/>
      <c r="G63" s="19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19"/>
      <c r="D64" s="19"/>
      <c r="E64" s="19"/>
      <c r="F64" s="19"/>
      <c r="G64" s="19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9"/>
      <c r="D65" s="19"/>
      <c r="E65" s="19"/>
      <c r="F65" s="19"/>
      <c r="G65" s="19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9"/>
      <c r="D66" s="19"/>
      <c r="E66" s="19"/>
      <c r="F66" s="19"/>
      <c r="G66" s="19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9"/>
      <c r="D67" s="19"/>
      <c r="E67" s="19"/>
      <c r="F67" s="19"/>
      <c r="G67" s="19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9"/>
      <c r="D68" s="19"/>
      <c r="E68" s="19"/>
      <c r="F68" s="19"/>
      <c r="G68" s="19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9"/>
      <c r="D69" s="19"/>
      <c r="E69" s="19"/>
      <c r="F69" s="19"/>
      <c r="G69" s="19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9"/>
      <c r="D70" s="19"/>
      <c r="E70" s="19"/>
      <c r="F70" s="19"/>
      <c r="G70" s="19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9"/>
      <c r="D71" s="19"/>
      <c r="E71" s="19"/>
      <c r="F71" s="19"/>
      <c r="G71" s="19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9"/>
      <c r="D72" s="19"/>
      <c r="E72" s="19"/>
      <c r="F72" s="19"/>
      <c r="G72" s="19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9"/>
      <c r="D73" s="19"/>
      <c r="E73" s="19"/>
      <c r="F73" s="19"/>
      <c r="G73" s="19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9"/>
      <c r="D74" s="19"/>
      <c r="E74" s="19"/>
      <c r="F74" s="19"/>
      <c r="G74" s="19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9"/>
      <c r="D75" s="19"/>
      <c r="E75" s="19"/>
      <c r="F75" s="19"/>
      <c r="G75" s="19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9"/>
      <c r="D76" s="19"/>
      <c r="E76" s="19"/>
      <c r="F76" s="19"/>
      <c r="G76" s="19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9"/>
      <c r="D77" s="19"/>
      <c r="E77" s="19"/>
      <c r="F77" s="19"/>
      <c r="G77" s="19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9"/>
      <c r="D78" s="19"/>
      <c r="E78" s="19"/>
      <c r="F78" s="19"/>
      <c r="G78" s="19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9"/>
      <c r="D79" s="19"/>
      <c r="E79" s="19"/>
      <c r="F79" s="19"/>
      <c r="G79" s="19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9"/>
      <c r="D80" s="19"/>
      <c r="E80" s="19"/>
      <c r="F80" s="19"/>
      <c r="G80" s="19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9"/>
      <c r="D81" s="19"/>
      <c r="E81" s="19"/>
      <c r="F81" s="19"/>
      <c r="G81" s="19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9"/>
      <c r="D82" s="19"/>
      <c r="E82" s="19"/>
      <c r="F82" s="19"/>
      <c r="G82" s="19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9"/>
      <c r="D83" s="19"/>
      <c r="E83" s="19"/>
      <c r="F83" s="19"/>
      <c r="G83" s="19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9"/>
      <c r="D84" s="19"/>
      <c r="E84" s="19"/>
      <c r="F84" s="19"/>
      <c r="G84" s="19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9"/>
      <c r="D85" s="19"/>
      <c r="E85" s="19"/>
      <c r="F85" s="19"/>
      <c r="G85" s="19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9"/>
      <c r="D86" s="19"/>
      <c r="E86" s="19"/>
      <c r="F86" s="19"/>
      <c r="G86" s="19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9"/>
      <c r="D87" s="19"/>
      <c r="E87" s="19"/>
      <c r="F87" s="19"/>
      <c r="G87" s="19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9"/>
      <c r="D88" s="19"/>
      <c r="E88" s="19"/>
      <c r="F88" s="19"/>
      <c r="G88" s="19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9"/>
      <c r="D89" s="19"/>
      <c r="E89" s="19"/>
      <c r="F89" s="19"/>
      <c r="G89" s="19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9"/>
      <c r="D90" s="19"/>
      <c r="E90" s="19"/>
      <c r="F90" s="19"/>
      <c r="G90" s="19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9"/>
      <c r="D91" s="19"/>
      <c r="E91" s="19"/>
      <c r="F91" s="19"/>
      <c r="G91" s="19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9"/>
      <c r="D92" s="19"/>
      <c r="E92" s="19"/>
      <c r="F92" s="19"/>
      <c r="G92" s="19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9"/>
      <c r="D93" s="19"/>
      <c r="E93" s="19"/>
      <c r="F93" s="19"/>
      <c r="G93" s="19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9"/>
      <c r="D94" s="19"/>
      <c r="E94" s="19"/>
      <c r="F94" s="19"/>
      <c r="G94" s="19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9"/>
      <c r="D95" s="19"/>
      <c r="E95" s="19"/>
      <c r="F95" s="19"/>
      <c r="G95" s="19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9"/>
      <c r="D96" s="19"/>
      <c r="E96" s="19"/>
      <c r="F96" s="19"/>
      <c r="G96" s="19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9"/>
      <c r="D97" s="19"/>
      <c r="E97" s="19"/>
      <c r="F97" s="19"/>
      <c r="G97" s="19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9"/>
      <c r="D98" s="19"/>
      <c r="E98" s="19"/>
      <c r="F98" s="19"/>
      <c r="G98" s="19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9"/>
      <c r="D99" s="19"/>
      <c r="E99" s="19"/>
      <c r="F99" s="19"/>
      <c r="G99" s="19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9"/>
      <c r="D100" s="19"/>
      <c r="E100" s="19"/>
      <c r="F100" s="19"/>
      <c r="G100" s="19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9"/>
      <c r="D101" s="19"/>
      <c r="E101" s="19"/>
      <c r="F101" s="19"/>
      <c r="G101" s="19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9"/>
      <c r="D102" s="19"/>
      <c r="E102" s="19"/>
      <c r="F102" s="19"/>
      <c r="G102" s="19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9"/>
      <c r="D103" s="19"/>
      <c r="E103" s="19"/>
      <c r="F103" s="19"/>
      <c r="G103" s="19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9"/>
      <c r="D104" s="19"/>
      <c r="E104" s="19"/>
      <c r="F104" s="19"/>
      <c r="G104" s="19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9"/>
      <c r="D105" s="19"/>
      <c r="E105" s="19"/>
      <c r="F105" s="19"/>
      <c r="G105" s="19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9"/>
      <c r="D106" s="19"/>
      <c r="E106" s="19"/>
      <c r="F106" s="19"/>
      <c r="G106" s="19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9"/>
      <c r="D107" s="19"/>
      <c r="E107" s="19"/>
      <c r="F107" s="19"/>
      <c r="G107" s="19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9"/>
      <c r="D108" s="19"/>
      <c r="E108" s="19"/>
      <c r="F108" s="19"/>
      <c r="G108" s="19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9"/>
      <c r="D109" s="19"/>
      <c r="E109" s="19"/>
      <c r="F109" s="19"/>
      <c r="G109" s="19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9"/>
      <c r="D110" s="19"/>
      <c r="E110" s="19"/>
      <c r="F110" s="19"/>
      <c r="G110" s="19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9"/>
      <c r="D111" s="19"/>
      <c r="E111" s="19"/>
      <c r="F111" s="19"/>
      <c r="G111" s="19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9"/>
      <c r="D112" s="19"/>
      <c r="E112" s="19"/>
      <c r="F112" s="19"/>
      <c r="G112" s="19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9"/>
      <c r="D113" s="19"/>
      <c r="E113" s="19"/>
      <c r="F113" s="19"/>
      <c r="G113" s="19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9"/>
      <c r="D114" s="19"/>
      <c r="E114" s="19"/>
      <c r="F114" s="19"/>
      <c r="G114" s="19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9"/>
      <c r="D115" s="19"/>
      <c r="E115" s="19"/>
      <c r="F115" s="19"/>
      <c r="G115" s="19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9"/>
      <c r="D116" s="19"/>
      <c r="E116" s="19"/>
      <c r="F116" s="19"/>
      <c r="G116" s="19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9"/>
      <c r="D117" s="19"/>
      <c r="E117" s="19"/>
      <c r="F117" s="19"/>
      <c r="G117" s="19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9"/>
      <c r="D118" s="19"/>
      <c r="E118" s="19"/>
      <c r="F118" s="19"/>
      <c r="G118" s="19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9"/>
      <c r="D119" s="19"/>
      <c r="E119" s="19"/>
      <c r="F119" s="19"/>
      <c r="G119" s="19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9"/>
      <c r="D120" s="19"/>
      <c r="E120" s="19"/>
      <c r="F120" s="19"/>
      <c r="G120" s="19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9"/>
      <c r="D121" s="19"/>
      <c r="E121" s="19"/>
      <c r="F121" s="19"/>
      <c r="G121" s="19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9"/>
      <c r="D122" s="19"/>
      <c r="E122" s="19"/>
      <c r="F122" s="19"/>
      <c r="G122" s="19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9"/>
      <c r="D123" s="19"/>
      <c r="E123" s="19"/>
      <c r="F123" s="19"/>
      <c r="G123" s="19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9"/>
      <c r="D124" s="19"/>
      <c r="E124" s="19"/>
      <c r="F124" s="19"/>
      <c r="G124" s="19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9"/>
      <c r="D125" s="19"/>
      <c r="E125" s="19"/>
      <c r="F125" s="19"/>
      <c r="G125" s="19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9"/>
      <c r="D126" s="19"/>
      <c r="E126" s="19"/>
      <c r="F126" s="19"/>
      <c r="G126" s="19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9"/>
      <c r="D127" s="19"/>
      <c r="E127" s="19"/>
      <c r="F127" s="19"/>
      <c r="G127" s="19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9"/>
      <c r="D128" s="19"/>
      <c r="E128" s="19"/>
      <c r="F128" s="19"/>
      <c r="G128" s="19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9"/>
      <c r="D129" s="19"/>
      <c r="E129" s="19"/>
      <c r="F129" s="19"/>
      <c r="G129" s="19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9"/>
      <c r="D130" s="19"/>
      <c r="E130" s="19"/>
      <c r="F130" s="19"/>
      <c r="G130" s="19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9"/>
      <c r="D131" s="19"/>
      <c r="E131" s="19"/>
      <c r="F131" s="19"/>
      <c r="G131" s="19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9"/>
      <c r="D132" s="19"/>
      <c r="E132" s="19"/>
      <c r="F132" s="19"/>
      <c r="G132" s="19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9"/>
      <c r="D133" s="19"/>
      <c r="E133" s="19"/>
      <c r="F133" s="19"/>
      <c r="G133" s="19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9"/>
      <c r="D134" s="19"/>
      <c r="E134" s="19"/>
      <c r="F134" s="19"/>
      <c r="G134" s="19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9"/>
      <c r="D135" s="19"/>
      <c r="E135" s="19"/>
      <c r="F135" s="19"/>
      <c r="G135" s="19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9"/>
      <c r="D136" s="19"/>
      <c r="E136" s="19"/>
      <c r="F136" s="19"/>
      <c r="G136" s="19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9"/>
      <c r="D137" s="19"/>
      <c r="E137" s="19"/>
      <c r="F137" s="19"/>
      <c r="G137" s="19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9"/>
      <c r="D138" s="19"/>
      <c r="E138" s="19"/>
      <c r="F138" s="19"/>
      <c r="G138" s="19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9"/>
      <c r="D139" s="19"/>
      <c r="E139" s="19"/>
      <c r="F139" s="19"/>
      <c r="G139" s="19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9"/>
      <c r="D140" s="19"/>
      <c r="E140" s="19"/>
      <c r="F140" s="19"/>
      <c r="G140" s="19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9"/>
      <c r="D141" s="19"/>
      <c r="E141" s="19"/>
      <c r="F141" s="19"/>
      <c r="G141" s="19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9"/>
      <c r="D142" s="19"/>
      <c r="E142" s="19"/>
      <c r="F142" s="19"/>
      <c r="G142" s="19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9"/>
      <c r="D143" s="19"/>
      <c r="E143" s="19"/>
      <c r="F143" s="19"/>
      <c r="G143" s="19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9"/>
      <c r="D144" s="19"/>
      <c r="E144" s="19"/>
      <c r="F144" s="19"/>
      <c r="G144" s="19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9"/>
      <c r="D145" s="19"/>
      <c r="E145" s="19"/>
      <c r="F145" s="19"/>
      <c r="G145" s="19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9"/>
      <c r="D146" s="19"/>
      <c r="E146" s="19"/>
      <c r="F146" s="19"/>
      <c r="G146" s="19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9"/>
      <c r="D147" s="19"/>
      <c r="E147" s="19"/>
      <c r="F147" s="19"/>
      <c r="G147" s="19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9"/>
      <c r="D148" s="19"/>
      <c r="E148" s="19"/>
      <c r="F148" s="19"/>
      <c r="G148" s="19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9"/>
      <c r="D149" s="19"/>
      <c r="E149" s="19"/>
      <c r="F149" s="19"/>
      <c r="G149" s="19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9"/>
      <c r="D150" s="19"/>
      <c r="E150" s="19"/>
      <c r="F150" s="19"/>
      <c r="G150" s="19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9"/>
      <c r="D151" s="19"/>
      <c r="E151" s="19"/>
      <c r="F151" s="19"/>
      <c r="G151" s="19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9"/>
      <c r="D152" s="19"/>
      <c r="E152" s="19"/>
      <c r="F152" s="19"/>
      <c r="G152" s="19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9"/>
      <c r="D153" s="19"/>
      <c r="E153" s="19"/>
      <c r="F153" s="19"/>
      <c r="G153" s="19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9"/>
      <c r="D154" s="19"/>
      <c r="E154" s="19"/>
      <c r="F154" s="19"/>
      <c r="G154" s="19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9"/>
      <c r="D155" s="19"/>
      <c r="E155" s="19"/>
      <c r="F155" s="19"/>
      <c r="G155" s="19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9"/>
      <c r="D156" s="19"/>
      <c r="E156" s="19"/>
      <c r="F156" s="19"/>
      <c r="G156" s="19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9"/>
      <c r="D157" s="19"/>
      <c r="E157" s="19"/>
      <c r="F157" s="19"/>
      <c r="G157" s="19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9"/>
      <c r="D158" s="19"/>
      <c r="E158" s="19"/>
      <c r="F158" s="19"/>
      <c r="G158" s="19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9"/>
      <c r="D159" s="19"/>
      <c r="E159" s="19"/>
      <c r="F159" s="19"/>
      <c r="G159" s="19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9"/>
      <c r="D160" s="19"/>
      <c r="E160" s="19"/>
      <c r="F160" s="19"/>
      <c r="G160" s="19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9"/>
      <c r="D161" s="19"/>
      <c r="E161" s="19"/>
      <c r="F161" s="19"/>
      <c r="G161" s="19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9"/>
      <c r="D162" s="19"/>
      <c r="E162" s="19"/>
      <c r="F162" s="19"/>
      <c r="G162" s="19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9"/>
      <c r="D163" s="19"/>
      <c r="E163" s="19"/>
      <c r="F163" s="19"/>
      <c r="G163" s="19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9"/>
      <c r="D164" s="19"/>
      <c r="E164" s="19"/>
      <c r="F164" s="19"/>
      <c r="G164" s="19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9"/>
      <c r="D165" s="19"/>
      <c r="E165" s="19"/>
      <c r="F165" s="19"/>
      <c r="G165" s="19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9"/>
      <c r="D166" s="19"/>
      <c r="E166" s="19"/>
      <c r="F166" s="19"/>
      <c r="G166" s="19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9"/>
      <c r="D167" s="19"/>
      <c r="E167" s="19"/>
      <c r="F167" s="19"/>
      <c r="G167" s="19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9"/>
      <c r="D168" s="19"/>
      <c r="E168" s="19"/>
      <c r="F168" s="19"/>
      <c r="G168" s="19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9"/>
      <c r="D169" s="19"/>
      <c r="E169" s="19"/>
      <c r="F169" s="19"/>
      <c r="G169" s="19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9"/>
      <c r="D170" s="19"/>
      <c r="E170" s="19"/>
      <c r="F170" s="19"/>
      <c r="G170" s="19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9"/>
      <c r="D171" s="19"/>
      <c r="E171" s="19"/>
      <c r="F171" s="19"/>
      <c r="G171" s="19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9"/>
      <c r="D172" s="19"/>
      <c r="E172" s="19"/>
      <c r="F172" s="19"/>
      <c r="G172" s="19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9"/>
      <c r="D173" s="19"/>
      <c r="E173" s="19"/>
      <c r="F173" s="19"/>
      <c r="G173" s="19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9"/>
      <c r="D174" s="19"/>
      <c r="E174" s="19"/>
      <c r="F174" s="19"/>
      <c r="G174" s="19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9"/>
      <c r="D175" s="19"/>
      <c r="E175" s="19"/>
      <c r="F175" s="19"/>
      <c r="G175" s="19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9"/>
      <c r="D176" s="19"/>
      <c r="E176" s="19"/>
      <c r="F176" s="19"/>
      <c r="G176" s="19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9"/>
      <c r="D177" s="19"/>
      <c r="E177" s="19"/>
      <c r="F177" s="19"/>
      <c r="G177" s="19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9"/>
      <c r="D178" s="19"/>
      <c r="E178" s="19"/>
      <c r="F178" s="19"/>
      <c r="G178" s="19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9"/>
      <c r="D179" s="19"/>
      <c r="E179" s="19"/>
      <c r="F179" s="19"/>
      <c r="G179" s="19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9"/>
      <c r="D180" s="19"/>
      <c r="E180" s="19"/>
      <c r="F180" s="19"/>
      <c r="G180" s="19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9"/>
      <c r="D181" s="19"/>
      <c r="E181" s="19"/>
      <c r="F181" s="19"/>
      <c r="G181" s="19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9"/>
      <c r="D182" s="19"/>
      <c r="E182" s="19"/>
      <c r="F182" s="19"/>
      <c r="G182" s="19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9"/>
      <c r="D183" s="19"/>
      <c r="E183" s="19"/>
      <c r="F183" s="19"/>
      <c r="G183" s="19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9"/>
      <c r="D184" s="19"/>
      <c r="E184" s="19"/>
      <c r="F184" s="19"/>
      <c r="G184" s="19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9"/>
      <c r="D185" s="19"/>
      <c r="E185" s="19"/>
      <c r="F185" s="19"/>
      <c r="G185" s="19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9"/>
      <c r="D186" s="19"/>
      <c r="E186" s="19"/>
      <c r="F186" s="19"/>
      <c r="G186" s="19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9"/>
      <c r="D187" s="19"/>
      <c r="E187" s="19"/>
      <c r="F187" s="19"/>
      <c r="G187" s="19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9"/>
      <c r="D188" s="19"/>
      <c r="E188" s="19"/>
      <c r="F188" s="19"/>
      <c r="G188" s="19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9"/>
      <c r="D189" s="19"/>
      <c r="E189" s="19"/>
      <c r="F189" s="19"/>
      <c r="G189" s="19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9"/>
      <c r="D190" s="19"/>
      <c r="E190" s="19"/>
      <c r="F190" s="19"/>
      <c r="G190" s="19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9"/>
      <c r="D191" s="19"/>
      <c r="E191" s="19"/>
      <c r="F191" s="19"/>
      <c r="G191" s="19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9"/>
      <c r="D192" s="19"/>
      <c r="E192" s="19"/>
      <c r="F192" s="19"/>
      <c r="G192" s="19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9"/>
      <c r="D193" s="19"/>
      <c r="E193" s="19"/>
      <c r="F193" s="19"/>
      <c r="G193" s="19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9"/>
      <c r="D194" s="19"/>
      <c r="E194" s="19"/>
      <c r="F194" s="19"/>
      <c r="G194" s="19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9"/>
      <c r="D195" s="19"/>
      <c r="E195" s="19"/>
      <c r="F195" s="19"/>
      <c r="G195" s="19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9"/>
      <c r="D196" s="19"/>
      <c r="E196" s="19"/>
      <c r="F196" s="19"/>
      <c r="G196" s="19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9"/>
      <c r="D197" s="19"/>
      <c r="E197" s="19"/>
      <c r="F197" s="19"/>
      <c r="G197" s="19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9"/>
      <c r="D198" s="19"/>
      <c r="E198" s="19"/>
      <c r="F198" s="19"/>
      <c r="G198" s="19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9"/>
      <c r="D199" s="19"/>
      <c r="E199" s="19"/>
      <c r="F199" s="19"/>
      <c r="G199" s="19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9"/>
      <c r="D200" s="19"/>
      <c r="E200" s="19"/>
      <c r="F200" s="19"/>
      <c r="G200" s="19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9"/>
      <c r="D201" s="19"/>
      <c r="E201" s="19"/>
      <c r="F201" s="19"/>
      <c r="G201" s="19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9"/>
      <c r="D202" s="19"/>
      <c r="E202" s="19"/>
      <c r="F202" s="19"/>
      <c r="G202" s="19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9"/>
      <c r="D203" s="19"/>
      <c r="E203" s="19"/>
      <c r="F203" s="19"/>
      <c r="G203" s="19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9"/>
      <c r="D204" s="19"/>
      <c r="E204" s="19"/>
      <c r="F204" s="19"/>
      <c r="G204" s="19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9"/>
      <c r="D205" s="19"/>
      <c r="E205" s="19"/>
      <c r="F205" s="19"/>
      <c r="G205" s="19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9"/>
      <c r="D206" s="19"/>
      <c r="E206" s="19"/>
      <c r="F206" s="19"/>
      <c r="G206" s="19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9"/>
      <c r="D207" s="19"/>
      <c r="E207" s="19"/>
      <c r="F207" s="19"/>
      <c r="G207" s="19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9"/>
      <c r="D208" s="19"/>
      <c r="E208" s="19"/>
      <c r="F208" s="19"/>
      <c r="G208" s="19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9"/>
      <c r="D209" s="19"/>
      <c r="E209" s="19"/>
      <c r="F209" s="19"/>
      <c r="G209" s="19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9"/>
      <c r="D210" s="19"/>
      <c r="E210" s="19"/>
      <c r="F210" s="19"/>
      <c r="G210" s="19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9"/>
      <c r="D211" s="19"/>
      <c r="E211" s="19"/>
      <c r="F211" s="19"/>
      <c r="G211" s="19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9"/>
      <c r="D212" s="19"/>
      <c r="E212" s="19"/>
      <c r="F212" s="19"/>
      <c r="G212" s="19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9"/>
      <c r="D213" s="19"/>
      <c r="E213" s="19"/>
      <c r="F213" s="19"/>
      <c r="G213" s="19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9"/>
      <c r="D214" s="19"/>
      <c r="E214" s="19"/>
      <c r="F214" s="19"/>
      <c r="G214" s="19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9"/>
      <c r="D215" s="19"/>
      <c r="E215" s="19"/>
      <c r="F215" s="19"/>
      <c r="G215" s="19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9"/>
      <c r="D216" s="19"/>
      <c r="E216" s="19"/>
      <c r="F216" s="19"/>
      <c r="G216" s="19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9"/>
      <c r="D217" s="19"/>
      <c r="E217" s="19"/>
      <c r="F217" s="19"/>
      <c r="G217" s="19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9"/>
      <c r="D218" s="19"/>
      <c r="E218" s="19"/>
      <c r="F218" s="19"/>
      <c r="G218" s="19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9"/>
      <c r="D219" s="19"/>
      <c r="E219" s="19"/>
      <c r="F219" s="19"/>
      <c r="G219" s="19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9"/>
      <c r="D220" s="19"/>
      <c r="E220" s="19"/>
      <c r="F220" s="19"/>
      <c r="G220" s="19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9"/>
      <c r="D221" s="19"/>
      <c r="E221" s="19"/>
      <c r="F221" s="19"/>
      <c r="G221" s="19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9"/>
      <c r="D222" s="19"/>
      <c r="E222" s="19"/>
      <c r="F222" s="19"/>
      <c r="G222" s="19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9"/>
      <c r="D223" s="19"/>
      <c r="E223" s="19"/>
      <c r="F223" s="19"/>
      <c r="G223" s="19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9"/>
      <c r="D224" s="19"/>
      <c r="E224" s="19"/>
      <c r="F224" s="19"/>
      <c r="G224" s="19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9"/>
      <c r="D225" s="19"/>
      <c r="E225" s="19"/>
      <c r="F225" s="19"/>
      <c r="G225" s="19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9"/>
      <c r="D226" s="19"/>
      <c r="E226" s="19"/>
      <c r="F226" s="19"/>
      <c r="G226" s="19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9"/>
      <c r="D227" s="19"/>
      <c r="E227" s="19"/>
      <c r="F227" s="19"/>
      <c r="G227" s="19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9"/>
      <c r="D228" s="19"/>
      <c r="E228" s="19"/>
      <c r="F228" s="19"/>
      <c r="G228" s="19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9"/>
      <c r="D229" s="19"/>
      <c r="E229" s="19"/>
      <c r="F229" s="19"/>
      <c r="G229" s="19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9"/>
      <c r="D230" s="19"/>
      <c r="E230" s="19"/>
      <c r="F230" s="19"/>
      <c r="G230" s="19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9"/>
      <c r="D231" s="19"/>
      <c r="E231" s="19"/>
      <c r="F231" s="19"/>
      <c r="G231" s="19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9"/>
      <c r="D232" s="19"/>
      <c r="E232" s="19"/>
      <c r="F232" s="19"/>
      <c r="G232" s="19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9"/>
      <c r="D233" s="19"/>
      <c r="E233" s="19"/>
      <c r="F233" s="19"/>
      <c r="G233" s="19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9"/>
      <c r="D234" s="19"/>
      <c r="E234" s="19"/>
      <c r="F234" s="19"/>
      <c r="G234" s="19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9"/>
      <c r="D235" s="19"/>
      <c r="E235" s="19"/>
      <c r="F235" s="19"/>
      <c r="G235" s="19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9"/>
      <c r="D236" s="19"/>
      <c r="E236" s="19"/>
      <c r="F236" s="19"/>
      <c r="G236" s="19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9"/>
      <c r="D237" s="19"/>
      <c r="E237" s="19"/>
      <c r="F237" s="19"/>
      <c r="G237" s="19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9"/>
      <c r="D238" s="19"/>
      <c r="E238" s="19"/>
      <c r="F238" s="19"/>
      <c r="G238" s="19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9"/>
      <c r="D239" s="19"/>
      <c r="E239" s="19"/>
      <c r="F239" s="19"/>
      <c r="G239" s="19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9"/>
      <c r="D240" s="19"/>
      <c r="E240" s="19"/>
      <c r="F240" s="19"/>
      <c r="G240" s="19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9"/>
      <c r="D241" s="19"/>
      <c r="E241" s="19"/>
      <c r="F241" s="19"/>
      <c r="G241" s="19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9"/>
      <c r="D242" s="19"/>
      <c r="E242" s="19"/>
      <c r="F242" s="19"/>
      <c r="G242" s="19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9"/>
      <c r="D243" s="19"/>
      <c r="E243" s="19"/>
      <c r="F243" s="19"/>
      <c r="G243" s="19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9"/>
      <c r="D244" s="19"/>
      <c r="E244" s="19"/>
      <c r="F244" s="19"/>
      <c r="G244" s="19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9"/>
      <c r="D245" s="19"/>
      <c r="E245" s="19"/>
      <c r="F245" s="19"/>
      <c r="G245" s="19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9"/>
      <c r="D246" s="19"/>
      <c r="E246" s="19"/>
      <c r="F246" s="19"/>
      <c r="G246" s="19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9"/>
      <c r="D247" s="19"/>
      <c r="E247" s="19"/>
      <c r="F247" s="19"/>
      <c r="G247" s="19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9"/>
      <c r="D248" s="19"/>
      <c r="E248" s="19"/>
      <c r="F248" s="19"/>
      <c r="G248" s="19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9"/>
      <c r="D249" s="19"/>
      <c r="E249" s="19"/>
      <c r="F249" s="19"/>
      <c r="G249" s="19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9"/>
      <c r="D250" s="19"/>
      <c r="E250" s="19"/>
      <c r="F250" s="19"/>
      <c r="G250" s="19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9"/>
      <c r="D251" s="19"/>
      <c r="E251" s="19"/>
      <c r="F251" s="19"/>
      <c r="G251" s="19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9"/>
      <c r="D252" s="19"/>
      <c r="E252" s="19"/>
      <c r="F252" s="19"/>
      <c r="G252" s="19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9"/>
      <c r="D253" s="19"/>
      <c r="E253" s="19"/>
      <c r="F253" s="19"/>
      <c r="G253" s="19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9"/>
      <c r="D254" s="19"/>
      <c r="E254" s="19"/>
      <c r="F254" s="19"/>
      <c r="G254" s="19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9"/>
      <c r="D255" s="19"/>
      <c r="E255" s="19"/>
      <c r="F255" s="19"/>
      <c r="G255" s="19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9"/>
      <c r="D256" s="19"/>
      <c r="E256" s="19"/>
      <c r="F256" s="19"/>
      <c r="G256" s="19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9"/>
      <c r="D257" s="19"/>
      <c r="E257" s="19"/>
      <c r="F257" s="19"/>
      <c r="G257" s="19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9"/>
      <c r="D258" s="19"/>
      <c r="E258" s="19"/>
      <c r="F258" s="19"/>
      <c r="G258" s="19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9"/>
      <c r="D259" s="19"/>
      <c r="E259" s="19"/>
      <c r="F259" s="19"/>
      <c r="G259" s="19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9"/>
      <c r="D260" s="19"/>
      <c r="E260" s="19"/>
      <c r="F260" s="19"/>
      <c r="G260" s="19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9"/>
      <c r="D261" s="19"/>
      <c r="E261" s="19"/>
      <c r="F261" s="19"/>
      <c r="G261" s="19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9"/>
      <c r="D262" s="19"/>
      <c r="E262" s="19"/>
      <c r="F262" s="19"/>
      <c r="G262" s="19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9"/>
      <c r="D263" s="19"/>
      <c r="E263" s="19"/>
      <c r="F263" s="19"/>
      <c r="G263" s="19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9"/>
      <c r="D264" s="19"/>
      <c r="E264" s="19"/>
      <c r="F264" s="19"/>
      <c r="G264" s="19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9"/>
      <c r="D265" s="19"/>
      <c r="E265" s="19"/>
      <c r="F265" s="19"/>
      <c r="G265" s="19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9"/>
      <c r="D266" s="19"/>
      <c r="E266" s="19"/>
      <c r="F266" s="19"/>
      <c r="G266" s="19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9"/>
      <c r="D267" s="19"/>
      <c r="E267" s="19"/>
      <c r="F267" s="19"/>
      <c r="G267" s="19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9"/>
      <c r="D268" s="19"/>
      <c r="E268" s="19"/>
      <c r="F268" s="19"/>
      <c r="G268" s="19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9"/>
      <c r="D269" s="19"/>
      <c r="E269" s="19"/>
      <c r="F269" s="19"/>
      <c r="G269" s="19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9"/>
      <c r="D270" s="19"/>
      <c r="E270" s="19"/>
      <c r="F270" s="19"/>
      <c r="G270" s="19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9"/>
      <c r="D271" s="19"/>
      <c r="E271" s="19"/>
      <c r="F271" s="19"/>
      <c r="G271" s="19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9"/>
      <c r="D272" s="19"/>
      <c r="E272" s="19"/>
      <c r="F272" s="19"/>
      <c r="G272" s="19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9"/>
      <c r="D273" s="19"/>
      <c r="E273" s="19"/>
      <c r="F273" s="19"/>
      <c r="G273" s="19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9"/>
      <c r="D274" s="19"/>
      <c r="E274" s="19"/>
      <c r="F274" s="19"/>
      <c r="G274" s="19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9"/>
      <c r="D275" s="19"/>
      <c r="E275" s="19"/>
      <c r="F275" s="19"/>
      <c r="G275" s="19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9"/>
      <c r="D276" s="19"/>
      <c r="E276" s="19"/>
      <c r="F276" s="19"/>
      <c r="G276" s="19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9"/>
      <c r="D277" s="19"/>
      <c r="E277" s="19"/>
      <c r="F277" s="19"/>
      <c r="G277" s="19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9"/>
      <c r="D278" s="19"/>
      <c r="E278" s="19"/>
      <c r="F278" s="19"/>
      <c r="G278" s="19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9"/>
      <c r="D279" s="19"/>
      <c r="E279" s="19"/>
      <c r="F279" s="19"/>
      <c r="G279" s="19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9"/>
      <c r="D280" s="19"/>
      <c r="E280" s="19"/>
      <c r="F280" s="19"/>
      <c r="G280" s="19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9"/>
      <c r="D281" s="19"/>
      <c r="E281" s="19"/>
      <c r="F281" s="19"/>
      <c r="G281" s="19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9"/>
      <c r="D282" s="19"/>
      <c r="E282" s="19"/>
      <c r="F282" s="19"/>
      <c r="G282" s="19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9"/>
      <c r="D283" s="19"/>
      <c r="E283" s="19"/>
      <c r="F283" s="19"/>
      <c r="G283" s="19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9"/>
      <c r="D284" s="19"/>
      <c r="E284" s="19"/>
      <c r="F284" s="19"/>
      <c r="G284" s="19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9"/>
      <c r="D285" s="19"/>
      <c r="E285" s="19"/>
      <c r="F285" s="19"/>
      <c r="G285" s="19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9"/>
      <c r="D286" s="19"/>
      <c r="E286" s="19"/>
      <c r="F286" s="19"/>
      <c r="G286" s="19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9"/>
      <c r="D287" s="19"/>
      <c r="E287" s="19"/>
      <c r="F287" s="19"/>
      <c r="G287" s="19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9"/>
      <c r="D288" s="19"/>
      <c r="E288" s="19"/>
      <c r="F288" s="19"/>
      <c r="G288" s="19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9"/>
      <c r="D289" s="19"/>
      <c r="E289" s="19"/>
      <c r="F289" s="19"/>
      <c r="G289" s="19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9"/>
      <c r="D290" s="19"/>
      <c r="E290" s="19"/>
      <c r="F290" s="19"/>
      <c r="G290" s="19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9"/>
      <c r="D291" s="19"/>
      <c r="E291" s="19"/>
      <c r="F291" s="19"/>
      <c r="G291" s="19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9"/>
      <c r="D292" s="19"/>
      <c r="E292" s="19"/>
      <c r="F292" s="19"/>
      <c r="G292" s="19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9"/>
      <c r="D293" s="19"/>
      <c r="E293" s="19"/>
      <c r="F293" s="19"/>
      <c r="G293" s="19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9"/>
      <c r="D294" s="19"/>
      <c r="E294" s="19"/>
      <c r="F294" s="19"/>
      <c r="G294" s="19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9"/>
      <c r="D295" s="19"/>
      <c r="E295" s="19"/>
      <c r="F295" s="19"/>
      <c r="G295" s="19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9"/>
      <c r="D296" s="19"/>
      <c r="E296" s="19"/>
      <c r="F296" s="19"/>
      <c r="G296" s="19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9"/>
      <c r="D297" s="19"/>
      <c r="E297" s="19"/>
      <c r="F297" s="19"/>
      <c r="G297" s="19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9"/>
      <c r="D298" s="19"/>
      <c r="E298" s="19"/>
      <c r="F298" s="19"/>
      <c r="G298" s="19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9"/>
      <c r="D299" s="19"/>
      <c r="E299" s="19"/>
      <c r="F299" s="19"/>
      <c r="G299" s="19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9"/>
      <c r="D300" s="19"/>
      <c r="E300" s="19"/>
      <c r="F300" s="19"/>
      <c r="G300" s="19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9"/>
      <c r="D301" s="19"/>
      <c r="E301" s="19"/>
      <c r="F301" s="19"/>
      <c r="G301" s="19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9"/>
      <c r="D302" s="19"/>
      <c r="E302" s="19"/>
      <c r="F302" s="19"/>
      <c r="G302" s="19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9"/>
      <c r="D303" s="19"/>
      <c r="E303" s="19"/>
      <c r="F303" s="19"/>
      <c r="G303" s="19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9"/>
      <c r="D304" s="19"/>
      <c r="E304" s="19"/>
      <c r="F304" s="19"/>
      <c r="G304" s="19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9"/>
      <c r="D305" s="19"/>
      <c r="E305" s="19"/>
      <c r="F305" s="19"/>
      <c r="G305" s="19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9"/>
      <c r="D306" s="19"/>
      <c r="E306" s="19"/>
      <c r="F306" s="19"/>
      <c r="G306" s="19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9"/>
      <c r="D307" s="19"/>
      <c r="E307" s="19"/>
      <c r="F307" s="19"/>
      <c r="G307" s="19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9"/>
      <c r="D308" s="19"/>
      <c r="E308" s="19"/>
      <c r="F308" s="19"/>
      <c r="G308" s="19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9"/>
      <c r="D309" s="19"/>
      <c r="E309" s="19"/>
      <c r="F309" s="19"/>
      <c r="G309" s="19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9"/>
      <c r="D310" s="19"/>
      <c r="E310" s="19"/>
      <c r="F310" s="19"/>
      <c r="G310" s="19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9"/>
      <c r="D311" s="19"/>
      <c r="E311" s="19"/>
      <c r="F311" s="19"/>
      <c r="G311" s="19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9"/>
      <c r="D312" s="19"/>
      <c r="E312" s="19"/>
      <c r="F312" s="19"/>
      <c r="G312" s="19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9"/>
      <c r="D313" s="19"/>
      <c r="E313" s="19"/>
      <c r="F313" s="19"/>
      <c r="G313" s="19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9"/>
      <c r="D314" s="19"/>
      <c r="E314" s="19"/>
      <c r="F314" s="19"/>
      <c r="G314" s="19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9"/>
      <c r="D315" s="19"/>
      <c r="E315" s="19"/>
      <c r="F315" s="19"/>
      <c r="G315" s="19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9"/>
      <c r="D316" s="19"/>
      <c r="E316" s="19"/>
      <c r="F316" s="19"/>
      <c r="G316" s="19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9"/>
      <c r="D317" s="19"/>
      <c r="E317" s="19"/>
      <c r="F317" s="19"/>
      <c r="G317" s="19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9"/>
      <c r="D318" s="19"/>
      <c r="E318" s="19"/>
      <c r="F318" s="19"/>
      <c r="G318" s="19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9"/>
      <c r="D319" s="19"/>
      <c r="E319" s="19"/>
      <c r="F319" s="19"/>
      <c r="G319" s="19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9"/>
      <c r="D320" s="19"/>
      <c r="E320" s="19"/>
      <c r="F320" s="19"/>
      <c r="G320" s="19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9"/>
      <c r="D321" s="19"/>
      <c r="E321" s="19"/>
      <c r="F321" s="19"/>
      <c r="G321" s="19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9"/>
      <c r="D322" s="19"/>
      <c r="E322" s="19"/>
      <c r="F322" s="19"/>
      <c r="G322" s="19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9"/>
      <c r="D323" s="19"/>
      <c r="E323" s="19"/>
      <c r="F323" s="19"/>
      <c r="G323" s="19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9"/>
      <c r="D324" s="19"/>
      <c r="E324" s="19"/>
      <c r="F324" s="19"/>
      <c r="G324" s="19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9"/>
      <c r="D325" s="19"/>
      <c r="E325" s="19"/>
      <c r="F325" s="19"/>
      <c r="G325" s="19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9"/>
      <c r="D326" s="19"/>
      <c r="E326" s="19"/>
      <c r="F326" s="19"/>
      <c r="G326" s="19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9"/>
      <c r="D327" s="19"/>
      <c r="E327" s="19"/>
      <c r="F327" s="19"/>
      <c r="G327" s="19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9"/>
      <c r="D328" s="19"/>
      <c r="E328" s="19"/>
      <c r="F328" s="19"/>
      <c r="G328" s="19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9"/>
      <c r="D329" s="19"/>
      <c r="E329" s="19"/>
      <c r="F329" s="19"/>
      <c r="G329" s="19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9"/>
      <c r="D330" s="19"/>
      <c r="E330" s="19"/>
      <c r="F330" s="19"/>
      <c r="G330" s="19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9"/>
      <c r="D331" s="19"/>
      <c r="E331" s="19"/>
      <c r="F331" s="19"/>
      <c r="G331" s="19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9"/>
      <c r="D332" s="19"/>
      <c r="E332" s="19"/>
      <c r="F332" s="19"/>
      <c r="G332" s="19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9"/>
      <c r="D333" s="19"/>
      <c r="E333" s="19"/>
      <c r="F333" s="19"/>
      <c r="G333" s="19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9"/>
      <c r="D334" s="19"/>
      <c r="E334" s="19"/>
      <c r="F334" s="19"/>
      <c r="G334" s="19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9"/>
      <c r="D335" s="19"/>
      <c r="E335" s="19"/>
      <c r="F335" s="19"/>
      <c r="G335" s="19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9"/>
      <c r="D336" s="19"/>
      <c r="E336" s="19"/>
      <c r="F336" s="19"/>
      <c r="G336" s="19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9"/>
      <c r="D337" s="19"/>
      <c r="E337" s="19"/>
      <c r="F337" s="19"/>
      <c r="G337" s="19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9"/>
      <c r="D338" s="19"/>
      <c r="E338" s="19"/>
      <c r="F338" s="19"/>
      <c r="G338" s="19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9"/>
      <c r="D339" s="19"/>
      <c r="E339" s="19"/>
      <c r="F339" s="19"/>
      <c r="G339" s="19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9"/>
      <c r="D340" s="19"/>
      <c r="E340" s="19"/>
      <c r="F340" s="19"/>
      <c r="G340" s="19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9"/>
      <c r="D341" s="19"/>
      <c r="E341" s="19"/>
      <c r="F341" s="19"/>
      <c r="G341" s="19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9"/>
      <c r="D342" s="19"/>
      <c r="E342" s="19"/>
      <c r="F342" s="19"/>
      <c r="G342" s="19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9"/>
      <c r="D343" s="19"/>
      <c r="E343" s="19"/>
      <c r="F343" s="19"/>
      <c r="G343" s="19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9"/>
      <c r="D344" s="19"/>
      <c r="E344" s="19"/>
      <c r="F344" s="19"/>
      <c r="G344" s="19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9"/>
      <c r="D345" s="19"/>
      <c r="E345" s="19"/>
      <c r="F345" s="19"/>
      <c r="G345" s="19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9"/>
      <c r="D346" s="19"/>
      <c r="E346" s="19"/>
      <c r="F346" s="19"/>
      <c r="G346" s="19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9"/>
      <c r="D347" s="19"/>
      <c r="E347" s="19"/>
      <c r="F347" s="19"/>
      <c r="G347" s="19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9"/>
      <c r="D348" s="19"/>
      <c r="E348" s="19"/>
      <c r="F348" s="19"/>
      <c r="G348" s="19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9"/>
      <c r="D349" s="19"/>
      <c r="E349" s="19"/>
      <c r="F349" s="19"/>
      <c r="G349" s="19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9"/>
      <c r="D350" s="19"/>
      <c r="E350" s="19"/>
      <c r="F350" s="19"/>
      <c r="G350" s="19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9"/>
      <c r="D351" s="19"/>
      <c r="E351" s="19"/>
      <c r="F351" s="19"/>
      <c r="G351" s="19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9"/>
      <c r="D352" s="19"/>
      <c r="E352" s="19"/>
      <c r="F352" s="19"/>
      <c r="G352" s="19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9"/>
      <c r="D353" s="19"/>
      <c r="E353" s="19"/>
      <c r="F353" s="19"/>
      <c r="G353" s="19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9"/>
      <c r="D354" s="19"/>
      <c r="E354" s="19"/>
      <c r="F354" s="19"/>
      <c r="G354" s="19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9"/>
      <c r="D355" s="19"/>
      <c r="E355" s="19"/>
      <c r="F355" s="19"/>
      <c r="G355" s="19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9"/>
      <c r="D356" s="19"/>
      <c r="E356" s="19"/>
      <c r="F356" s="19"/>
      <c r="G356" s="19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9"/>
      <c r="D357" s="19"/>
      <c r="E357" s="19"/>
      <c r="F357" s="19"/>
      <c r="G357" s="19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9"/>
      <c r="D358" s="19"/>
      <c r="E358" s="19"/>
      <c r="F358" s="19"/>
      <c r="G358" s="19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9"/>
      <c r="D359" s="19"/>
      <c r="E359" s="19"/>
      <c r="F359" s="19"/>
      <c r="G359" s="19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9"/>
      <c r="D360" s="19"/>
      <c r="E360" s="19"/>
      <c r="F360" s="19"/>
      <c r="G360" s="19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9"/>
      <c r="D361" s="19"/>
      <c r="E361" s="19"/>
      <c r="F361" s="19"/>
      <c r="G361" s="19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9"/>
      <c r="D362" s="19"/>
      <c r="E362" s="19"/>
      <c r="F362" s="19"/>
      <c r="G362" s="19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9"/>
      <c r="D363" s="19"/>
      <c r="E363" s="19"/>
      <c r="F363" s="19"/>
      <c r="G363" s="19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9"/>
      <c r="D364" s="19"/>
      <c r="E364" s="19"/>
      <c r="F364" s="19"/>
      <c r="G364" s="19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9"/>
      <c r="D365" s="19"/>
      <c r="E365" s="19"/>
      <c r="F365" s="19"/>
      <c r="G365" s="19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9"/>
      <c r="D366" s="19"/>
      <c r="E366" s="19"/>
      <c r="F366" s="19"/>
      <c r="G366" s="19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9"/>
      <c r="D367" s="19"/>
      <c r="E367" s="19"/>
      <c r="F367" s="19"/>
      <c r="G367" s="19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9"/>
      <c r="D368" s="19"/>
      <c r="E368" s="19"/>
      <c r="F368" s="19"/>
      <c r="G368" s="19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9"/>
      <c r="D369" s="19"/>
      <c r="E369" s="19"/>
      <c r="F369" s="19"/>
      <c r="G369" s="19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9"/>
      <c r="D370" s="19"/>
      <c r="E370" s="19"/>
      <c r="F370" s="19"/>
      <c r="G370" s="19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9"/>
      <c r="D371" s="19"/>
      <c r="E371" s="19"/>
      <c r="F371" s="19"/>
      <c r="G371" s="19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9"/>
      <c r="D372" s="19"/>
      <c r="E372" s="19"/>
      <c r="F372" s="19"/>
      <c r="G372" s="19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9"/>
      <c r="D373" s="19"/>
      <c r="E373" s="19"/>
      <c r="F373" s="19"/>
      <c r="G373" s="19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9"/>
      <c r="D374" s="19"/>
      <c r="E374" s="19"/>
      <c r="F374" s="19"/>
      <c r="G374" s="19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9"/>
      <c r="D375" s="19"/>
      <c r="E375" s="19"/>
      <c r="F375" s="19"/>
      <c r="G375" s="19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9"/>
      <c r="D376" s="19"/>
      <c r="E376" s="19"/>
      <c r="F376" s="19"/>
      <c r="G376" s="19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9"/>
      <c r="D377" s="19"/>
      <c r="E377" s="19"/>
      <c r="F377" s="19"/>
      <c r="G377" s="19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9"/>
      <c r="D378" s="19"/>
      <c r="E378" s="19"/>
      <c r="F378" s="19"/>
      <c r="G378" s="19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9"/>
      <c r="D379" s="19"/>
      <c r="E379" s="19"/>
      <c r="F379" s="19"/>
      <c r="G379" s="19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9"/>
      <c r="D380" s="19"/>
      <c r="E380" s="19"/>
      <c r="F380" s="19"/>
      <c r="G380" s="19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9"/>
      <c r="D381" s="19"/>
      <c r="E381" s="19"/>
      <c r="F381" s="19"/>
      <c r="G381" s="19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9"/>
      <c r="D382" s="19"/>
      <c r="E382" s="19"/>
      <c r="F382" s="19"/>
      <c r="G382" s="19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9"/>
      <c r="D383" s="19"/>
      <c r="E383" s="19"/>
      <c r="F383" s="19"/>
      <c r="G383" s="19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9"/>
      <c r="D384" s="19"/>
      <c r="E384" s="19"/>
      <c r="F384" s="19"/>
      <c r="G384" s="19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9"/>
      <c r="D385" s="19"/>
      <c r="E385" s="19"/>
      <c r="F385" s="19"/>
      <c r="G385" s="19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9"/>
      <c r="D386" s="19"/>
      <c r="E386" s="19"/>
      <c r="F386" s="19"/>
      <c r="G386" s="19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9"/>
      <c r="D387" s="19"/>
      <c r="E387" s="19"/>
      <c r="F387" s="19"/>
      <c r="G387" s="19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9"/>
      <c r="D388" s="19"/>
      <c r="E388" s="19"/>
      <c r="F388" s="19"/>
      <c r="G388" s="19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9"/>
      <c r="D389" s="19"/>
      <c r="E389" s="19"/>
      <c r="F389" s="19"/>
      <c r="G389" s="19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9"/>
      <c r="D390" s="19"/>
      <c r="E390" s="19"/>
      <c r="F390" s="19"/>
      <c r="G390" s="19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9"/>
      <c r="D391" s="19"/>
      <c r="E391" s="19"/>
      <c r="F391" s="19"/>
      <c r="G391" s="19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9"/>
      <c r="D392" s="19"/>
      <c r="E392" s="19"/>
      <c r="F392" s="19"/>
      <c r="G392" s="19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9"/>
      <c r="D393" s="19"/>
      <c r="E393" s="19"/>
      <c r="F393" s="19"/>
      <c r="G393" s="19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9"/>
      <c r="D394" s="19"/>
      <c r="E394" s="19"/>
      <c r="F394" s="19"/>
      <c r="G394" s="19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9"/>
      <c r="D395" s="19"/>
      <c r="E395" s="19"/>
      <c r="F395" s="19"/>
      <c r="G395" s="19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9"/>
      <c r="D396" s="19"/>
      <c r="E396" s="19"/>
      <c r="F396" s="19"/>
      <c r="G396" s="19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9"/>
      <c r="D397" s="19"/>
      <c r="E397" s="19"/>
      <c r="F397" s="19"/>
      <c r="G397" s="19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9"/>
      <c r="D398" s="19"/>
      <c r="E398" s="19"/>
      <c r="F398" s="19"/>
      <c r="G398" s="19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9"/>
      <c r="D399" s="19"/>
      <c r="E399" s="19"/>
      <c r="F399" s="19"/>
      <c r="G399" s="19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9"/>
      <c r="D400" s="19"/>
      <c r="E400" s="19"/>
      <c r="F400" s="19"/>
      <c r="G400" s="19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9"/>
      <c r="D401" s="19"/>
      <c r="E401" s="19"/>
      <c r="F401" s="19"/>
      <c r="G401" s="19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9"/>
      <c r="D402" s="19"/>
      <c r="E402" s="19"/>
      <c r="F402" s="19"/>
      <c r="G402" s="19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9"/>
      <c r="D403" s="19"/>
      <c r="E403" s="19"/>
      <c r="F403" s="19"/>
      <c r="G403" s="19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9"/>
      <c r="D404" s="19"/>
      <c r="E404" s="19"/>
      <c r="F404" s="19"/>
      <c r="G404" s="19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9"/>
      <c r="D405" s="19"/>
      <c r="E405" s="19"/>
      <c r="F405" s="19"/>
      <c r="G405" s="19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9"/>
      <c r="D406" s="19"/>
      <c r="E406" s="19"/>
      <c r="F406" s="19"/>
      <c r="G406" s="19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9"/>
      <c r="D407" s="19"/>
      <c r="E407" s="19"/>
      <c r="F407" s="19"/>
      <c r="G407" s="19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9"/>
      <c r="D408" s="19"/>
      <c r="E408" s="19"/>
      <c r="F408" s="19"/>
      <c r="G408" s="19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9"/>
      <c r="D409" s="19"/>
      <c r="E409" s="19"/>
      <c r="F409" s="19"/>
      <c r="G409" s="19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9"/>
      <c r="D410" s="19"/>
      <c r="E410" s="19"/>
      <c r="F410" s="19"/>
      <c r="G410" s="19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9"/>
      <c r="D411" s="19"/>
      <c r="E411" s="19"/>
      <c r="F411" s="19"/>
      <c r="G411" s="19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9"/>
      <c r="D412" s="19"/>
      <c r="E412" s="19"/>
      <c r="F412" s="19"/>
      <c r="G412" s="19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9"/>
      <c r="D413" s="19"/>
      <c r="E413" s="19"/>
      <c r="F413" s="19"/>
      <c r="G413" s="19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9"/>
      <c r="D414" s="19"/>
      <c r="E414" s="19"/>
      <c r="F414" s="19"/>
      <c r="G414" s="19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9"/>
      <c r="D415" s="19"/>
      <c r="E415" s="19"/>
      <c r="F415" s="19"/>
      <c r="G415" s="19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9"/>
      <c r="D416" s="19"/>
      <c r="E416" s="19"/>
      <c r="F416" s="19"/>
      <c r="G416" s="19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9"/>
      <c r="D417" s="19"/>
      <c r="E417" s="19"/>
      <c r="F417" s="19"/>
      <c r="G417" s="19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9"/>
      <c r="D418" s="19"/>
      <c r="E418" s="19"/>
      <c r="F418" s="19"/>
      <c r="G418" s="19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9"/>
      <c r="D419" s="19"/>
      <c r="E419" s="19"/>
      <c r="F419" s="19"/>
      <c r="G419" s="19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9"/>
      <c r="D420" s="19"/>
      <c r="E420" s="19"/>
      <c r="F420" s="19"/>
      <c r="G420" s="19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9"/>
      <c r="D421" s="19"/>
      <c r="E421" s="19"/>
      <c r="F421" s="19"/>
      <c r="G421" s="19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9"/>
      <c r="D422" s="19"/>
      <c r="E422" s="19"/>
      <c r="F422" s="19"/>
      <c r="G422" s="19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9"/>
      <c r="D423" s="19"/>
      <c r="E423" s="19"/>
      <c r="F423" s="19"/>
      <c r="G423" s="19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9"/>
      <c r="D424" s="19"/>
      <c r="E424" s="19"/>
      <c r="F424" s="19"/>
      <c r="G424" s="19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9"/>
      <c r="D425" s="19"/>
      <c r="E425" s="19"/>
      <c r="F425" s="19"/>
      <c r="G425" s="19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9"/>
      <c r="D426" s="19"/>
      <c r="E426" s="19"/>
      <c r="F426" s="19"/>
      <c r="G426" s="19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9"/>
      <c r="D427" s="19"/>
      <c r="E427" s="19"/>
      <c r="F427" s="19"/>
      <c r="G427" s="19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9"/>
      <c r="D428" s="19"/>
      <c r="E428" s="19"/>
      <c r="F428" s="19"/>
      <c r="G428" s="19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9"/>
      <c r="D429" s="19"/>
      <c r="E429" s="19"/>
      <c r="F429" s="19"/>
      <c r="G429" s="19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9"/>
      <c r="D430" s="19"/>
      <c r="E430" s="19"/>
      <c r="F430" s="19"/>
      <c r="G430" s="19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9"/>
      <c r="D431" s="19"/>
      <c r="E431" s="19"/>
      <c r="F431" s="19"/>
      <c r="G431" s="19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9"/>
      <c r="D432" s="19"/>
      <c r="E432" s="19"/>
      <c r="F432" s="19"/>
      <c r="G432" s="19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9"/>
      <c r="D433" s="19"/>
      <c r="E433" s="19"/>
      <c r="F433" s="19"/>
      <c r="G433" s="19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9"/>
      <c r="D434" s="19"/>
      <c r="E434" s="19"/>
      <c r="F434" s="19"/>
      <c r="G434" s="19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9"/>
      <c r="D435" s="19"/>
      <c r="E435" s="19"/>
      <c r="F435" s="19"/>
      <c r="G435" s="19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9"/>
      <c r="D436" s="19"/>
      <c r="E436" s="19"/>
      <c r="F436" s="19"/>
      <c r="G436" s="19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9"/>
      <c r="D437" s="19"/>
      <c r="E437" s="19"/>
      <c r="F437" s="19"/>
      <c r="G437" s="19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9"/>
      <c r="D438" s="19"/>
      <c r="E438" s="19"/>
      <c r="F438" s="19"/>
      <c r="G438" s="19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9"/>
      <c r="D439" s="19"/>
      <c r="E439" s="19"/>
      <c r="F439" s="19"/>
      <c r="G439" s="19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9"/>
      <c r="D440" s="19"/>
      <c r="E440" s="19"/>
      <c r="F440" s="19"/>
      <c r="G440" s="19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9"/>
      <c r="D441" s="19"/>
      <c r="E441" s="19"/>
      <c r="F441" s="19"/>
      <c r="G441" s="19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9"/>
      <c r="D442" s="19"/>
      <c r="E442" s="19"/>
      <c r="F442" s="19"/>
      <c r="G442" s="19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9"/>
      <c r="D443" s="19"/>
      <c r="E443" s="19"/>
      <c r="F443" s="19"/>
      <c r="G443" s="19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9"/>
      <c r="D444" s="19"/>
      <c r="E444" s="19"/>
      <c r="F444" s="19"/>
      <c r="G444" s="19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9"/>
      <c r="D445" s="19"/>
      <c r="E445" s="19"/>
      <c r="F445" s="19"/>
      <c r="G445" s="19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9"/>
      <c r="D446" s="19"/>
      <c r="E446" s="19"/>
      <c r="F446" s="19"/>
      <c r="G446" s="19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9"/>
      <c r="D447" s="19"/>
      <c r="E447" s="19"/>
      <c r="F447" s="19"/>
      <c r="G447" s="19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9"/>
      <c r="D448" s="19"/>
      <c r="E448" s="19"/>
      <c r="F448" s="19"/>
      <c r="G448" s="19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9"/>
      <c r="D449" s="19"/>
      <c r="E449" s="19"/>
      <c r="F449" s="19"/>
      <c r="G449" s="19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9"/>
      <c r="D450" s="19"/>
      <c r="E450" s="19"/>
      <c r="F450" s="19"/>
      <c r="G450" s="19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9"/>
      <c r="D451" s="19"/>
      <c r="E451" s="19"/>
      <c r="F451" s="19"/>
      <c r="G451" s="19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9"/>
      <c r="D452" s="19"/>
      <c r="E452" s="19"/>
      <c r="F452" s="19"/>
      <c r="G452" s="19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9"/>
      <c r="D453" s="19"/>
      <c r="E453" s="19"/>
      <c r="F453" s="19"/>
      <c r="G453" s="19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9"/>
      <c r="D454" s="19"/>
      <c r="E454" s="19"/>
      <c r="F454" s="19"/>
      <c r="G454" s="19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9"/>
      <c r="D455" s="19"/>
      <c r="E455" s="19"/>
      <c r="F455" s="19"/>
      <c r="G455" s="19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9"/>
      <c r="D456" s="19"/>
      <c r="E456" s="19"/>
      <c r="F456" s="19"/>
      <c r="G456" s="19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9"/>
      <c r="D457" s="19"/>
      <c r="E457" s="19"/>
      <c r="F457" s="19"/>
      <c r="G457" s="19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9"/>
      <c r="D458" s="19"/>
      <c r="E458" s="19"/>
      <c r="F458" s="19"/>
      <c r="G458" s="19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9"/>
      <c r="D459" s="19"/>
      <c r="E459" s="19"/>
      <c r="F459" s="19"/>
      <c r="G459" s="19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9"/>
      <c r="D460" s="19"/>
      <c r="E460" s="19"/>
      <c r="F460" s="19"/>
      <c r="G460" s="19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9"/>
      <c r="D461" s="19"/>
      <c r="E461" s="19"/>
      <c r="F461" s="19"/>
      <c r="G461" s="19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9"/>
      <c r="D462" s="19"/>
      <c r="E462" s="19"/>
      <c r="F462" s="19"/>
      <c r="G462" s="19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9"/>
      <c r="D463" s="19"/>
      <c r="E463" s="19"/>
      <c r="F463" s="19"/>
      <c r="G463" s="19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9"/>
      <c r="D464" s="19"/>
      <c r="E464" s="19"/>
      <c r="F464" s="19"/>
      <c r="G464" s="19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9"/>
      <c r="D465" s="19"/>
      <c r="E465" s="19"/>
      <c r="F465" s="19"/>
      <c r="G465" s="19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9"/>
      <c r="D466" s="19"/>
      <c r="E466" s="19"/>
      <c r="F466" s="19"/>
      <c r="G466" s="19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9"/>
      <c r="D467" s="19"/>
      <c r="E467" s="19"/>
      <c r="F467" s="19"/>
      <c r="G467" s="19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9"/>
      <c r="D468" s="19"/>
      <c r="E468" s="19"/>
      <c r="F468" s="19"/>
      <c r="G468" s="19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9"/>
      <c r="D469" s="19"/>
      <c r="E469" s="19"/>
      <c r="F469" s="19"/>
      <c r="G469" s="19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9"/>
      <c r="D470" s="19"/>
      <c r="E470" s="19"/>
      <c r="F470" s="19"/>
      <c r="G470" s="19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9"/>
      <c r="D471" s="19"/>
      <c r="E471" s="19"/>
      <c r="F471" s="19"/>
      <c r="G471" s="19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9"/>
      <c r="D472" s="19"/>
      <c r="E472" s="19"/>
      <c r="F472" s="19"/>
      <c r="G472" s="19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9"/>
      <c r="D473" s="19"/>
      <c r="E473" s="19"/>
      <c r="F473" s="19"/>
      <c r="G473" s="19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9"/>
      <c r="D474" s="19"/>
      <c r="E474" s="19"/>
      <c r="F474" s="19"/>
      <c r="G474" s="19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9"/>
      <c r="D475" s="19"/>
      <c r="E475" s="19"/>
      <c r="F475" s="19"/>
      <c r="G475" s="19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9"/>
      <c r="D476" s="19"/>
      <c r="E476" s="19"/>
      <c r="F476" s="19"/>
      <c r="G476" s="19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9"/>
      <c r="D477" s="19"/>
      <c r="E477" s="19"/>
      <c r="F477" s="19"/>
      <c r="G477" s="19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9"/>
      <c r="D478" s="19"/>
      <c r="E478" s="19"/>
      <c r="F478" s="19"/>
      <c r="G478" s="19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9"/>
      <c r="D479" s="19"/>
      <c r="E479" s="19"/>
      <c r="F479" s="19"/>
      <c r="G479" s="19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9"/>
      <c r="D480" s="19"/>
      <c r="E480" s="19"/>
      <c r="F480" s="19"/>
      <c r="G480" s="19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9"/>
      <c r="D481" s="19"/>
      <c r="E481" s="19"/>
      <c r="F481" s="19"/>
      <c r="G481" s="19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9"/>
      <c r="D482" s="19"/>
      <c r="E482" s="19"/>
      <c r="F482" s="19"/>
      <c r="G482" s="19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9"/>
      <c r="D483" s="19"/>
      <c r="E483" s="19"/>
      <c r="F483" s="19"/>
      <c r="G483" s="19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9"/>
      <c r="D484" s="19"/>
      <c r="E484" s="19"/>
      <c r="F484" s="19"/>
      <c r="G484" s="19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9"/>
      <c r="D485" s="19"/>
      <c r="E485" s="19"/>
      <c r="F485" s="19"/>
      <c r="G485" s="19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9"/>
      <c r="D486" s="19"/>
      <c r="E486" s="19"/>
      <c r="F486" s="19"/>
      <c r="G486" s="19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9"/>
      <c r="D487" s="19"/>
      <c r="E487" s="19"/>
      <c r="F487" s="19"/>
      <c r="G487" s="19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9"/>
      <c r="D488" s="19"/>
      <c r="E488" s="19"/>
      <c r="F488" s="19"/>
      <c r="G488" s="19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9"/>
      <c r="D489" s="19"/>
      <c r="E489" s="19"/>
      <c r="F489" s="19"/>
      <c r="G489" s="19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9"/>
      <c r="D490" s="19"/>
      <c r="E490" s="19"/>
      <c r="F490" s="19"/>
      <c r="G490" s="19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9"/>
      <c r="D491" s="19"/>
      <c r="E491" s="19"/>
      <c r="F491" s="19"/>
      <c r="G491" s="19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9"/>
      <c r="D492" s="19"/>
      <c r="E492" s="19"/>
      <c r="F492" s="19"/>
      <c r="G492" s="19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9"/>
      <c r="D493" s="19"/>
      <c r="E493" s="19"/>
      <c r="F493" s="19"/>
      <c r="G493" s="19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9"/>
      <c r="D494" s="19"/>
      <c r="E494" s="19"/>
      <c r="F494" s="19"/>
      <c r="G494" s="19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9"/>
      <c r="D495" s="19"/>
      <c r="E495" s="19"/>
      <c r="F495" s="19"/>
      <c r="G495" s="19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9"/>
      <c r="D496" s="19"/>
      <c r="E496" s="19"/>
      <c r="F496" s="19"/>
      <c r="G496" s="19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9"/>
      <c r="D497" s="19"/>
      <c r="E497" s="19"/>
      <c r="F497" s="19"/>
      <c r="G497" s="19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9"/>
      <c r="D498" s="19"/>
      <c r="E498" s="19"/>
      <c r="F498" s="19"/>
      <c r="G498" s="19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9"/>
      <c r="D499" s="19"/>
      <c r="E499" s="19"/>
      <c r="F499" s="19"/>
      <c r="G499" s="19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9"/>
      <c r="D500" s="19"/>
      <c r="E500" s="19"/>
      <c r="F500" s="19"/>
      <c r="G500" s="19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9"/>
      <c r="D501" s="19"/>
      <c r="E501" s="19"/>
      <c r="F501" s="19"/>
      <c r="G501" s="19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9"/>
      <c r="D502" s="19"/>
      <c r="E502" s="19"/>
      <c r="F502" s="19"/>
      <c r="G502" s="19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9"/>
      <c r="D503" s="19"/>
      <c r="E503" s="19"/>
      <c r="F503" s="19"/>
      <c r="G503" s="19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9"/>
      <c r="D504" s="19"/>
      <c r="E504" s="19"/>
      <c r="F504" s="19"/>
      <c r="G504" s="19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9"/>
      <c r="D505" s="19"/>
      <c r="E505" s="19"/>
      <c r="F505" s="19"/>
      <c r="G505" s="19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9"/>
      <c r="D506" s="19"/>
      <c r="E506" s="19"/>
      <c r="F506" s="19"/>
      <c r="G506" s="19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9"/>
      <c r="D507" s="19"/>
      <c r="E507" s="19"/>
      <c r="F507" s="19"/>
      <c r="G507" s="19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9"/>
      <c r="D508" s="19"/>
      <c r="E508" s="19"/>
      <c r="F508" s="19"/>
      <c r="G508" s="19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9"/>
      <c r="D509" s="19"/>
      <c r="E509" s="19"/>
      <c r="F509" s="19"/>
      <c r="G509" s="19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9"/>
      <c r="D510" s="19"/>
      <c r="E510" s="19"/>
      <c r="F510" s="19"/>
      <c r="G510" s="19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9"/>
      <c r="D511" s="19"/>
      <c r="E511" s="19"/>
      <c r="F511" s="19"/>
      <c r="G511" s="19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9"/>
      <c r="D512" s="19"/>
      <c r="E512" s="19"/>
      <c r="F512" s="19"/>
      <c r="G512" s="19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9"/>
      <c r="D513" s="19"/>
      <c r="E513" s="19"/>
      <c r="F513" s="19"/>
      <c r="G513" s="19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9"/>
      <c r="D514" s="19"/>
      <c r="E514" s="19"/>
      <c r="F514" s="19"/>
      <c r="G514" s="19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9"/>
      <c r="D515" s="19"/>
      <c r="E515" s="19"/>
      <c r="F515" s="19"/>
      <c r="G515" s="19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9"/>
      <c r="D516" s="19"/>
      <c r="E516" s="19"/>
      <c r="F516" s="19"/>
      <c r="G516" s="19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9"/>
      <c r="D517" s="19"/>
      <c r="E517" s="19"/>
      <c r="F517" s="19"/>
      <c r="G517" s="19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9"/>
      <c r="D518" s="19"/>
      <c r="E518" s="19"/>
      <c r="F518" s="19"/>
      <c r="G518" s="19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9"/>
      <c r="D519" s="19"/>
      <c r="E519" s="19"/>
      <c r="F519" s="19"/>
      <c r="G519" s="19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9"/>
      <c r="D520" s="19"/>
      <c r="E520" s="19"/>
      <c r="F520" s="19"/>
      <c r="G520" s="19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9"/>
      <c r="D521" s="19"/>
      <c r="E521" s="19"/>
      <c r="F521" s="19"/>
      <c r="G521" s="19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9"/>
      <c r="D522" s="19"/>
      <c r="E522" s="19"/>
      <c r="F522" s="19"/>
      <c r="G522" s="19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9"/>
      <c r="D523" s="19"/>
      <c r="E523" s="19"/>
      <c r="F523" s="19"/>
      <c r="G523" s="19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9"/>
      <c r="D524" s="19"/>
      <c r="E524" s="19"/>
      <c r="F524" s="19"/>
      <c r="G524" s="19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9"/>
      <c r="D525" s="19"/>
      <c r="E525" s="19"/>
      <c r="F525" s="19"/>
      <c r="G525" s="19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9"/>
      <c r="D526" s="19"/>
      <c r="E526" s="19"/>
      <c r="F526" s="19"/>
      <c r="G526" s="19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9"/>
      <c r="D527" s="19"/>
      <c r="E527" s="19"/>
      <c r="F527" s="19"/>
      <c r="G527" s="19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9"/>
      <c r="D528" s="19"/>
      <c r="E528" s="19"/>
      <c r="F528" s="19"/>
      <c r="G528" s="19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9"/>
      <c r="D529" s="19"/>
      <c r="E529" s="19"/>
      <c r="F529" s="19"/>
      <c r="G529" s="19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9"/>
      <c r="D530" s="19"/>
      <c r="E530" s="19"/>
      <c r="F530" s="19"/>
      <c r="G530" s="19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9"/>
      <c r="D531" s="19"/>
      <c r="E531" s="19"/>
      <c r="F531" s="19"/>
      <c r="G531" s="19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9"/>
      <c r="D532" s="19"/>
      <c r="E532" s="19"/>
      <c r="F532" s="19"/>
      <c r="G532" s="19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9"/>
      <c r="D533" s="19"/>
      <c r="E533" s="19"/>
      <c r="F533" s="19"/>
      <c r="G533" s="19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9"/>
      <c r="D534" s="19"/>
      <c r="E534" s="19"/>
      <c r="F534" s="19"/>
      <c r="G534" s="19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9"/>
      <c r="D535" s="19"/>
      <c r="E535" s="19"/>
      <c r="F535" s="19"/>
      <c r="G535" s="19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9"/>
      <c r="D536" s="19"/>
      <c r="E536" s="19"/>
      <c r="F536" s="19"/>
      <c r="G536" s="19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9"/>
      <c r="D537" s="19"/>
      <c r="E537" s="19"/>
      <c r="F537" s="19"/>
      <c r="G537" s="19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9"/>
      <c r="D538" s="19"/>
      <c r="E538" s="19"/>
      <c r="F538" s="19"/>
      <c r="G538" s="19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9"/>
      <c r="D539" s="19"/>
      <c r="E539" s="19"/>
      <c r="F539" s="19"/>
      <c r="G539" s="19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9"/>
      <c r="D540" s="19"/>
      <c r="E540" s="19"/>
      <c r="F540" s="19"/>
      <c r="G540" s="19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9"/>
      <c r="D541" s="19"/>
      <c r="E541" s="19"/>
      <c r="F541" s="19"/>
      <c r="G541" s="19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9"/>
      <c r="D542" s="19"/>
      <c r="E542" s="19"/>
      <c r="F542" s="19"/>
      <c r="G542" s="19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9"/>
      <c r="D543" s="19"/>
      <c r="E543" s="19"/>
      <c r="F543" s="19"/>
      <c r="G543" s="19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9"/>
      <c r="D544" s="19"/>
      <c r="E544" s="19"/>
      <c r="F544" s="19"/>
      <c r="G544" s="19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9"/>
      <c r="D545" s="19"/>
      <c r="E545" s="19"/>
      <c r="F545" s="19"/>
      <c r="G545" s="19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9"/>
      <c r="D546" s="19"/>
      <c r="E546" s="19"/>
      <c r="F546" s="19"/>
      <c r="G546" s="19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9"/>
      <c r="D547" s="19"/>
      <c r="E547" s="19"/>
      <c r="F547" s="19"/>
      <c r="G547" s="19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9"/>
      <c r="D548" s="19"/>
      <c r="E548" s="19"/>
      <c r="F548" s="19"/>
      <c r="G548" s="19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9"/>
      <c r="D549" s="19"/>
      <c r="E549" s="19"/>
      <c r="F549" s="19"/>
      <c r="G549" s="19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9"/>
      <c r="D550" s="19"/>
      <c r="E550" s="19"/>
      <c r="F550" s="19"/>
      <c r="G550" s="19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9"/>
      <c r="D551" s="19"/>
      <c r="E551" s="19"/>
      <c r="F551" s="19"/>
      <c r="G551" s="19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9"/>
      <c r="D552" s="19"/>
      <c r="E552" s="19"/>
      <c r="F552" s="19"/>
      <c r="G552" s="19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9"/>
      <c r="D553" s="19"/>
      <c r="E553" s="19"/>
      <c r="F553" s="19"/>
      <c r="G553" s="19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9"/>
      <c r="D554" s="19"/>
      <c r="E554" s="19"/>
      <c r="F554" s="19"/>
      <c r="G554" s="19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9"/>
      <c r="D555" s="19"/>
      <c r="E555" s="19"/>
      <c r="F555" s="19"/>
      <c r="G555" s="19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9"/>
      <c r="D556" s="19"/>
      <c r="E556" s="19"/>
      <c r="F556" s="19"/>
      <c r="G556" s="19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9"/>
      <c r="D557" s="19"/>
      <c r="E557" s="19"/>
      <c r="F557" s="19"/>
      <c r="G557" s="19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9"/>
      <c r="D558" s="19"/>
      <c r="E558" s="19"/>
      <c r="F558" s="19"/>
      <c r="G558" s="19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9"/>
      <c r="D559" s="19"/>
      <c r="E559" s="19"/>
      <c r="F559" s="19"/>
      <c r="G559" s="19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9"/>
      <c r="D560" s="19"/>
      <c r="E560" s="19"/>
      <c r="F560" s="19"/>
      <c r="G560" s="19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9"/>
      <c r="D561" s="19"/>
      <c r="E561" s="19"/>
      <c r="F561" s="19"/>
      <c r="G561" s="19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9"/>
      <c r="D562" s="19"/>
      <c r="E562" s="19"/>
      <c r="F562" s="19"/>
      <c r="G562" s="19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9"/>
      <c r="D563" s="19"/>
      <c r="E563" s="19"/>
      <c r="F563" s="19"/>
      <c r="G563" s="19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9"/>
      <c r="D564" s="19"/>
      <c r="E564" s="19"/>
      <c r="F564" s="19"/>
      <c r="G564" s="19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9"/>
      <c r="D565" s="19"/>
      <c r="E565" s="19"/>
      <c r="F565" s="19"/>
      <c r="G565" s="19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9"/>
      <c r="D566" s="19"/>
      <c r="E566" s="19"/>
      <c r="F566" s="19"/>
      <c r="G566" s="19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9"/>
      <c r="D567" s="19"/>
      <c r="E567" s="19"/>
      <c r="F567" s="19"/>
      <c r="G567" s="19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9"/>
      <c r="D568" s="19"/>
      <c r="E568" s="19"/>
      <c r="F568" s="19"/>
      <c r="G568" s="19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9"/>
      <c r="D569" s="19"/>
      <c r="E569" s="19"/>
      <c r="F569" s="19"/>
      <c r="G569" s="19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9"/>
      <c r="D570" s="19"/>
      <c r="E570" s="19"/>
      <c r="F570" s="19"/>
      <c r="G570" s="19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9"/>
      <c r="D571" s="19"/>
      <c r="E571" s="19"/>
      <c r="F571" s="19"/>
      <c r="G571" s="19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9"/>
      <c r="D572" s="19"/>
      <c r="E572" s="19"/>
      <c r="F572" s="19"/>
      <c r="G572" s="19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9"/>
      <c r="D573" s="19"/>
      <c r="E573" s="19"/>
      <c r="F573" s="19"/>
      <c r="G573" s="19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9"/>
      <c r="D574" s="19"/>
      <c r="E574" s="19"/>
      <c r="F574" s="19"/>
      <c r="G574" s="19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9"/>
      <c r="D575" s="19"/>
      <c r="E575" s="19"/>
      <c r="F575" s="19"/>
      <c r="G575" s="19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9"/>
      <c r="D576" s="19"/>
      <c r="E576" s="19"/>
      <c r="F576" s="19"/>
      <c r="G576" s="19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9"/>
      <c r="D577" s="19"/>
      <c r="E577" s="19"/>
      <c r="F577" s="19"/>
      <c r="G577" s="19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9"/>
      <c r="D578" s="19"/>
      <c r="E578" s="19"/>
      <c r="F578" s="19"/>
      <c r="G578" s="19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9"/>
      <c r="D579" s="19"/>
      <c r="E579" s="19"/>
      <c r="F579" s="19"/>
      <c r="G579" s="19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9"/>
      <c r="D580" s="19"/>
      <c r="E580" s="19"/>
      <c r="F580" s="19"/>
      <c r="G580" s="19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9"/>
      <c r="D581" s="19"/>
      <c r="E581" s="19"/>
      <c r="F581" s="19"/>
      <c r="G581" s="19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9"/>
      <c r="D582" s="19"/>
      <c r="E582" s="19"/>
      <c r="F582" s="19"/>
      <c r="G582" s="19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9"/>
      <c r="D583" s="19"/>
      <c r="E583" s="19"/>
      <c r="F583" s="19"/>
      <c r="G583" s="19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9"/>
      <c r="D584" s="19"/>
      <c r="E584" s="19"/>
      <c r="F584" s="19"/>
      <c r="G584" s="19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9"/>
      <c r="D585" s="19"/>
      <c r="E585" s="19"/>
      <c r="F585" s="19"/>
      <c r="G585" s="19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9"/>
      <c r="D586" s="19"/>
      <c r="E586" s="19"/>
      <c r="F586" s="19"/>
      <c r="G586" s="19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9"/>
      <c r="D587" s="19"/>
      <c r="E587" s="19"/>
      <c r="F587" s="19"/>
      <c r="G587" s="19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9"/>
      <c r="D588" s="19"/>
      <c r="E588" s="19"/>
      <c r="F588" s="19"/>
      <c r="G588" s="19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9"/>
      <c r="D589" s="19"/>
      <c r="E589" s="19"/>
      <c r="F589" s="19"/>
      <c r="G589" s="19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9"/>
      <c r="D590" s="19"/>
      <c r="E590" s="19"/>
      <c r="F590" s="19"/>
      <c r="G590" s="19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9"/>
      <c r="D591" s="19"/>
      <c r="E591" s="19"/>
      <c r="F591" s="19"/>
      <c r="G591" s="19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9"/>
      <c r="D592" s="19"/>
      <c r="E592" s="19"/>
      <c r="F592" s="19"/>
      <c r="G592" s="19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9"/>
      <c r="D593" s="19"/>
      <c r="E593" s="19"/>
      <c r="F593" s="19"/>
      <c r="G593" s="19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9"/>
      <c r="D594" s="19"/>
      <c r="E594" s="19"/>
      <c r="F594" s="19"/>
      <c r="G594" s="19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9"/>
      <c r="D595" s="19"/>
      <c r="E595" s="19"/>
      <c r="F595" s="19"/>
      <c r="G595" s="19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9"/>
      <c r="D596" s="19"/>
      <c r="E596" s="19"/>
      <c r="F596" s="19"/>
      <c r="G596" s="19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9"/>
      <c r="D597" s="19"/>
      <c r="E597" s="19"/>
      <c r="F597" s="19"/>
      <c r="G597" s="19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9"/>
      <c r="D598" s="19"/>
      <c r="E598" s="19"/>
      <c r="F598" s="19"/>
      <c r="G598" s="19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9"/>
      <c r="D599" s="19"/>
      <c r="E599" s="19"/>
      <c r="F599" s="19"/>
      <c r="G599" s="19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9"/>
      <c r="D600" s="19"/>
      <c r="E600" s="19"/>
      <c r="F600" s="19"/>
      <c r="G600" s="19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9"/>
      <c r="D601" s="19"/>
      <c r="E601" s="19"/>
      <c r="F601" s="19"/>
      <c r="G601" s="19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9"/>
      <c r="D602" s="19"/>
      <c r="E602" s="19"/>
      <c r="F602" s="19"/>
      <c r="G602" s="19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9"/>
      <c r="D603" s="19"/>
      <c r="E603" s="19"/>
      <c r="F603" s="19"/>
      <c r="G603" s="19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9"/>
      <c r="D604" s="19"/>
      <c r="E604" s="19"/>
      <c r="F604" s="19"/>
      <c r="G604" s="19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9"/>
      <c r="D605" s="19"/>
      <c r="E605" s="19"/>
      <c r="F605" s="19"/>
      <c r="G605" s="19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9"/>
      <c r="D606" s="19"/>
      <c r="E606" s="19"/>
      <c r="F606" s="19"/>
      <c r="G606" s="19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9"/>
      <c r="D607" s="19"/>
      <c r="E607" s="19"/>
      <c r="F607" s="19"/>
      <c r="G607" s="19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9"/>
      <c r="D608" s="19"/>
      <c r="E608" s="19"/>
      <c r="F608" s="19"/>
      <c r="G608" s="19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9"/>
      <c r="D609" s="19"/>
      <c r="E609" s="19"/>
      <c r="F609" s="19"/>
      <c r="G609" s="19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9"/>
      <c r="D610" s="19"/>
      <c r="E610" s="19"/>
      <c r="F610" s="19"/>
      <c r="G610" s="19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9"/>
      <c r="D611" s="19"/>
      <c r="E611" s="19"/>
      <c r="F611" s="19"/>
      <c r="G611" s="19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9"/>
      <c r="D612" s="19"/>
      <c r="E612" s="19"/>
      <c r="F612" s="19"/>
      <c r="G612" s="19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9"/>
      <c r="D613" s="19"/>
      <c r="E613" s="19"/>
      <c r="F613" s="19"/>
      <c r="G613" s="19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9"/>
      <c r="D614" s="19"/>
      <c r="E614" s="19"/>
      <c r="F614" s="19"/>
      <c r="G614" s="19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9"/>
      <c r="D615" s="19"/>
      <c r="E615" s="19"/>
      <c r="F615" s="19"/>
      <c r="G615" s="19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9"/>
      <c r="D616" s="19"/>
      <c r="E616" s="19"/>
      <c r="F616" s="19"/>
      <c r="G616" s="19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9"/>
      <c r="D617" s="19"/>
      <c r="E617" s="19"/>
      <c r="F617" s="19"/>
      <c r="G617" s="19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9"/>
      <c r="D618" s="19"/>
      <c r="E618" s="19"/>
      <c r="F618" s="19"/>
      <c r="G618" s="19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9"/>
      <c r="D619" s="19"/>
      <c r="E619" s="19"/>
      <c r="F619" s="19"/>
      <c r="G619" s="19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9"/>
      <c r="D620" s="19"/>
      <c r="E620" s="19"/>
      <c r="F620" s="19"/>
      <c r="G620" s="19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9"/>
      <c r="D621" s="19"/>
      <c r="E621" s="19"/>
      <c r="F621" s="19"/>
      <c r="G621" s="19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9"/>
      <c r="D622" s="19"/>
      <c r="E622" s="19"/>
      <c r="F622" s="19"/>
      <c r="G622" s="19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9"/>
      <c r="D623" s="19"/>
      <c r="E623" s="19"/>
      <c r="F623" s="19"/>
      <c r="G623" s="19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9"/>
      <c r="D624" s="19"/>
      <c r="E624" s="19"/>
      <c r="F624" s="19"/>
      <c r="G624" s="19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9"/>
      <c r="D625" s="19"/>
      <c r="E625" s="19"/>
      <c r="F625" s="19"/>
      <c r="G625" s="19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9"/>
      <c r="D626" s="19"/>
      <c r="E626" s="19"/>
      <c r="F626" s="19"/>
      <c r="G626" s="19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9"/>
      <c r="D627" s="19"/>
      <c r="E627" s="19"/>
      <c r="F627" s="19"/>
      <c r="G627" s="19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9"/>
      <c r="D628" s="19"/>
      <c r="E628" s="19"/>
      <c r="F628" s="19"/>
      <c r="G628" s="19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9"/>
      <c r="D629" s="19"/>
      <c r="E629" s="19"/>
      <c r="F629" s="19"/>
      <c r="G629" s="19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9"/>
      <c r="D630" s="19"/>
      <c r="E630" s="19"/>
      <c r="F630" s="19"/>
      <c r="G630" s="19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9"/>
      <c r="D631" s="19"/>
      <c r="E631" s="19"/>
      <c r="F631" s="19"/>
      <c r="G631" s="19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9"/>
      <c r="D632" s="19"/>
      <c r="E632" s="19"/>
      <c r="F632" s="19"/>
      <c r="G632" s="19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9"/>
      <c r="D633" s="19"/>
      <c r="E633" s="19"/>
      <c r="F633" s="19"/>
      <c r="G633" s="19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9"/>
      <c r="D634" s="19"/>
      <c r="E634" s="19"/>
      <c r="F634" s="19"/>
      <c r="G634" s="19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9"/>
      <c r="D635" s="19"/>
      <c r="E635" s="19"/>
      <c r="F635" s="19"/>
      <c r="G635" s="19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9"/>
      <c r="D636" s="19"/>
      <c r="E636" s="19"/>
      <c r="F636" s="19"/>
      <c r="G636" s="19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9"/>
      <c r="D637" s="19"/>
      <c r="E637" s="19"/>
      <c r="F637" s="19"/>
      <c r="G637" s="19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9"/>
      <c r="D638" s="19"/>
      <c r="E638" s="19"/>
      <c r="F638" s="19"/>
      <c r="G638" s="19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9"/>
      <c r="D639" s="19"/>
      <c r="E639" s="19"/>
      <c r="F639" s="19"/>
      <c r="G639" s="19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9"/>
      <c r="D640" s="19"/>
      <c r="E640" s="19"/>
      <c r="F640" s="19"/>
      <c r="G640" s="19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9"/>
      <c r="D641" s="19"/>
      <c r="E641" s="19"/>
      <c r="F641" s="19"/>
      <c r="G641" s="19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9"/>
      <c r="D642" s="19"/>
      <c r="E642" s="19"/>
      <c r="F642" s="19"/>
      <c r="G642" s="19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9"/>
      <c r="D643" s="19"/>
      <c r="E643" s="19"/>
      <c r="F643" s="19"/>
      <c r="G643" s="19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9"/>
      <c r="D644" s="19"/>
      <c r="E644" s="19"/>
      <c r="F644" s="19"/>
      <c r="G644" s="19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9"/>
      <c r="D645" s="19"/>
      <c r="E645" s="19"/>
      <c r="F645" s="19"/>
      <c r="G645" s="19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9"/>
      <c r="D646" s="19"/>
      <c r="E646" s="19"/>
      <c r="F646" s="19"/>
      <c r="G646" s="19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9"/>
      <c r="D647" s="19"/>
      <c r="E647" s="19"/>
      <c r="F647" s="19"/>
      <c r="G647" s="19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9"/>
      <c r="D648" s="19"/>
      <c r="E648" s="19"/>
      <c r="F648" s="19"/>
      <c r="G648" s="19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9"/>
      <c r="D649" s="19"/>
      <c r="E649" s="19"/>
      <c r="F649" s="19"/>
      <c r="G649" s="19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9"/>
      <c r="D650" s="19"/>
      <c r="E650" s="19"/>
      <c r="F650" s="19"/>
      <c r="G650" s="19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9"/>
      <c r="D651" s="19"/>
      <c r="E651" s="19"/>
      <c r="F651" s="19"/>
      <c r="G651" s="19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9"/>
      <c r="D652" s="19"/>
      <c r="E652" s="19"/>
      <c r="F652" s="19"/>
      <c r="G652" s="19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9"/>
      <c r="D653" s="19"/>
      <c r="E653" s="19"/>
      <c r="F653" s="19"/>
      <c r="G653" s="19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9"/>
      <c r="D654" s="19"/>
      <c r="E654" s="19"/>
      <c r="F654" s="19"/>
      <c r="G654" s="19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9"/>
      <c r="D655" s="19"/>
      <c r="E655" s="19"/>
      <c r="F655" s="19"/>
      <c r="G655" s="19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9"/>
      <c r="D656" s="19"/>
      <c r="E656" s="19"/>
      <c r="F656" s="19"/>
      <c r="G656" s="19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9"/>
      <c r="D657" s="19"/>
      <c r="E657" s="19"/>
      <c r="F657" s="19"/>
      <c r="G657" s="19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9"/>
      <c r="D658" s="19"/>
      <c r="E658" s="19"/>
      <c r="F658" s="19"/>
      <c r="G658" s="19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9"/>
      <c r="D659" s="19"/>
      <c r="E659" s="19"/>
      <c r="F659" s="19"/>
      <c r="G659" s="19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9"/>
      <c r="D660" s="19"/>
      <c r="E660" s="19"/>
      <c r="F660" s="19"/>
      <c r="G660" s="19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9"/>
      <c r="D661" s="19"/>
      <c r="E661" s="19"/>
      <c r="F661" s="19"/>
      <c r="G661" s="19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9"/>
      <c r="D662" s="19"/>
      <c r="E662" s="19"/>
      <c r="F662" s="19"/>
      <c r="G662" s="19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9"/>
      <c r="D663" s="19"/>
      <c r="E663" s="19"/>
      <c r="F663" s="19"/>
      <c r="G663" s="19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9"/>
      <c r="D664" s="19"/>
      <c r="E664" s="19"/>
      <c r="F664" s="19"/>
      <c r="G664" s="19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9"/>
      <c r="D665" s="19"/>
      <c r="E665" s="19"/>
      <c r="F665" s="19"/>
      <c r="G665" s="19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9"/>
      <c r="D666" s="19"/>
      <c r="E666" s="19"/>
      <c r="F666" s="19"/>
      <c r="G666" s="19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9"/>
      <c r="D667" s="19"/>
      <c r="E667" s="19"/>
      <c r="F667" s="19"/>
      <c r="G667" s="19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9"/>
      <c r="D668" s="19"/>
      <c r="E668" s="19"/>
      <c r="F668" s="19"/>
      <c r="G668" s="19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9"/>
      <c r="D669" s="19"/>
      <c r="E669" s="19"/>
      <c r="F669" s="19"/>
      <c r="G669" s="19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9"/>
      <c r="D670" s="19"/>
      <c r="E670" s="19"/>
      <c r="F670" s="19"/>
      <c r="G670" s="19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9"/>
      <c r="D671" s="19"/>
      <c r="E671" s="19"/>
      <c r="F671" s="19"/>
      <c r="G671" s="19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9"/>
      <c r="D672" s="19"/>
      <c r="E672" s="19"/>
      <c r="F672" s="19"/>
      <c r="G672" s="19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9"/>
      <c r="D673" s="19"/>
      <c r="E673" s="19"/>
      <c r="F673" s="19"/>
      <c r="G673" s="19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9"/>
      <c r="D674" s="19"/>
      <c r="E674" s="19"/>
      <c r="F674" s="19"/>
      <c r="G674" s="19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9"/>
      <c r="D675" s="19"/>
      <c r="E675" s="19"/>
      <c r="F675" s="19"/>
      <c r="G675" s="19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9"/>
      <c r="D676" s="19"/>
      <c r="E676" s="19"/>
      <c r="F676" s="19"/>
      <c r="G676" s="19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9"/>
      <c r="D677" s="19"/>
      <c r="E677" s="19"/>
      <c r="F677" s="19"/>
      <c r="G677" s="19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9"/>
      <c r="D678" s="19"/>
      <c r="E678" s="19"/>
      <c r="F678" s="19"/>
      <c r="G678" s="19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9"/>
      <c r="D679" s="19"/>
      <c r="E679" s="19"/>
      <c r="F679" s="19"/>
      <c r="G679" s="19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9"/>
      <c r="D680" s="19"/>
      <c r="E680" s="19"/>
      <c r="F680" s="19"/>
      <c r="G680" s="19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9"/>
      <c r="D681" s="19"/>
      <c r="E681" s="19"/>
      <c r="F681" s="19"/>
      <c r="G681" s="19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9"/>
      <c r="D682" s="19"/>
      <c r="E682" s="19"/>
      <c r="F682" s="19"/>
      <c r="G682" s="19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9"/>
      <c r="D683" s="19"/>
      <c r="E683" s="19"/>
      <c r="F683" s="19"/>
      <c r="G683" s="19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9"/>
      <c r="D684" s="19"/>
      <c r="E684" s="19"/>
      <c r="F684" s="19"/>
      <c r="G684" s="19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9"/>
      <c r="D685" s="19"/>
      <c r="E685" s="19"/>
      <c r="F685" s="19"/>
      <c r="G685" s="19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9"/>
      <c r="D686" s="19"/>
      <c r="E686" s="19"/>
      <c r="F686" s="19"/>
      <c r="G686" s="19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9"/>
      <c r="D687" s="19"/>
      <c r="E687" s="19"/>
      <c r="F687" s="19"/>
      <c r="G687" s="19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9"/>
      <c r="D688" s="19"/>
      <c r="E688" s="19"/>
      <c r="F688" s="19"/>
      <c r="G688" s="19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9"/>
      <c r="D689" s="19"/>
      <c r="E689" s="19"/>
      <c r="F689" s="19"/>
      <c r="G689" s="19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9"/>
      <c r="D690" s="19"/>
      <c r="E690" s="19"/>
      <c r="F690" s="19"/>
      <c r="G690" s="19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9"/>
      <c r="D691" s="19"/>
      <c r="E691" s="19"/>
      <c r="F691" s="19"/>
      <c r="G691" s="19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9"/>
      <c r="D692" s="19"/>
      <c r="E692" s="19"/>
      <c r="F692" s="19"/>
      <c r="G692" s="19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9"/>
      <c r="D693" s="19"/>
      <c r="E693" s="19"/>
      <c r="F693" s="19"/>
      <c r="G693" s="19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9"/>
      <c r="D694" s="19"/>
      <c r="E694" s="19"/>
      <c r="F694" s="19"/>
      <c r="G694" s="19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9"/>
      <c r="D695" s="19"/>
      <c r="E695" s="19"/>
      <c r="F695" s="19"/>
      <c r="G695" s="19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9"/>
      <c r="D696" s="19"/>
      <c r="E696" s="19"/>
      <c r="F696" s="19"/>
      <c r="G696" s="19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9"/>
      <c r="D697" s="19"/>
      <c r="E697" s="19"/>
      <c r="F697" s="19"/>
      <c r="G697" s="19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9"/>
      <c r="D698" s="19"/>
      <c r="E698" s="19"/>
      <c r="F698" s="19"/>
      <c r="G698" s="19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9"/>
      <c r="D699" s="19"/>
      <c r="E699" s="19"/>
      <c r="F699" s="19"/>
      <c r="G699" s="19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9"/>
      <c r="D700" s="19"/>
      <c r="E700" s="19"/>
      <c r="F700" s="19"/>
      <c r="G700" s="19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9"/>
      <c r="D701" s="19"/>
      <c r="E701" s="19"/>
      <c r="F701" s="19"/>
      <c r="G701" s="19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9"/>
      <c r="D702" s="19"/>
      <c r="E702" s="19"/>
      <c r="F702" s="19"/>
      <c r="G702" s="19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9"/>
      <c r="D703" s="19"/>
      <c r="E703" s="19"/>
      <c r="F703" s="19"/>
      <c r="G703" s="19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9"/>
      <c r="D704" s="19"/>
      <c r="E704" s="19"/>
      <c r="F704" s="19"/>
      <c r="G704" s="19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9"/>
      <c r="D705" s="19"/>
      <c r="E705" s="19"/>
      <c r="F705" s="19"/>
      <c r="G705" s="19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9"/>
      <c r="D706" s="19"/>
      <c r="E706" s="19"/>
      <c r="F706" s="19"/>
      <c r="G706" s="19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9"/>
      <c r="D707" s="19"/>
      <c r="E707" s="19"/>
      <c r="F707" s="19"/>
      <c r="G707" s="19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9"/>
      <c r="D708" s="19"/>
      <c r="E708" s="19"/>
      <c r="F708" s="19"/>
      <c r="G708" s="19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9"/>
      <c r="D709" s="19"/>
      <c r="E709" s="19"/>
      <c r="F709" s="19"/>
      <c r="G709" s="19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9"/>
      <c r="D710" s="19"/>
      <c r="E710" s="19"/>
      <c r="F710" s="19"/>
      <c r="G710" s="19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9"/>
      <c r="D711" s="19"/>
      <c r="E711" s="19"/>
      <c r="F711" s="19"/>
      <c r="G711" s="19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9"/>
      <c r="D712" s="19"/>
      <c r="E712" s="19"/>
      <c r="F712" s="19"/>
      <c r="G712" s="19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9"/>
      <c r="D713" s="19"/>
      <c r="E713" s="19"/>
      <c r="F713" s="19"/>
      <c r="G713" s="19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9"/>
      <c r="D714" s="19"/>
      <c r="E714" s="19"/>
      <c r="F714" s="19"/>
      <c r="G714" s="19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9"/>
      <c r="D715" s="19"/>
      <c r="E715" s="19"/>
      <c r="F715" s="19"/>
      <c r="G715" s="19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9"/>
      <c r="D716" s="19"/>
      <c r="E716" s="19"/>
      <c r="F716" s="19"/>
      <c r="G716" s="19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9"/>
      <c r="D717" s="19"/>
      <c r="E717" s="19"/>
      <c r="F717" s="19"/>
      <c r="G717" s="19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9"/>
      <c r="D718" s="19"/>
      <c r="E718" s="19"/>
      <c r="F718" s="19"/>
      <c r="G718" s="19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9"/>
      <c r="D719" s="19"/>
      <c r="E719" s="19"/>
      <c r="F719" s="19"/>
      <c r="G719" s="19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9"/>
      <c r="D720" s="19"/>
      <c r="E720" s="19"/>
      <c r="F720" s="19"/>
      <c r="G720" s="19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9"/>
      <c r="D721" s="19"/>
      <c r="E721" s="19"/>
      <c r="F721" s="19"/>
      <c r="G721" s="19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9"/>
      <c r="D722" s="19"/>
      <c r="E722" s="19"/>
      <c r="F722" s="19"/>
      <c r="G722" s="19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9"/>
      <c r="D723" s="19"/>
      <c r="E723" s="19"/>
      <c r="F723" s="19"/>
      <c r="G723" s="19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9"/>
      <c r="D724" s="19"/>
      <c r="E724" s="19"/>
      <c r="F724" s="19"/>
      <c r="G724" s="19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9"/>
      <c r="D725" s="19"/>
      <c r="E725" s="19"/>
      <c r="F725" s="19"/>
      <c r="G725" s="19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9"/>
      <c r="D726" s="19"/>
      <c r="E726" s="19"/>
      <c r="F726" s="19"/>
      <c r="G726" s="19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9"/>
      <c r="D727" s="19"/>
      <c r="E727" s="19"/>
      <c r="F727" s="19"/>
      <c r="G727" s="19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9"/>
      <c r="D728" s="19"/>
      <c r="E728" s="19"/>
      <c r="F728" s="19"/>
      <c r="G728" s="19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9"/>
      <c r="D729" s="19"/>
      <c r="E729" s="19"/>
      <c r="F729" s="19"/>
      <c r="G729" s="19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9"/>
      <c r="D730" s="19"/>
      <c r="E730" s="19"/>
      <c r="F730" s="19"/>
      <c r="G730" s="19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9"/>
      <c r="D731" s="19"/>
      <c r="E731" s="19"/>
      <c r="F731" s="19"/>
      <c r="G731" s="19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9"/>
      <c r="D732" s="19"/>
      <c r="E732" s="19"/>
      <c r="F732" s="19"/>
      <c r="G732" s="19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9"/>
      <c r="D733" s="19"/>
      <c r="E733" s="19"/>
      <c r="F733" s="19"/>
      <c r="G733" s="19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9"/>
      <c r="D734" s="19"/>
      <c r="E734" s="19"/>
      <c r="F734" s="19"/>
      <c r="G734" s="19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9"/>
      <c r="D735" s="19"/>
      <c r="E735" s="19"/>
      <c r="F735" s="19"/>
      <c r="G735" s="19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9"/>
      <c r="D736" s="19"/>
      <c r="E736" s="19"/>
      <c r="F736" s="19"/>
      <c r="G736" s="19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9"/>
      <c r="D737" s="19"/>
      <c r="E737" s="19"/>
      <c r="F737" s="19"/>
      <c r="G737" s="19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9"/>
      <c r="D738" s="19"/>
      <c r="E738" s="19"/>
      <c r="F738" s="19"/>
      <c r="G738" s="19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9"/>
      <c r="D739" s="19"/>
      <c r="E739" s="19"/>
      <c r="F739" s="19"/>
      <c r="G739" s="19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9"/>
      <c r="D740" s="19"/>
      <c r="E740" s="19"/>
      <c r="F740" s="19"/>
      <c r="G740" s="19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9"/>
      <c r="D741" s="19"/>
      <c r="E741" s="19"/>
      <c r="F741" s="19"/>
      <c r="G741" s="19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9"/>
      <c r="D742" s="19"/>
      <c r="E742" s="19"/>
      <c r="F742" s="19"/>
      <c r="G742" s="19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9"/>
      <c r="D743" s="19"/>
      <c r="E743" s="19"/>
      <c r="F743" s="19"/>
      <c r="G743" s="19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9"/>
      <c r="D744" s="19"/>
      <c r="E744" s="19"/>
      <c r="F744" s="19"/>
      <c r="G744" s="19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9"/>
      <c r="D745" s="19"/>
      <c r="E745" s="19"/>
      <c r="F745" s="19"/>
      <c r="G745" s="19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9"/>
      <c r="D746" s="19"/>
      <c r="E746" s="19"/>
      <c r="F746" s="19"/>
      <c r="G746" s="19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9"/>
      <c r="D747" s="19"/>
      <c r="E747" s="19"/>
      <c r="F747" s="19"/>
      <c r="G747" s="19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9"/>
      <c r="D748" s="19"/>
      <c r="E748" s="19"/>
      <c r="F748" s="19"/>
      <c r="G748" s="19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9"/>
      <c r="D749" s="19"/>
      <c r="E749" s="19"/>
      <c r="F749" s="19"/>
      <c r="G749" s="19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9"/>
      <c r="D750" s="19"/>
      <c r="E750" s="19"/>
      <c r="F750" s="19"/>
      <c r="G750" s="19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9"/>
      <c r="D751" s="19"/>
      <c r="E751" s="19"/>
      <c r="F751" s="19"/>
      <c r="G751" s="19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9"/>
      <c r="D752" s="19"/>
      <c r="E752" s="19"/>
      <c r="F752" s="19"/>
      <c r="G752" s="19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9"/>
      <c r="D753" s="19"/>
      <c r="E753" s="19"/>
      <c r="F753" s="19"/>
      <c r="G753" s="19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9"/>
      <c r="D754" s="19"/>
      <c r="E754" s="19"/>
      <c r="F754" s="19"/>
      <c r="G754" s="19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9"/>
      <c r="D755" s="19"/>
      <c r="E755" s="19"/>
      <c r="F755" s="19"/>
      <c r="G755" s="19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9"/>
      <c r="D756" s="19"/>
      <c r="E756" s="19"/>
      <c r="F756" s="19"/>
      <c r="G756" s="19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9"/>
      <c r="D757" s="19"/>
      <c r="E757" s="19"/>
      <c r="F757" s="19"/>
      <c r="G757" s="19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9"/>
      <c r="D758" s="19"/>
      <c r="E758" s="19"/>
      <c r="F758" s="19"/>
      <c r="G758" s="19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9"/>
      <c r="D759" s="19"/>
      <c r="E759" s="19"/>
      <c r="F759" s="19"/>
      <c r="G759" s="19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9"/>
      <c r="D760" s="19"/>
      <c r="E760" s="19"/>
      <c r="F760" s="19"/>
      <c r="G760" s="19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9"/>
      <c r="D761" s="19"/>
      <c r="E761" s="19"/>
      <c r="F761" s="19"/>
      <c r="G761" s="19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9"/>
      <c r="D762" s="19"/>
      <c r="E762" s="19"/>
      <c r="F762" s="19"/>
      <c r="G762" s="19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9"/>
      <c r="D763" s="19"/>
      <c r="E763" s="19"/>
      <c r="F763" s="19"/>
      <c r="G763" s="19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9"/>
      <c r="D764" s="19"/>
      <c r="E764" s="19"/>
      <c r="F764" s="19"/>
      <c r="G764" s="19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9"/>
      <c r="D765" s="19"/>
      <c r="E765" s="19"/>
      <c r="F765" s="19"/>
      <c r="G765" s="19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9"/>
      <c r="D766" s="19"/>
      <c r="E766" s="19"/>
      <c r="F766" s="19"/>
      <c r="G766" s="19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9"/>
      <c r="D767" s="19"/>
      <c r="E767" s="19"/>
      <c r="F767" s="19"/>
      <c r="G767" s="19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9"/>
      <c r="D768" s="19"/>
      <c r="E768" s="19"/>
      <c r="F768" s="19"/>
      <c r="G768" s="19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9"/>
      <c r="D769" s="19"/>
      <c r="E769" s="19"/>
      <c r="F769" s="19"/>
      <c r="G769" s="19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9"/>
      <c r="D770" s="19"/>
      <c r="E770" s="19"/>
      <c r="F770" s="19"/>
      <c r="G770" s="19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9"/>
      <c r="D771" s="19"/>
      <c r="E771" s="19"/>
      <c r="F771" s="19"/>
      <c r="G771" s="19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9"/>
      <c r="D772" s="19"/>
      <c r="E772" s="19"/>
      <c r="F772" s="19"/>
      <c r="G772" s="19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9"/>
      <c r="D773" s="19"/>
      <c r="E773" s="19"/>
      <c r="F773" s="19"/>
      <c r="G773" s="19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9"/>
      <c r="D774" s="19"/>
      <c r="E774" s="19"/>
      <c r="F774" s="19"/>
      <c r="G774" s="19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9"/>
      <c r="D775" s="19"/>
      <c r="E775" s="19"/>
      <c r="F775" s="19"/>
      <c r="G775" s="19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9"/>
      <c r="D776" s="19"/>
      <c r="E776" s="19"/>
      <c r="F776" s="19"/>
      <c r="G776" s="19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9"/>
      <c r="D777" s="19"/>
      <c r="E777" s="19"/>
      <c r="F777" s="19"/>
      <c r="G777" s="19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9"/>
      <c r="D778" s="19"/>
      <c r="E778" s="19"/>
      <c r="F778" s="19"/>
      <c r="G778" s="19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9"/>
      <c r="D779" s="19"/>
      <c r="E779" s="19"/>
      <c r="F779" s="19"/>
      <c r="G779" s="19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9"/>
      <c r="D780" s="19"/>
      <c r="E780" s="19"/>
      <c r="F780" s="19"/>
      <c r="G780" s="19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9"/>
      <c r="D781" s="19"/>
      <c r="E781" s="19"/>
      <c r="F781" s="19"/>
      <c r="G781" s="19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9"/>
      <c r="D782" s="19"/>
      <c r="E782" s="19"/>
      <c r="F782" s="19"/>
      <c r="G782" s="19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9"/>
      <c r="D783" s="19"/>
      <c r="E783" s="19"/>
      <c r="F783" s="19"/>
      <c r="G783" s="19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9"/>
      <c r="D784" s="19"/>
      <c r="E784" s="19"/>
      <c r="F784" s="19"/>
      <c r="G784" s="19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9"/>
      <c r="D785" s="19"/>
      <c r="E785" s="19"/>
      <c r="F785" s="19"/>
      <c r="G785" s="19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9"/>
      <c r="D786" s="19"/>
      <c r="E786" s="19"/>
      <c r="F786" s="19"/>
      <c r="G786" s="19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9"/>
      <c r="D787" s="19"/>
      <c r="E787" s="19"/>
      <c r="F787" s="19"/>
      <c r="G787" s="19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9"/>
      <c r="D788" s="19"/>
      <c r="E788" s="19"/>
      <c r="F788" s="19"/>
      <c r="G788" s="19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9"/>
      <c r="D789" s="19"/>
      <c r="E789" s="19"/>
      <c r="F789" s="19"/>
      <c r="G789" s="19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9"/>
      <c r="D790" s="19"/>
      <c r="E790" s="19"/>
      <c r="F790" s="19"/>
      <c r="G790" s="19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9"/>
      <c r="D791" s="19"/>
      <c r="E791" s="19"/>
      <c r="F791" s="19"/>
      <c r="G791" s="19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9"/>
      <c r="D792" s="19"/>
      <c r="E792" s="19"/>
      <c r="F792" s="19"/>
      <c r="G792" s="19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9"/>
      <c r="D793" s="19"/>
      <c r="E793" s="19"/>
      <c r="F793" s="19"/>
      <c r="G793" s="19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9"/>
      <c r="D794" s="19"/>
      <c r="E794" s="19"/>
      <c r="F794" s="19"/>
      <c r="G794" s="19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9"/>
      <c r="D795" s="19"/>
      <c r="E795" s="19"/>
      <c r="F795" s="19"/>
      <c r="G795" s="19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9"/>
      <c r="D796" s="19"/>
      <c r="E796" s="19"/>
      <c r="F796" s="19"/>
      <c r="G796" s="19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9"/>
      <c r="D797" s="19"/>
      <c r="E797" s="19"/>
      <c r="F797" s="19"/>
      <c r="G797" s="19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9"/>
      <c r="D798" s="19"/>
      <c r="E798" s="19"/>
      <c r="F798" s="19"/>
      <c r="G798" s="19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9"/>
      <c r="D799" s="19"/>
      <c r="E799" s="19"/>
      <c r="F799" s="19"/>
      <c r="G799" s="19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9"/>
      <c r="D800" s="19"/>
      <c r="E800" s="19"/>
      <c r="F800" s="19"/>
      <c r="G800" s="19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9"/>
      <c r="D801" s="19"/>
      <c r="E801" s="19"/>
      <c r="F801" s="19"/>
      <c r="G801" s="19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9"/>
      <c r="D802" s="19"/>
      <c r="E802" s="19"/>
      <c r="F802" s="19"/>
      <c r="G802" s="19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9"/>
      <c r="D803" s="19"/>
      <c r="E803" s="19"/>
      <c r="F803" s="19"/>
      <c r="G803" s="19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9"/>
      <c r="D804" s="19"/>
      <c r="E804" s="19"/>
      <c r="F804" s="19"/>
      <c r="G804" s="19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9"/>
      <c r="D805" s="19"/>
      <c r="E805" s="19"/>
      <c r="F805" s="19"/>
      <c r="G805" s="19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9"/>
      <c r="D806" s="19"/>
      <c r="E806" s="19"/>
      <c r="F806" s="19"/>
      <c r="G806" s="19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9"/>
      <c r="D807" s="19"/>
      <c r="E807" s="19"/>
      <c r="F807" s="19"/>
      <c r="G807" s="19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9"/>
      <c r="D808" s="19"/>
      <c r="E808" s="19"/>
      <c r="F808" s="19"/>
      <c r="G808" s="19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9"/>
      <c r="D809" s="19"/>
      <c r="E809" s="19"/>
      <c r="F809" s="19"/>
      <c r="G809" s="19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9"/>
      <c r="D810" s="19"/>
      <c r="E810" s="19"/>
      <c r="F810" s="19"/>
      <c r="G810" s="19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9"/>
      <c r="D811" s="19"/>
      <c r="E811" s="19"/>
      <c r="F811" s="19"/>
      <c r="G811" s="19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9"/>
      <c r="D812" s="19"/>
      <c r="E812" s="19"/>
      <c r="F812" s="19"/>
      <c r="G812" s="19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9"/>
      <c r="D813" s="19"/>
      <c r="E813" s="19"/>
      <c r="F813" s="19"/>
      <c r="G813" s="19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9"/>
      <c r="D814" s="19"/>
      <c r="E814" s="19"/>
      <c r="F814" s="19"/>
      <c r="G814" s="19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9"/>
      <c r="D815" s="19"/>
      <c r="E815" s="19"/>
      <c r="F815" s="19"/>
      <c r="G815" s="19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9"/>
      <c r="D816" s="19"/>
      <c r="E816" s="19"/>
      <c r="F816" s="19"/>
      <c r="G816" s="19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9"/>
      <c r="D817" s="19"/>
      <c r="E817" s="19"/>
      <c r="F817" s="19"/>
      <c r="G817" s="19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9"/>
      <c r="D818" s="19"/>
      <c r="E818" s="19"/>
      <c r="F818" s="19"/>
      <c r="G818" s="19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9"/>
      <c r="D819" s="19"/>
      <c r="E819" s="19"/>
      <c r="F819" s="19"/>
      <c r="G819" s="19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9"/>
      <c r="D820" s="19"/>
      <c r="E820" s="19"/>
      <c r="F820" s="19"/>
      <c r="G820" s="19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9"/>
      <c r="D821" s="19"/>
      <c r="E821" s="19"/>
      <c r="F821" s="19"/>
      <c r="G821" s="19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9"/>
      <c r="D822" s="19"/>
      <c r="E822" s="19"/>
      <c r="F822" s="19"/>
      <c r="G822" s="19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9"/>
      <c r="D823" s="19"/>
      <c r="E823" s="19"/>
      <c r="F823" s="19"/>
      <c r="G823" s="19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9"/>
      <c r="D824" s="19"/>
      <c r="E824" s="19"/>
      <c r="F824" s="19"/>
      <c r="G824" s="19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9"/>
      <c r="D825" s="19"/>
      <c r="E825" s="19"/>
      <c r="F825" s="19"/>
      <c r="G825" s="19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9"/>
      <c r="D826" s="19"/>
      <c r="E826" s="19"/>
      <c r="F826" s="19"/>
      <c r="G826" s="19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9"/>
      <c r="D827" s="19"/>
      <c r="E827" s="19"/>
      <c r="F827" s="19"/>
      <c r="G827" s="19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9"/>
      <c r="D828" s="19"/>
      <c r="E828" s="19"/>
      <c r="F828" s="19"/>
      <c r="G828" s="19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9"/>
      <c r="D829" s="19"/>
      <c r="E829" s="19"/>
      <c r="F829" s="19"/>
      <c r="G829" s="19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9"/>
      <c r="D830" s="19"/>
      <c r="E830" s="19"/>
      <c r="F830" s="19"/>
      <c r="G830" s="19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9"/>
      <c r="D831" s="19"/>
      <c r="E831" s="19"/>
      <c r="F831" s="19"/>
      <c r="G831" s="19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9"/>
      <c r="D832" s="19"/>
      <c r="E832" s="19"/>
      <c r="F832" s="19"/>
      <c r="G832" s="19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9"/>
      <c r="D833" s="19"/>
      <c r="E833" s="19"/>
      <c r="F833" s="19"/>
      <c r="G833" s="19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9"/>
      <c r="D834" s="19"/>
      <c r="E834" s="19"/>
      <c r="F834" s="19"/>
      <c r="G834" s="19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9"/>
      <c r="D835" s="19"/>
      <c r="E835" s="19"/>
      <c r="F835" s="19"/>
      <c r="G835" s="19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9"/>
      <c r="D836" s="19"/>
      <c r="E836" s="19"/>
      <c r="F836" s="19"/>
      <c r="G836" s="19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9"/>
      <c r="D837" s="19"/>
      <c r="E837" s="19"/>
      <c r="F837" s="19"/>
      <c r="G837" s="19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9"/>
      <c r="D838" s="19"/>
      <c r="E838" s="19"/>
      <c r="F838" s="19"/>
      <c r="G838" s="19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9"/>
      <c r="D839" s="19"/>
      <c r="E839" s="19"/>
      <c r="F839" s="19"/>
      <c r="G839" s="19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9"/>
      <c r="D840" s="19"/>
      <c r="E840" s="19"/>
      <c r="F840" s="19"/>
      <c r="G840" s="19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9"/>
      <c r="D841" s="19"/>
      <c r="E841" s="19"/>
      <c r="F841" s="19"/>
      <c r="G841" s="19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9"/>
      <c r="D842" s="19"/>
      <c r="E842" s="19"/>
      <c r="F842" s="19"/>
      <c r="G842" s="19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9"/>
      <c r="D843" s="19"/>
      <c r="E843" s="19"/>
      <c r="F843" s="19"/>
      <c r="G843" s="19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9"/>
      <c r="D844" s="19"/>
      <c r="E844" s="19"/>
      <c r="F844" s="19"/>
      <c r="G844" s="19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9"/>
      <c r="D845" s="19"/>
      <c r="E845" s="19"/>
      <c r="F845" s="19"/>
      <c r="G845" s="19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9"/>
      <c r="D846" s="19"/>
      <c r="E846" s="19"/>
      <c r="F846" s="19"/>
      <c r="G846" s="19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9"/>
      <c r="D847" s="19"/>
      <c r="E847" s="19"/>
      <c r="F847" s="19"/>
      <c r="G847" s="19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9"/>
      <c r="D848" s="19"/>
      <c r="E848" s="19"/>
      <c r="F848" s="19"/>
      <c r="G848" s="19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9"/>
      <c r="D849" s="19"/>
      <c r="E849" s="19"/>
      <c r="F849" s="19"/>
      <c r="G849" s="19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9"/>
      <c r="D850" s="19"/>
      <c r="E850" s="19"/>
      <c r="F850" s="19"/>
      <c r="G850" s="19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9"/>
      <c r="D851" s="19"/>
      <c r="E851" s="19"/>
      <c r="F851" s="19"/>
      <c r="G851" s="19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9"/>
      <c r="D852" s="19"/>
      <c r="E852" s="19"/>
      <c r="F852" s="19"/>
      <c r="G852" s="19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9"/>
      <c r="D853" s="19"/>
      <c r="E853" s="19"/>
      <c r="F853" s="19"/>
      <c r="G853" s="19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9"/>
      <c r="D854" s="19"/>
      <c r="E854" s="19"/>
      <c r="F854" s="19"/>
      <c r="G854" s="19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9"/>
      <c r="D855" s="19"/>
      <c r="E855" s="19"/>
      <c r="F855" s="19"/>
      <c r="G855" s="19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9"/>
      <c r="D856" s="19"/>
      <c r="E856" s="19"/>
      <c r="F856" s="19"/>
      <c r="G856" s="19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9"/>
      <c r="D857" s="19"/>
      <c r="E857" s="19"/>
      <c r="F857" s="19"/>
      <c r="G857" s="19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9"/>
      <c r="D858" s="19"/>
      <c r="E858" s="19"/>
      <c r="F858" s="19"/>
      <c r="G858" s="19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9"/>
      <c r="D859" s="19"/>
      <c r="E859" s="19"/>
      <c r="F859" s="19"/>
      <c r="G859" s="19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9"/>
      <c r="D860" s="19"/>
      <c r="E860" s="19"/>
      <c r="F860" s="19"/>
      <c r="G860" s="19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9"/>
      <c r="D861" s="19"/>
      <c r="E861" s="19"/>
      <c r="F861" s="19"/>
      <c r="G861" s="19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9"/>
      <c r="D862" s="19"/>
      <c r="E862" s="19"/>
      <c r="F862" s="19"/>
      <c r="G862" s="19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9"/>
      <c r="D863" s="19"/>
      <c r="E863" s="19"/>
      <c r="F863" s="19"/>
      <c r="G863" s="19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9"/>
      <c r="D864" s="19"/>
      <c r="E864" s="19"/>
      <c r="F864" s="19"/>
      <c r="G864" s="19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9"/>
      <c r="D865" s="19"/>
      <c r="E865" s="19"/>
      <c r="F865" s="19"/>
      <c r="G865" s="19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9"/>
      <c r="D866" s="19"/>
      <c r="E866" s="19"/>
      <c r="F866" s="19"/>
      <c r="G866" s="19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9"/>
      <c r="D867" s="19"/>
      <c r="E867" s="19"/>
      <c r="F867" s="19"/>
      <c r="G867" s="19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9"/>
      <c r="D868" s="19"/>
      <c r="E868" s="19"/>
      <c r="F868" s="19"/>
      <c r="G868" s="19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9"/>
      <c r="D869" s="19"/>
      <c r="E869" s="19"/>
      <c r="F869" s="19"/>
      <c r="G869" s="19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9"/>
      <c r="D870" s="19"/>
      <c r="E870" s="19"/>
      <c r="F870" s="19"/>
      <c r="G870" s="19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9"/>
      <c r="D871" s="19"/>
      <c r="E871" s="19"/>
      <c r="F871" s="19"/>
      <c r="G871" s="19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9"/>
      <c r="D872" s="19"/>
      <c r="E872" s="19"/>
      <c r="F872" s="19"/>
      <c r="G872" s="19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9"/>
      <c r="D873" s="19"/>
      <c r="E873" s="19"/>
      <c r="F873" s="19"/>
      <c r="G873" s="19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9"/>
      <c r="D874" s="19"/>
      <c r="E874" s="19"/>
      <c r="F874" s="19"/>
      <c r="G874" s="19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9"/>
      <c r="D875" s="19"/>
      <c r="E875" s="19"/>
      <c r="F875" s="19"/>
      <c r="G875" s="19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9"/>
      <c r="D876" s="19"/>
      <c r="E876" s="19"/>
      <c r="F876" s="19"/>
      <c r="G876" s="19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9"/>
      <c r="D877" s="19"/>
      <c r="E877" s="19"/>
      <c r="F877" s="19"/>
      <c r="G877" s="19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9"/>
      <c r="D878" s="19"/>
      <c r="E878" s="19"/>
      <c r="F878" s="19"/>
      <c r="G878" s="19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9"/>
      <c r="D879" s="19"/>
      <c r="E879" s="19"/>
      <c r="F879" s="19"/>
      <c r="G879" s="19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9"/>
      <c r="D880" s="19"/>
      <c r="E880" s="19"/>
      <c r="F880" s="19"/>
      <c r="G880" s="19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9"/>
      <c r="D881" s="19"/>
      <c r="E881" s="19"/>
      <c r="F881" s="19"/>
      <c r="G881" s="19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9"/>
      <c r="D882" s="19"/>
      <c r="E882" s="19"/>
      <c r="F882" s="19"/>
      <c r="G882" s="19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9"/>
      <c r="D883" s="19"/>
      <c r="E883" s="19"/>
      <c r="F883" s="19"/>
      <c r="G883" s="19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9"/>
      <c r="D884" s="19"/>
      <c r="E884" s="19"/>
      <c r="F884" s="19"/>
      <c r="G884" s="19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9"/>
      <c r="D885" s="19"/>
      <c r="E885" s="19"/>
      <c r="F885" s="19"/>
      <c r="G885" s="19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9"/>
      <c r="D886" s="19"/>
      <c r="E886" s="19"/>
      <c r="F886" s="19"/>
      <c r="G886" s="19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9"/>
      <c r="D887" s="19"/>
      <c r="E887" s="19"/>
      <c r="F887" s="19"/>
      <c r="G887" s="19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9"/>
      <c r="D888" s="19"/>
      <c r="E888" s="19"/>
      <c r="F888" s="19"/>
      <c r="G888" s="19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9"/>
      <c r="D889" s="19"/>
      <c r="E889" s="19"/>
      <c r="F889" s="19"/>
      <c r="G889" s="19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9"/>
      <c r="D890" s="19"/>
      <c r="E890" s="19"/>
      <c r="F890" s="19"/>
      <c r="G890" s="19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9"/>
      <c r="D891" s="19"/>
      <c r="E891" s="19"/>
      <c r="F891" s="19"/>
      <c r="G891" s="19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9"/>
      <c r="D892" s="19"/>
      <c r="E892" s="19"/>
      <c r="F892" s="19"/>
      <c r="G892" s="19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9"/>
      <c r="D893" s="19"/>
      <c r="E893" s="19"/>
      <c r="F893" s="19"/>
      <c r="G893" s="19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9"/>
      <c r="D894" s="19"/>
      <c r="E894" s="19"/>
      <c r="F894" s="19"/>
      <c r="G894" s="19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9"/>
      <c r="D895" s="19"/>
      <c r="E895" s="19"/>
      <c r="F895" s="19"/>
      <c r="G895" s="19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9"/>
      <c r="D896" s="19"/>
      <c r="E896" s="19"/>
      <c r="F896" s="19"/>
      <c r="G896" s="19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9"/>
      <c r="D897" s="19"/>
      <c r="E897" s="19"/>
      <c r="F897" s="19"/>
      <c r="G897" s="19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9"/>
      <c r="D898" s="19"/>
      <c r="E898" s="19"/>
      <c r="F898" s="19"/>
      <c r="G898" s="19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9"/>
      <c r="D899" s="19"/>
      <c r="E899" s="19"/>
      <c r="F899" s="19"/>
      <c r="G899" s="19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9"/>
      <c r="D900" s="19"/>
      <c r="E900" s="19"/>
      <c r="F900" s="19"/>
      <c r="G900" s="19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9"/>
      <c r="D901" s="19"/>
      <c r="E901" s="19"/>
      <c r="F901" s="19"/>
      <c r="G901" s="19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9"/>
      <c r="D902" s="19"/>
      <c r="E902" s="19"/>
      <c r="F902" s="19"/>
      <c r="G902" s="19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9"/>
      <c r="D903" s="19"/>
      <c r="E903" s="19"/>
      <c r="F903" s="19"/>
      <c r="G903" s="19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9"/>
      <c r="D904" s="19"/>
      <c r="E904" s="19"/>
      <c r="F904" s="19"/>
      <c r="G904" s="19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9"/>
      <c r="D905" s="19"/>
      <c r="E905" s="19"/>
      <c r="F905" s="19"/>
      <c r="G905" s="19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9"/>
      <c r="D906" s="19"/>
      <c r="E906" s="19"/>
      <c r="F906" s="19"/>
      <c r="G906" s="19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9"/>
      <c r="D907" s="19"/>
      <c r="E907" s="19"/>
      <c r="F907" s="19"/>
      <c r="G907" s="19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9"/>
      <c r="D908" s="19"/>
      <c r="E908" s="19"/>
      <c r="F908" s="19"/>
      <c r="G908" s="19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9"/>
      <c r="D909" s="19"/>
      <c r="E909" s="19"/>
      <c r="F909" s="19"/>
      <c r="G909" s="19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9"/>
      <c r="D910" s="19"/>
      <c r="E910" s="19"/>
      <c r="F910" s="19"/>
      <c r="G910" s="19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9"/>
      <c r="D911" s="19"/>
      <c r="E911" s="19"/>
      <c r="F911" s="19"/>
      <c r="G911" s="19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9"/>
      <c r="D912" s="19"/>
      <c r="E912" s="19"/>
      <c r="F912" s="19"/>
      <c r="G912" s="19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9"/>
      <c r="D913" s="19"/>
      <c r="E913" s="19"/>
      <c r="F913" s="19"/>
      <c r="G913" s="19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9"/>
      <c r="D914" s="19"/>
      <c r="E914" s="19"/>
      <c r="F914" s="19"/>
      <c r="G914" s="19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9"/>
      <c r="D915" s="19"/>
      <c r="E915" s="19"/>
      <c r="F915" s="19"/>
      <c r="G915" s="19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9"/>
      <c r="D916" s="19"/>
      <c r="E916" s="19"/>
      <c r="F916" s="19"/>
      <c r="G916" s="19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9"/>
      <c r="D917" s="19"/>
      <c r="E917" s="19"/>
      <c r="F917" s="19"/>
      <c r="G917" s="19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9"/>
      <c r="D918" s="19"/>
      <c r="E918" s="19"/>
      <c r="F918" s="19"/>
      <c r="G918" s="19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9"/>
      <c r="D919" s="19"/>
      <c r="E919" s="19"/>
      <c r="F919" s="19"/>
      <c r="G919" s="19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9"/>
      <c r="D920" s="19"/>
      <c r="E920" s="19"/>
      <c r="F920" s="19"/>
      <c r="G920" s="19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9"/>
      <c r="D921" s="19"/>
      <c r="E921" s="19"/>
      <c r="F921" s="19"/>
      <c r="G921" s="19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9"/>
      <c r="D922" s="19"/>
      <c r="E922" s="19"/>
      <c r="F922" s="19"/>
      <c r="G922" s="19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9"/>
      <c r="D923" s="19"/>
      <c r="E923" s="19"/>
      <c r="F923" s="19"/>
      <c r="G923" s="19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9"/>
      <c r="D924" s="19"/>
      <c r="E924" s="19"/>
      <c r="F924" s="19"/>
      <c r="G924" s="19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9"/>
      <c r="D925" s="19"/>
      <c r="E925" s="19"/>
      <c r="F925" s="19"/>
      <c r="G925" s="19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9"/>
      <c r="D926" s="19"/>
      <c r="E926" s="19"/>
      <c r="F926" s="19"/>
      <c r="G926" s="19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9"/>
      <c r="D927" s="19"/>
      <c r="E927" s="19"/>
      <c r="F927" s="19"/>
      <c r="G927" s="19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9"/>
      <c r="D928" s="19"/>
      <c r="E928" s="19"/>
      <c r="F928" s="19"/>
      <c r="G928" s="19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9"/>
      <c r="D929" s="19"/>
      <c r="E929" s="19"/>
      <c r="F929" s="19"/>
      <c r="G929" s="19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9"/>
      <c r="D930" s="19"/>
      <c r="E930" s="19"/>
      <c r="F930" s="19"/>
      <c r="G930" s="19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9"/>
      <c r="D931" s="19"/>
      <c r="E931" s="19"/>
      <c r="F931" s="19"/>
      <c r="G931" s="19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9"/>
      <c r="D932" s="19"/>
      <c r="E932" s="19"/>
      <c r="F932" s="19"/>
      <c r="G932" s="19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9"/>
      <c r="D933" s="19"/>
      <c r="E933" s="19"/>
      <c r="F933" s="19"/>
      <c r="G933" s="19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9"/>
      <c r="D934" s="19"/>
      <c r="E934" s="19"/>
      <c r="F934" s="19"/>
      <c r="G934" s="19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9"/>
      <c r="D935" s="19"/>
      <c r="E935" s="19"/>
      <c r="F935" s="19"/>
      <c r="G935" s="19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9"/>
      <c r="D936" s="19"/>
      <c r="E936" s="19"/>
      <c r="F936" s="19"/>
      <c r="G936" s="19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9"/>
      <c r="D937" s="19"/>
      <c r="E937" s="19"/>
      <c r="F937" s="19"/>
      <c r="G937" s="19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9"/>
      <c r="D938" s="19"/>
      <c r="E938" s="19"/>
      <c r="F938" s="19"/>
      <c r="G938" s="19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9"/>
      <c r="D939" s="19"/>
      <c r="E939" s="19"/>
      <c r="F939" s="19"/>
      <c r="G939" s="19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9"/>
      <c r="D940" s="19"/>
      <c r="E940" s="19"/>
      <c r="F940" s="19"/>
      <c r="G940" s="19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9"/>
      <c r="D941" s="19"/>
      <c r="E941" s="19"/>
      <c r="F941" s="19"/>
      <c r="G941" s="19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9"/>
      <c r="D942" s="19"/>
      <c r="E942" s="19"/>
      <c r="F942" s="19"/>
      <c r="G942" s="19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9"/>
      <c r="D943" s="19"/>
      <c r="E943" s="19"/>
      <c r="F943" s="19"/>
      <c r="G943" s="19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9"/>
      <c r="D944" s="19"/>
      <c r="E944" s="19"/>
      <c r="F944" s="19"/>
      <c r="G944" s="19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9"/>
      <c r="D945" s="19"/>
      <c r="E945" s="19"/>
      <c r="F945" s="19"/>
      <c r="G945" s="19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9"/>
      <c r="D946" s="19"/>
      <c r="E946" s="19"/>
      <c r="F946" s="19"/>
      <c r="G946" s="19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9"/>
      <c r="D947" s="19"/>
      <c r="E947" s="19"/>
      <c r="F947" s="19"/>
      <c r="G947" s="19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9"/>
      <c r="D948" s="19"/>
      <c r="E948" s="19"/>
      <c r="F948" s="19"/>
      <c r="G948" s="19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9"/>
      <c r="D949" s="19"/>
      <c r="E949" s="19"/>
      <c r="F949" s="19"/>
      <c r="G949" s="19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9"/>
      <c r="D950" s="19"/>
      <c r="E950" s="19"/>
      <c r="F950" s="19"/>
      <c r="G950" s="19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9"/>
      <c r="D951" s="19"/>
      <c r="E951" s="19"/>
      <c r="F951" s="19"/>
      <c r="G951" s="19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9"/>
      <c r="D952" s="19"/>
      <c r="E952" s="19"/>
      <c r="F952" s="19"/>
      <c r="G952" s="19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9"/>
      <c r="D953" s="19"/>
      <c r="E953" s="19"/>
      <c r="F953" s="19"/>
      <c r="G953" s="19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9"/>
      <c r="D954" s="19"/>
      <c r="E954" s="19"/>
      <c r="F954" s="19"/>
      <c r="G954" s="19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9"/>
      <c r="D955" s="19"/>
      <c r="E955" s="19"/>
      <c r="F955" s="19"/>
      <c r="G955" s="19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9"/>
      <c r="D956" s="19"/>
      <c r="E956" s="19"/>
      <c r="F956" s="19"/>
      <c r="G956" s="19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9"/>
      <c r="D957" s="19"/>
      <c r="E957" s="19"/>
      <c r="F957" s="19"/>
      <c r="G957" s="19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9"/>
      <c r="D958" s="19"/>
      <c r="E958" s="19"/>
      <c r="F958" s="19"/>
      <c r="G958" s="19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9"/>
      <c r="D959" s="19"/>
      <c r="E959" s="19"/>
      <c r="F959" s="19"/>
      <c r="G959" s="19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9"/>
      <c r="D960" s="19"/>
      <c r="E960" s="19"/>
      <c r="F960" s="19"/>
      <c r="G960" s="19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9"/>
      <c r="D961" s="19"/>
      <c r="E961" s="19"/>
      <c r="F961" s="19"/>
      <c r="G961" s="19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9"/>
      <c r="D962" s="19"/>
      <c r="E962" s="19"/>
      <c r="F962" s="19"/>
      <c r="G962" s="19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9"/>
      <c r="D963" s="19"/>
      <c r="E963" s="19"/>
      <c r="F963" s="19"/>
      <c r="G963" s="19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9"/>
      <c r="D964" s="19"/>
      <c r="E964" s="19"/>
      <c r="F964" s="19"/>
      <c r="G964" s="19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9"/>
      <c r="D965" s="19"/>
      <c r="E965" s="19"/>
      <c r="F965" s="19"/>
      <c r="G965" s="19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9"/>
      <c r="D966" s="19"/>
      <c r="E966" s="19"/>
      <c r="F966" s="19"/>
      <c r="G966" s="19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9"/>
      <c r="D967" s="19"/>
      <c r="E967" s="19"/>
      <c r="F967" s="19"/>
      <c r="G967" s="19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9"/>
      <c r="D968" s="19"/>
      <c r="E968" s="19"/>
      <c r="F968" s="19"/>
      <c r="G968" s="19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9"/>
      <c r="D969" s="19"/>
      <c r="E969" s="19"/>
      <c r="F969" s="19"/>
      <c r="G969" s="19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9"/>
      <c r="D970" s="19"/>
      <c r="E970" s="19"/>
      <c r="F970" s="19"/>
      <c r="G970" s="19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9"/>
      <c r="D971" s="19"/>
      <c r="E971" s="19"/>
      <c r="F971" s="19"/>
      <c r="G971" s="19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19"/>
      <c r="D972" s="19"/>
      <c r="E972" s="19"/>
      <c r="F972" s="19"/>
      <c r="G972" s="19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19"/>
      <c r="D973" s="19"/>
      <c r="E973" s="19"/>
      <c r="F973" s="19"/>
      <c r="G973" s="19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19"/>
      <c r="D974" s="19"/>
      <c r="E974" s="19"/>
      <c r="F974" s="19"/>
      <c r="G974" s="19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19"/>
      <c r="D975" s="19"/>
      <c r="E975" s="19"/>
      <c r="F975" s="19"/>
      <c r="G975" s="19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19"/>
      <c r="D976" s="19"/>
      <c r="E976" s="19"/>
      <c r="F976" s="19"/>
      <c r="G976" s="19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19"/>
      <c r="D977" s="19"/>
      <c r="E977" s="19"/>
      <c r="F977" s="19"/>
      <c r="G977" s="19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19"/>
      <c r="D978" s="19"/>
      <c r="E978" s="19"/>
      <c r="F978" s="19"/>
      <c r="G978" s="19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19"/>
      <c r="D979" s="19"/>
      <c r="E979" s="19"/>
      <c r="F979" s="19"/>
      <c r="G979" s="19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19"/>
      <c r="D980" s="19"/>
      <c r="E980" s="19"/>
      <c r="F980" s="19"/>
      <c r="G980" s="19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19"/>
      <c r="D981" s="19"/>
      <c r="E981" s="19"/>
      <c r="F981" s="19"/>
      <c r="G981" s="19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19"/>
      <c r="D982" s="19"/>
      <c r="E982" s="19"/>
      <c r="F982" s="19"/>
      <c r="G982" s="19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19"/>
      <c r="D983" s="19"/>
      <c r="E983" s="19"/>
      <c r="F983" s="19"/>
      <c r="G983" s="19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19"/>
      <c r="D984" s="19"/>
      <c r="E984" s="19"/>
      <c r="F984" s="19"/>
      <c r="G984" s="19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19"/>
      <c r="D985" s="19"/>
      <c r="E985" s="19"/>
      <c r="F985" s="19"/>
      <c r="G985" s="19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19"/>
      <c r="D986" s="19"/>
      <c r="E986" s="19"/>
      <c r="F986" s="19"/>
      <c r="G986" s="19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19"/>
      <c r="D987" s="19"/>
      <c r="E987" s="19"/>
      <c r="F987" s="19"/>
      <c r="G987" s="19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19"/>
      <c r="D988" s="19"/>
      <c r="E988" s="19"/>
      <c r="F988" s="19"/>
      <c r="G988" s="19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19"/>
      <c r="D989" s="19"/>
      <c r="E989" s="19"/>
      <c r="F989" s="19"/>
      <c r="G989" s="19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19"/>
      <c r="D990" s="19"/>
      <c r="E990" s="19"/>
      <c r="F990" s="19"/>
      <c r="G990" s="19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19"/>
      <c r="D991" s="19"/>
      <c r="E991" s="19"/>
      <c r="F991" s="19"/>
      <c r="G991" s="19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19"/>
      <c r="D992" s="19"/>
      <c r="E992" s="19"/>
      <c r="F992" s="19"/>
      <c r="G992" s="19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19"/>
      <c r="D993" s="19"/>
      <c r="E993" s="19"/>
      <c r="F993" s="19"/>
      <c r="G993" s="19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19"/>
      <c r="D994" s="19"/>
      <c r="E994" s="19"/>
      <c r="F994" s="19"/>
      <c r="G994" s="19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19"/>
      <c r="D995" s="19"/>
      <c r="E995" s="19"/>
      <c r="F995" s="19"/>
      <c r="G995" s="19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19"/>
      <c r="D996" s="19"/>
      <c r="E996" s="19"/>
      <c r="F996" s="19"/>
      <c r="G996" s="19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19"/>
      <c r="D997" s="19"/>
      <c r="E997" s="19"/>
      <c r="F997" s="19"/>
      <c r="G997" s="19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19"/>
      <c r="D998" s="19"/>
      <c r="E998" s="19"/>
      <c r="F998" s="19"/>
      <c r="G998" s="19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19"/>
      <c r="D999" s="19"/>
      <c r="E999" s="19"/>
      <c r="F999" s="19"/>
      <c r="G999" s="19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B1000" s="13"/>
      <c r="C1000" s="19"/>
      <c r="D1000" s="19"/>
      <c r="E1000" s="19"/>
      <c r="F1000" s="19"/>
      <c r="G1000" s="19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5.75" customHeight="1">
      <c r="A1001" s="13"/>
      <c r="B1001" s="13"/>
      <c r="C1001" s="19"/>
      <c r="D1001" s="19"/>
      <c r="E1001" s="19"/>
      <c r="F1001" s="19"/>
      <c r="G1001" s="19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</sheetData>
  <mergeCells count="3">
    <mergeCell ref="B2:G2"/>
    <mergeCell ref="B3:G3"/>
    <mergeCell ref="B29:C29"/>
  </mergeCells>
  <pageMargins left="0.7" right="0.7" top="0.75" bottom="0.75" header="0" footer="0"/>
  <pageSetup orientation="landscape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Z1000"/>
  <sheetViews>
    <sheetView showGridLines="0" topLeftCell="A10" workbookViewId="0">
      <selection activeCell="C26" sqref="C26"/>
    </sheetView>
  </sheetViews>
  <sheetFormatPr defaultColWidth="14.42578125" defaultRowHeight="15" customHeight="1"/>
  <cols>
    <col min="1" max="1" width="11.42578125" customWidth="1"/>
    <col min="2" max="2" width="38.42578125" customWidth="1"/>
    <col min="3" max="3" width="16.42578125" customWidth="1"/>
    <col min="4" max="4" width="13.85546875" customWidth="1"/>
    <col min="5" max="6" width="14.140625" customWidth="1"/>
    <col min="7" max="7" width="15.28515625" customWidth="1"/>
    <col min="8" max="8" width="15.85546875" bestFit="1" customWidth="1"/>
    <col min="9" max="26" width="11.42578125" customWidth="1"/>
  </cols>
  <sheetData>
    <row r="1" spans="1:26" ht="15.75">
      <c r="A1" s="140"/>
      <c r="B1" s="140"/>
      <c r="C1" s="306"/>
      <c r="D1" s="306"/>
      <c r="E1" s="306"/>
      <c r="F1" s="306"/>
      <c r="G1" s="306"/>
      <c r="H1" s="306"/>
      <c r="I1" s="140"/>
      <c r="J1" s="140"/>
      <c r="K1" s="140"/>
      <c r="L1" s="140"/>
      <c r="M1" s="140"/>
      <c r="N1" s="140"/>
      <c r="O1" s="140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40"/>
      <c r="B2" s="426" t="s">
        <v>39</v>
      </c>
      <c r="C2" s="444"/>
      <c r="D2" s="444"/>
      <c r="E2" s="444"/>
      <c r="F2" s="444"/>
      <c r="G2" s="444"/>
      <c r="H2" s="445"/>
      <c r="I2" s="140"/>
      <c r="J2" s="140"/>
      <c r="K2" s="140"/>
      <c r="L2" s="140"/>
      <c r="M2" s="140"/>
      <c r="N2" s="140"/>
      <c r="O2" s="140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40"/>
      <c r="B3" s="427" t="s">
        <v>87</v>
      </c>
      <c r="C3" s="443"/>
      <c r="D3" s="443"/>
      <c r="E3" s="443"/>
      <c r="F3" s="443"/>
      <c r="G3" s="443"/>
      <c r="H3" s="446"/>
      <c r="I3" s="140"/>
      <c r="J3" s="140"/>
      <c r="K3" s="140"/>
      <c r="L3" s="140"/>
      <c r="M3" s="140"/>
      <c r="N3" s="140"/>
      <c r="O3" s="140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40"/>
      <c r="B4" s="310"/>
      <c r="C4" s="306" t="s">
        <v>187</v>
      </c>
      <c r="D4" s="306" t="s">
        <v>27</v>
      </c>
      <c r="E4" s="306" t="s">
        <v>28</v>
      </c>
      <c r="F4" s="306" t="s">
        <v>29</v>
      </c>
      <c r="G4" s="306" t="s">
        <v>30</v>
      </c>
      <c r="H4" s="314" t="s">
        <v>31</v>
      </c>
      <c r="I4" s="140"/>
      <c r="J4" s="140"/>
      <c r="K4" s="140"/>
      <c r="L4" s="140"/>
      <c r="M4" s="140"/>
      <c r="N4" s="140"/>
      <c r="O4" s="140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>
      <c r="A5" s="140"/>
      <c r="B5" s="307" t="s">
        <v>439</v>
      </c>
      <c r="C5" s="323"/>
      <c r="D5" s="323"/>
      <c r="E5" s="323"/>
      <c r="F5" s="323"/>
      <c r="G5" s="323"/>
      <c r="H5" s="309"/>
      <c r="I5" s="140"/>
      <c r="J5" s="318" t="s">
        <v>77</v>
      </c>
      <c r="K5" s="319" t="s">
        <v>78</v>
      </c>
      <c r="L5" s="140"/>
      <c r="M5" s="140"/>
      <c r="N5" s="140"/>
      <c r="O5" s="140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40"/>
      <c r="B6" s="310" t="s">
        <v>440</v>
      </c>
      <c r="C6" s="333"/>
      <c r="D6" s="333">
        <f>(VentasAños!$C$6)</f>
        <v>462878988.37051368</v>
      </c>
      <c r="E6" s="333">
        <f>(VentasAños!$D$6)</f>
        <v>519998255.53543508</v>
      </c>
      <c r="F6" s="333">
        <f>(VentasAños!$E$6)</f>
        <v>589106023.69609439</v>
      </c>
      <c r="G6" s="333">
        <f>(VentasAños!F6)</f>
        <v>669342264.12350249</v>
      </c>
      <c r="H6" s="333">
        <f>(VentasAños!$G$6)</f>
        <v>753143915.59176493</v>
      </c>
      <c r="I6" s="140"/>
      <c r="J6" s="199">
        <v>2024</v>
      </c>
      <c r="K6" s="200">
        <f>592%/100</f>
        <v>5.9200000000000003E-2</v>
      </c>
      <c r="L6" s="140"/>
      <c r="M6" s="140"/>
      <c r="N6" s="140"/>
      <c r="O6" s="140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>
      <c r="A7" s="140"/>
      <c r="B7" s="310" t="s">
        <v>441</v>
      </c>
      <c r="C7" s="333"/>
      <c r="D7" s="333">
        <f>ESF!D6</f>
        <v>29349438.036740001</v>
      </c>
      <c r="E7" s="333">
        <f>($D$7*$K$7)+$D$7</f>
        <v>31210192.408269316</v>
      </c>
      <c r="F7" s="333">
        <f>($E$7*$K$8)+$E$7</f>
        <v>33485415.434832148</v>
      </c>
      <c r="G7" s="333">
        <f>($F$7*$K$9)+$F$7</f>
        <v>36037004.090966359</v>
      </c>
      <c r="H7" s="311">
        <f>($G$7*$K$10)+$G$7</f>
        <v>38386616.757697366</v>
      </c>
      <c r="I7" s="140"/>
      <c r="J7" s="199">
        <v>2025</v>
      </c>
      <c r="K7" s="200">
        <f>634%/100</f>
        <v>6.3399999999999998E-2</v>
      </c>
      <c r="L7" s="140"/>
      <c r="M7" s="140"/>
      <c r="N7" s="140"/>
      <c r="O7" s="140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>
      <c r="A8" s="140"/>
      <c r="B8" s="310" t="s">
        <v>442</v>
      </c>
      <c r="C8" s="333">
        <f>(Capital!H14)</f>
        <v>88048314.11022</v>
      </c>
      <c r="D8" s="333">
        <v>0</v>
      </c>
      <c r="E8" s="333">
        <v>0</v>
      </c>
      <c r="F8" s="333">
        <v>0</v>
      </c>
      <c r="G8" s="333">
        <v>0</v>
      </c>
      <c r="H8" s="311">
        <v>0</v>
      </c>
      <c r="I8" s="140"/>
      <c r="J8" s="199">
        <v>2026</v>
      </c>
      <c r="K8" s="200">
        <f>729%/100</f>
        <v>7.2900000000000006E-2</v>
      </c>
      <c r="L8" s="140"/>
      <c r="M8" s="140"/>
      <c r="N8" s="140"/>
      <c r="O8" s="140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40"/>
      <c r="B9" s="310" t="s">
        <v>443</v>
      </c>
      <c r="C9" s="333">
        <f>(Capital!H13)-C7</f>
        <v>205446066.25717998</v>
      </c>
      <c r="D9" s="333"/>
      <c r="E9" s="333"/>
      <c r="F9" s="333"/>
      <c r="G9" s="333"/>
      <c r="H9" s="311"/>
      <c r="I9" s="140"/>
      <c r="J9" s="199">
        <v>2027</v>
      </c>
      <c r="K9" s="200">
        <f>762%/100</f>
        <v>7.6200000000000004E-2</v>
      </c>
      <c r="L9" s="140"/>
      <c r="M9" s="140"/>
      <c r="N9" s="140"/>
      <c r="O9" s="140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40"/>
      <c r="B10" s="312" t="s">
        <v>444</v>
      </c>
      <c r="C10" s="347">
        <f t="shared" ref="C10:H10" si="0">SUM(C6:C9)</f>
        <v>293494380.36739999</v>
      </c>
      <c r="D10" s="347">
        <f t="shared" si="0"/>
        <v>492228426.40725368</v>
      </c>
      <c r="E10" s="347">
        <f t="shared" si="0"/>
        <v>551208447.94370437</v>
      </c>
      <c r="F10" s="347">
        <f t="shared" si="0"/>
        <v>622591439.13092649</v>
      </c>
      <c r="G10" s="347">
        <f t="shared" si="0"/>
        <v>705379268.21446884</v>
      </c>
      <c r="H10" s="347">
        <f t="shared" si="0"/>
        <v>791530532.34946227</v>
      </c>
      <c r="I10" s="140"/>
      <c r="J10" s="199">
        <v>2028</v>
      </c>
      <c r="K10" s="200">
        <f>652%/100</f>
        <v>6.5199999999999994E-2</v>
      </c>
      <c r="L10" s="140"/>
      <c r="M10" s="140"/>
      <c r="N10" s="140"/>
      <c r="O10" s="140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40"/>
      <c r="B11" s="307" t="s">
        <v>445</v>
      </c>
      <c r="C11" s="334"/>
      <c r="D11" s="334"/>
      <c r="E11" s="334"/>
      <c r="F11" s="334"/>
      <c r="G11" s="334"/>
      <c r="H11" s="348"/>
      <c r="I11" s="140"/>
      <c r="J11" s="140"/>
      <c r="K11" s="140"/>
      <c r="L11" s="140"/>
      <c r="M11" s="140"/>
      <c r="N11" s="140"/>
      <c r="O11" s="140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40"/>
      <c r="B12" s="310" t="s">
        <v>446</v>
      </c>
      <c r="C12" s="333">
        <v>0</v>
      </c>
      <c r="D12" s="333">
        <f>(ER!C9)</f>
        <v>233008535.68000001</v>
      </c>
      <c r="E12" s="333">
        <f>(ER!D9)</f>
        <v>247781276.842112</v>
      </c>
      <c r="F12" s="333">
        <f>(ER!E9)</f>
        <v>265844531.92390198</v>
      </c>
      <c r="G12" s="333">
        <f>(ER!F9)</f>
        <v>286101885.25650328</v>
      </c>
      <c r="H12" s="333">
        <f>(ER!G9)</f>
        <v>304755728.17522728</v>
      </c>
      <c r="I12" s="333"/>
      <c r="J12" s="140"/>
      <c r="K12" s="140"/>
      <c r="L12" s="140"/>
      <c r="M12" s="140"/>
      <c r="N12" s="140"/>
      <c r="O12" s="140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40"/>
      <c r="B13" s="310" t="s">
        <v>447</v>
      </c>
      <c r="C13" s="333">
        <v>0</v>
      </c>
      <c r="D13" s="333">
        <f>(ER!C15)</f>
        <v>953280</v>
      </c>
      <c r="E13" s="333">
        <f>(ER!D15)</f>
        <v>1013717.952</v>
      </c>
      <c r="F13" s="333">
        <f>(ER!E15)</f>
        <v>1087617.9907008</v>
      </c>
      <c r="G13" s="333">
        <f>(ER!F15)</f>
        <v>1170494.4815922009</v>
      </c>
      <c r="H13" s="333">
        <f>(ER!G15)</f>
        <v>1246810.7217920125</v>
      </c>
      <c r="I13" s="140"/>
      <c r="J13" s="140"/>
      <c r="K13" s="140"/>
      <c r="L13" s="140"/>
      <c r="M13" s="140"/>
      <c r="N13" s="140"/>
      <c r="O13" s="140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40"/>
      <c r="B14" s="310" t="s">
        <v>448</v>
      </c>
      <c r="C14" s="333">
        <v>0</v>
      </c>
      <c r="D14" s="333">
        <f>(ER!C17)</f>
        <v>4448640</v>
      </c>
      <c r="E14" s="333">
        <f>(ER!D17)</f>
        <v>4730683.7759999996</v>
      </c>
      <c r="F14" s="333">
        <f>(ER!E17)</f>
        <v>5075550.6232703999</v>
      </c>
      <c r="G14" s="333">
        <f>(ER!F17)</f>
        <v>5462307.5807636045</v>
      </c>
      <c r="H14" s="333">
        <f>(ER!G17)</f>
        <v>5818450.0350293918</v>
      </c>
      <c r="I14" s="140"/>
      <c r="J14" s="140"/>
      <c r="K14" s="140"/>
      <c r="L14" s="140"/>
      <c r="M14" s="140"/>
      <c r="N14" s="140"/>
      <c r="O14" s="140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40"/>
      <c r="B15" s="310" t="s">
        <v>449</v>
      </c>
      <c r="C15" s="333">
        <v>0</v>
      </c>
      <c r="D15" s="333">
        <f>(ER!C14)</f>
        <v>107882894.04940033</v>
      </c>
      <c r="E15" s="333">
        <f>(ER!D14)</f>
        <v>114722669.53213231</v>
      </c>
      <c r="F15" s="333">
        <f>(ER!E14)</f>
        <v>123085952.14102475</v>
      </c>
      <c r="G15" s="333">
        <f>(ER!F14)</f>
        <v>132465101.69417083</v>
      </c>
      <c r="H15" s="333">
        <f>(ER!G14)</f>
        <v>141101826.32463077</v>
      </c>
      <c r="I15" s="140"/>
      <c r="J15" s="140"/>
      <c r="K15" s="140"/>
      <c r="L15" s="140"/>
      <c r="M15" s="140"/>
      <c r="N15" s="140"/>
      <c r="O15" s="140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40"/>
      <c r="B16" s="310" t="s">
        <v>450</v>
      </c>
      <c r="C16" s="333">
        <f>(Maquinas!F43)</f>
        <v>25353084</v>
      </c>
      <c r="D16" s="333">
        <v>0</v>
      </c>
      <c r="E16" s="333">
        <v>0</v>
      </c>
      <c r="F16" s="333">
        <v>0</v>
      </c>
      <c r="G16" s="333">
        <v>0</v>
      </c>
      <c r="H16" s="311">
        <v>0</v>
      </c>
      <c r="I16" s="140"/>
      <c r="J16" s="140"/>
      <c r="K16" s="140"/>
      <c r="L16" s="140"/>
      <c r="M16" s="140"/>
      <c r="N16" s="140"/>
      <c r="O16" s="140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40"/>
      <c r="B17" s="310" t="s">
        <v>451</v>
      </c>
      <c r="C17" s="333">
        <f>C54</f>
        <v>3241994</v>
      </c>
      <c r="D17" s="333" t="s">
        <v>431</v>
      </c>
      <c r="E17" s="333"/>
      <c r="F17" s="333"/>
      <c r="G17" s="333"/>
      <c r="H17" s="311"/>
      <c r="I17" s="140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40"/>
      <c r="B18" s="310" t="s">
        <v>452</v>
      </c>
      <c r="C18" s="333"/>
      <c r="D18" s="333">
        <f>(Amorti!I22)</f>
        <v>19590749.889523942</v>
      </c>
      <c r="E18" s="333">
        <f>(Amorti!I34)</f>
        <v>14307851.04291074</v>
      </c>
      <c r="F18" s="333">
        <f>(Amorti!I46)</f>
        <v>9024952.1962975506</v>
      </c>
      <c r="G18" s="333">
        <f>(Amorti!I58)</f>
        <v>3742053.3496843497</v>
      </c>
      <c r="H18" s="311">
        <v>0</v>
      </c>
      <c r="I18" s="140"/>
      <c r="J18" s="140"/>
      <c r="K18" s="140"/>
      <c r="L18" s="140"/>
      <c r="M18" s="140"/>
      <c r="N18" s="140"/>
      <c r="O18" s="140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 customHeight="1">
      <c r="A19" s="140"/>
      <c r="B19" s="310" t="s">
        <v>453</v>
      </c>
      <c r="C19" s="333"/>
      <c r="D19" s="333">
        <f>(Amorti!H22)</f>
        <v>21131595.386452805</v>
      </c>
      <c r="E19" s="333">
        <f>(Amorti!H34)</f>
        <v>21131595.386452805</v>
      </c>
      <c r="F19" s="333">
        <f>(Amorti!H46)</f>
        <v>21131595.386452805</v>
      </c>
      <c r="G19" s="333">
        <f>(Amorti!H58)</f>
        <v>21131595.386452805</v>
      </c>
      <c r="H19" s="311">
        <v>0</v>
      </c>
      <c r="I19" s="140"/>
      <c r="J19" s="140"/>
      <c r="K19" s="140"/>
      <c r="L19" s="140"/>
      <c r="M19" s="140"/>
      <c r="N19" s="140"/>
      <c r="O19" s="140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 customHeight="1">
      <c r="A20" s="140"/>
      <c r="B20" s="310" t="s">
        <v>454</v>
      </c>
      <c r="C20" s="333"/>
      <c r="D20" s="333">
        <f>(ER!C21+ER!C22)</f>
        <v>33361836.674517769</v>
      </c>
      <c r="E20" s="333">
        <f>(ER!D21+ER!D22)</f>
        <v>45607015.958213992</v>
      </c>
      <c r="F20" s="333">
        <f>(ER!E21+ER!E22)</f>
        <v>59856410.772111736</v>
      </c>
      <c r="G20" s="333">
        <f>(ER!F21+ER!F22)</f>
        <v>76793997.724777922</v>
      </c>
      <c r="H20" s="333">
        <f>(ER!G21+ER!G22)</f>
        <v>95863178.003404111</v>
      </c>
      <c r="I20" s="140"/>
      <c r="J20" s="140"/>
      <c r="K20" s="140"/>
      <c r="L20" s="140"/>
      <c r="M20" s="140"/>
      <c r="N20" s="140"/>
      <c r="O20" s="140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40"/>
      <c r="B21" s="310" t="s">
        <v>455</v>
      </c>
      <c r="C21" s="333"/>
      <c r="D21" s="333">
        <f>(ER!C18)</f>
        <v>3044636.2937599998</v>
      </c>
      <c r="E21" s="333">
        <f>(ER!D18)</f>
        <v>3237666.2347843838</v>
      </c>
      <c r="F21" s="333">
        <f>(ER!E18)</f>
        <v>3473692.1033001654</v>
      </c>
      <c r="G21" s="333">
        <f>(ER!F18)</f>
        <v>3738387.441571638</v>
      </c>
      <c r="H21" s="333">
        <f>(ER!G18)</f>
        <v>3982130.3027621089</v>
      </c>
      <c r="I21" s="140"/>
      <c r="J21" s="140"/>
      <c r="K21" s="140"/>
      <c r="L21" s="140"/>
      <c r="M21" s="140"/>
      <c r="N21" s="140"/>
      <c r="O21" s="140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40"/>
      <c r="B22" s="312" t="s">
        <v>456</v>
      </c>
      <c r="C22" s="347">
        <f>SUM(C12:C17)</f>
        <v>28595078</v>
      </c>
      <c r="D22" s="347">
        <f>SUM(D12:D21)</f>
        <v>423422167.97365481</v>
      </c>
      <c r="E22" s="347">
        <f>SUM(E12:E21)</f>
        <v>452532476.72460622</v>
      </c>
      <c r="F22" s="347">
        <f>SUM(F12:F21)</f>
        <v>488580303.13706017</v>
      </c>
      <c r="G22" s="347">
        <f>SUM(G12:G21)</f>
        <v>530605822.91551661</v>
      </c>
      <c r="H22" s="347">
        <f t="shared" ref="H22" si="1">SUM(H12:H21)</f>
        <v>552768123.56284571</v>
      </c>
      <c r="I22" s="140"/>
      <c r="J22" s="140"/>
      <c r="K22" s="140"/>
      <c r="L22" s="140"/>
      <c r="M22" s="140"/>
      <c r="N22" s="140"/>
      <c r="O22" s="140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40"/>
      <c r="B23" s="342" t="s">
        <v>457</v>
      </c>
      <c r="C23" s="343"/>
      <c r="D23" s="343">
        <f>($D$10-$D$22)</f>
        <v>68806258.433598876</v>
      </c>
      <c r="E23" s="343">
        <f>($E$10-$E$22)</f>
        <v>98675971.219098151</v>
      </c>
      <c r="F23" s="343">
        <f>($F$10-$F$22)</f>
        <v>134011135.99386632</v>
      </c>
      <c r="G23" s="343">
        <f>($G$10-$G$22)</f>
        <v>174773445.29895222</v>
      </c>
      <c r="H23" s="343">
        <f>($H$10-$H$22)</f>
        <v>238762408.78661656</v>
      </c>
      <c r="I23" s="140"/>
      <c r="J23" s="140"/>
      <c r="K23" s="140"/>
      <c r="L23" s="140"/>
      <c r="M23" s="140"/>
      <c r="N23" s="140"/>
      <c r="O23" s="140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40"/>
      <c r="B24" s="351" t="s">
        <v>458</v>
      </c>
      <c r="C24" s="352"/>
      <c r="D24" s="352">
        <f>(D23)</f>
        <v>68806258.433598876</v>
      </c>
      <c r="E24" s="352">
        <f>(D24+E23)</f>
        <v>167482229.65269703</v>
      </c>
      <c r="F24" s="352">
        <f>(E24+F23)</f>
        <v>301493365.64656335</v>
      </c>
      <c r="G24" s="352">
        <f>(F24+G23)</f>
        <v>476266810.94551557</v>
      </c>
      <c r="H24" s="352">
        <f>(G24+H23)</f>
        <v>715029219.7321322</v>
      </c>
      <c r="I24" s="140"/>
      <c r="J24" s="140"/>
      <c r="K24" s="140"/>
      <c r="L24" s="140"/>
      <c r="M24" s="140"/>
      <c r="N24" s="140"/>
      <c r="O24" s="140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40"/>
      <c r="B25" s="158"/>
      <c r="C25" s="349"/>
      <c r="D25" s="350">
        <f>D23/D10</f>
        <v>0.13978521910205738</v>
      </c>
      <c r="E25" s="350">
        <f>E23/E10</f>
        <v>0.17901752338377813</v>
      </c>
      <c r="F25" s="350">
        <f>F23/F10</f>
        <v>0.21524731560866314</v>
      </c>
      <c r="G25" s="350">
        <f>G23/G10</f>
        <v>0.24777230232660138</v>
      </c>
      <c r="H25" s="350">
        <f>H23/H10</f>
        <v>0.30164649249588582</v>
      </c>
      <c r="I25" s="140"/>
      <c r="J25" s="140"/>
      <c r="K25" s="140"/>
      <c r="L25" s="140"/>
      <c r="M25" s="140"/>
      <c r="N25" s="140"/>
      <c r="O25" s="140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40"/>
      <c r="B26" s="351" t="s">
        <v>459</v>
      </c>
      <c r="C26" s="352">
        <f>(Capital!H12)</f>
        <v>293494380.36739999</v>
      </c>
      <c r="D26" s="353" t="s">
        <v>81</v>
      </c>
      <c r="E26" s="353" t="s">
        <v>82</v>
      </c>
      <c r="F26" s="353" t="s">
        <v>83</v>
      </c>
      <c r="G26" s="353" t="s">
        <v>84</v>
      </c>
      <c r="H26" s="353" t="s">
        <v>85</v>
      </c>
      <c r="I26" s="140"/>
      <c r="J26" s="140"/>
      <c r="K26" s="140"/>
      <c r="L26" s="140"/>
      <c r="M26" s="140"/>
      <c r="N26" s="140"/>
      <c r="O26" s="140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40"/>
      <c r="B27" s="351" t="s">
        <v>460</v>
      </c>
      <c r="C27" s="354">
        <v>0.18</v>
      </c>
      <c r="D27" s="355"/>
      <c r="E27" s="355"/>
      <c r="F27" s="355"/>
      <c r="G27" s="355"/>
      <c r="H27" s="355"/>
      <c r="I27" s="140"/>
      <c r="J27" s="140"/>
      <c r="K27" s="140"/>
      <c r="L27" s="140"/>
      <c r="M27" s="140"/>
      <c r="N27" s="140"/>
      <c r="O27" s="140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40"/>
      <c r="B28" s="351" t="s">
        <v>461</v>
      </c>
      <c r="C28" s="352"/>
      <c r="D28" s="352">
        <f>(D10)</f>
        <v>492228426.40725368</v>
      </c>
      <c r="E28" s="352">
        <f>(E10)</f>
        <v>551208447.94370437</v>
      </c>
      <c r="F28" s="352">
        <f>(F10)</f>
        <v>622591439.13092649</v>
      </c>
      <c r="G28" s="352">
        <f>(G10)</f>
        <v>705379268.21446884</v>
      </c>
      <c r="H28" s="352">
        <f>(H10)</f>
        <v>791530532.34946227</v>
      </c>
      <c r="I28" s="140"/>
      <c r="J28" s="140"/>
      <c r="K28" s="140"/>
      <c r="L28" s="140"/>
      <c r="M28" s="140"/>
      <c r="N28" s="140"/>
      <c r="O28" s="140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40"/>
      <c r="B29" s="351" t="s">
        <v>462</v>
      </c>
      <c r="C29" s="352"/>
      <c r="D29" s="352">
        <f>(D22)</f>
        <v>423422167.97365481</v>
      </c>
      <c r="E29" s="352">
        <f>(E22)</f>
        <v>452532476.72460622</v>
      </c>
      <c r="F29" s="352">
        <f>(F22)</f>
        <v>488580303.13706017</v>
      </c>
      <c r="G29" s="352">
        <f>(G22)</f>
        <v>530605822.91551661</v>
      </c>
      <c r="H29" s="352">
        <f>(H22)</f>
        <v>552768123.56284571</v>
      </c>
      <c r="I29" s="140"/>
      <c r="J29" s="140"/>
      <c r="K29" s="140"/>
      <c r="L29" s="140"/>
      <c r="M29" s="140"/>
      <c r="N29" s="140"/>
      <c r="O29" s="140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40"/>
      <c r="B30" s="351" t="s">
        <v>463</v>
      </c>
      <c r="C30" s="352">
        <f>-C26</f>
        <v>-293494380.36739999</v>
      </c>
      <c r="D30" s="352">
        <f>(D23)</f>
        <v>68806258.433598876</v>
      </c>
      <c r="E30" s="352">
        <f t="shared" ref="E30:H30" si="2">(E23)</f>
        <v>98675971.219098151</v>
      </c>
      <c r="F30" s="352">
        <f t="shared" si="2"/>
        <v>134011135.99386632</v>
      </c>
      <c r="G30" s="352">
        <f t="shared" si="2"/>
        <v>174773445.29895222</v>
      </c>
      <c r="H30" s="352">
        <f t="shared" si="2"/>
        <v>238762408.78661656</v>
      </c>
      <c r="I30" s="140"/>
      <c r="J30" s="140"/>
      <c r="K30" s="140"/>
      <c r="L30" s="140"/>
      <c r="M30" s="140"/>
      <c r="N30" s="140"/>
      <c r="O30" s="140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40"/>
      <c r="B31" s="351" t="s">
        <v>458</v>
      </c>
      <c r="C31" s="352"/>
      <c r="D31" s="352">
        <f>(D30)</f>
        <v>68806258.433598876</v>
      </c>
      <c r="E31" s="352">
        <f>(D31+E30)</f>
        <v>167482229.65269703</v>
      </c>
      <c r="F31" s="352">
        <f>(E31+F30)</f>
        <v>301493365.64656335</v>
      </c>
      <c r="G31" s="352">
        <f>(F31+G30)</f>
        <v>476266810.94551557</v>
      </c>
      <c r="H31" s="352">
        <f>(G31+H30)</f>
        <v>715029219.7321322</v>
      </c>
      <c r="I31" s="140"/>
      <c r="J31" s="140"/>
      <c r="K31" s="140"/>
      <c r="L31" s="140"/>
      <c r="M31" s="140"/>
      <c r="N31" s="140"/>
      <c r="O31" s="140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40"/>
      <c r="B32" s="351" t="s">
        <v>464</v>
      </c>
      <c r="C32" s="352">
        <f>NPV(C27,D28:H28)</f>
        <v>1901752499.9561436</v>
      </c>
      <c r="D32" s="306"/>
      <c r="E32" s="306"/>
      <c r="F32" s="306"/>
      <c r="G32" s="306"/>
      <c r="H32" s="306"/>
      <c r="I32" s="140"/>
      <c r="J32" s="140"/>
      <c r="K32" s="140"/>
      <c r="L32" s="140"/>
      <c r="M32" s="140"/>
      <c r="N32" s="140"/>
      <c r="O32" s="140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40"/>
      <c r="B33" s="351" t="s">
        <v>465</v>
      </c>
      <c r="C33" s="352">
        <f>NPV(C27,D29:H29)</f>
        <v>1496499802.556057</v>
      </c>
      <c r="D33" s="306"/>
      <c r="E33" s="306"/>
      <c r="F33" s="306"/>
      <c r="G33" s="306"/>
      <c r="H33" s="306"/>
      <c r="I33" s="140"/>
      <c r="J33" s="140"/>
      <c r="K33" s="140"/>
      <c r="L33" s="140"/>
      <c r="M33" s="140"/>
      <c r="N33" s="140"/>
      <c r="O33" s="140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40"/>
      <c r="B34" s="351" t="s">
        <v>466</v>
      </c>
      <c r="C34" s="352">
        <f>(C33+C26)</f>
        <v>1789994182.9234569</v>
      </c>
      <c r="D34" s="306"/>
      <c r="E34" s="306"/>
      <c r="F34" s="306"/>
      <c r="G34" s="306"/>
      <c r="H34" s="306"/>
      <c r="I34" s="140"/>
      <c r="J34" s="140"/>
      <c r="K34" s="140"/>
      <c r="L34" s="140"/>
      <c r="M34" s="140"/>
      <c r="N34" s="140"/>
      <c r="O34" s="140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40"/>
      <c r="B35" s="140"/>
      <c r="C35" s="306"/>
      <c r="D35" s="306"/>
      <c r="E35" s="306"/>
      <c r="F35" s="306"/>
      <c r="G35" s="306"/>
      <c r="H35" s="306"/>
      <c r="I35" s="140"/>
      <c r="J35" s="140" t="s">
        <v>467</v>
      </c>
      <c r="K35" s="140"/>
      <c r="L35" s="140"/>
      <c r="M35" s="140"/>
      <c r="N35" s="140"/>
      <c r="O35" s="140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40"/>
      <c r="B36" s="140"/>
      <c r="C36" s="306"/>
      <c r="D36" s="306"/>
      <c r="E36" s="306"/>
      <c r="F36" s="306"/>
      <c r="G36" s="356" t="s">
        <v>468</v>
      </c>
      <c r="H36" s="357">
        <f>NPV(C27,D30:H30)-C26</f>
        <v>111758317.03268641</v>
      </c>
      <c r="I36" s="140"/>
      <c r="J36" s="160" t="s">
        <v>469</v>
      </c>
      <c r="K36" s="160">
        <v>2</v>
      </c>
      <c r="L36" s="140"/>
      <c r="M36" s="140"/>
      <c r="N36" s="140"/>
      <c r="O36" s="140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40"/>
      <c r="B37" s="140"/>
      <c r="C37" s="306"/>
      <c r="D37" s="306"/>
      <c r="E37" s="306"/>
      <c r="F37" s="306"/>
      <c r="G37" s="349" t="s">
        <v>470</v>
      </c>
      <c r="H37" s="358">
        <f>IRR(C30:H30)</f>
        <v>0.30617639686773535</v>
      </c>
      <c r="I37" s="140"/>
      <c r="J37" s="160" t="s">
        <v>471</v>
      </c>
      <c r="K37" s="164">
        <f>(0.52*12)/1</f>
        <v>6.24</v>
      </c>
      <c r="L37" s="140"/>
      <c r="M37" s="140"/>
      <c r="N37" s="140"/>
      <c r="O37" s="140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40"/>
      <c r="B38" s="140"/>
      <c r="C38" s="306"/>
      <c r="D38" s="306"/>
      <c r="E38" s="306"/>
      <c r="F38" s="306"/>
      <c r="G38" s="349" t="s">
        <v>472</v>
      </c>
      <c r="H38" s="359">
        <f>(C32/C34)</f>
        <v>1.062435016883776</v>
      </c>
      <c r="I38" s="140"/>
      <c r="J38" s="160" t="s">
        <v>473</v>
      </c>
      <c r="K38" s="164">
        <f>(0.5*30)/1</f>
        <v>15</v>
      </c>
      <c r="L38" s="140"/>
      <c r="M38" s="140"/>
      <c r="N38" s="140"/>
      <c r="O38" s="140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40"/>
      <c r="B39" s="140"/>
      <c r="C39" s="306"/>
      <c r="D39" s="306"/>
      <c r="E39" s="306"/>
      <c r="F39" s="306"/>
      <c r="G39" s="349" t="s">
        <v>474</v>
      </c>
      <c r="H39" s="359">
        <f>2+((C26-E31)/H30)</f>
        <v>2.5277721537284403</v>
      </c>
      <c r="I39" s="428"/>
      <c r="J39" s="443"/>
      <c r="K39" s="443"/>
      <c r="L39" s="443"/>
      <c r="M39" s="443"/>
      <c r="N39" s="140"/>
      <c r="O39" s="140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40"/>
      <c r="B40" s="155"/>
      <c r="C40" s="155"/>
      <c r="D40" s="153"/>
      <c r="E40" s="153"/>
      <c r="F40" s="153"/>
      <c r="G40" s="306"/>
      <c r="H40" s="306"/>
      <c r="I40" s="443"/>
      <c r="J40" s="443"/>
      <c r="K40" s="443"/>
      <c r="L40" s="443"/>
      <c r="M40" s="443"/>
      <c r="N40" s="140"/>
      <c r="O40" s="140"/>
      <c r="P40" s="429"/>
      <c r="Q40" s="448"/>
      <c r="R40" s="448"/>
      <c r="S40" s="448"/>
      <c r="T40" s="448"/>
      <c r="U40" s="13"/>
      <c r="V40" s="13"/>
      <c r="W40" s="13"/>
      <c r="X40" s="13"/>
      <c r="Y40" s="13"/>
      <c r="Z40" s="13"/>
    </row>
    <row r="41" spans="1:26" ht="15.75" customHeight="1">
      <c r="A41" s="140"/>
      <c r="B41" s="360" t="s">
        <v>475</v>
      </c>
      <c r="C41" s="361">
        <v>0.1343</v>
      </c>
      <c r="D41" s="449" t="s">
        <v>476</v>
      </c>
      <c r="E41" s="450"/>
      <c r="F41" s="451"/>
      <c r="G41" s="362"/>
      <c r="H41" s="306"/>
      <c r="I41" s="443"/>
      <c r="J41" s="443"/>
      <c r="K41" s="443"/>
      <c r="L41" s="443"/>
      <c r="M41" s="443"/>
      <c r="N41" s="140"/>
      <c r="O41" s="140"/>
      <c r="P41" s="448"/>
      <c r="Q41" s="448"/>
      <c r="R41" s="448"/>
      <c r="S41" s="448"/>
      <c r="T41" s="448"/>
      <c r="U41" s="13"/>
      <c r="V41" s="13"/>
      <c r="W41" s="13"/>
      <c r="X41" s="13"/>
      <c r="Y41" s="13"/>
      <c r="Z41" s="13"/>
    </row>
    <row r="42" spans="1:26" ht="15.75" customHeight="1">
      <c r="A42" s="140"/>
      <c r="B42" s="363" t="s">
        <v>477</v>
      </c>
      <c r="C42" s="364">
        <v>0.1963</v>
      </c>
      <c r="D42" s="365" t="s">
        <v>476</v>
      </c>
      <c r="E42" s="366"/>
      <c r="F42" s="367"/>
      <c r="G42" s="362"/>
      <c r="H42" s="306"/>
      <c r="I42" s="140"/>
      <c r="J42" s="140" t="s">
        <v>431</v>
      </c>
      <c r="K42" s="140"/>
      <c r="L42" s="140"/>
      <c r="M42" s="140"/>
      <c r="N42" s="140"/>
      <c r="O42" s="140"/>
      <c r="P42" s="448"/>
      <c r="Q42" s="448"/>
      <c r="R42" s="448"/>
      <c r="S42" s="448"/>
      <c r="T42" s="448"/>
      <c r="U42" s="13"/>
      <c r="V42" s="13"/>
      <c r="W42" s="13"/>
      <c r="X42" s="13"/>
      <c r="Y42" s="13"/>
      <c r="Z42" s="13"/>
    </row>
    <row r="43" spans="1:26" ht="15.75" customHeight="1">
      <c r="A43" s="140"/>
      <c r="B43" s="176"/>
      <c r="C43" s="362"/>
      <c r="D43" s="362"/>
      <c r="E43" s="362"/>
      <c r="F43" s="362"/>
      <c r="G43" s="306"/>
      <c r="H43" s="306"/>
      <c r="I43" s="140" t="s">
        <v>478</v>
      </c>
      <c r="J43" s="140"/>
      <c r="K43" s="140"/>
      <c r="L43" s="140"/>
      <c r="M43" s="140"/>
      <c r="N43" s="140"/>
      <c r="O43" s="140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76"/>
      <c r="B44" s="140"/>
      <c r="C44" s="140"/>
      <c r="D44" s="140"/>
      <c r="E44" s="140"/>
      <c r="F44" s="140"/>
      <c r="G44" s="140"/>
      <c r="H44" s="13"/>
      <c r="I44" s="140"/>
      <c r="J44" s="140"/>
      <c r="K44" s="140"/>
      <c r="L44" s="140"/>
      <c r="M44" s="140"/>
      <c r="N44" s="140"/>
      <c r="O44" s="140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76"/>
      <c r="B45" s="368" t="s">
        <v>479</v>
      </c>
      <c r="C45" s="369" t="s">
        <v>480</v>
      </c>
      <c r="D45" s="362"/>
      <c r="E45" s="306"/>
      <c r="F45" s="306"/>
      <c r="G45" s="306"/>
      <c r="H45" s="306"/>
      <c r="I45" s="140"/>
      <c r="J45" s="140"/>
      <c r="K45" s="140"/>
      <c r="L45" s="140"/>
      <c r="M45" s="140"/>
      <c r="N45" s="140"/>
      <c r="O45" s="140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76"/>
      <c r="B46" s="370" t="s">
        <v>481</v>
      </c>
      <c r="C46" s="371"/>
      <c r="D46" s="362"/>
      <c r="E46" s="306"/>
      <c r="F46" s="306"/>
      <c r="G46" s="306"/>
      <c r="H46" s="306"/>
      <c r="I46" s="140"/>
      <c r="J46" s="140"/>
      <c r="K46" s="140"/>
      <c r="L46" s="140"/>
      <c r="M46" s="140"/>
      <c r="N46" s="140"/>
      <c r="O46" s="140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76"/>
      <c r="B47" s="370" t="s">
        <v>482</v>
      </c>
      <c r="C47" s="372">
        <v>48000</v>
      </c>
      <c r="D47" s="362"/>
      <c r="E47" s="306"/>
      <c r="F47" s="306"/>
      <c r="G47" s="306"/>
      <c r="H47" s="306"/>
      <c r="I47" s="140"/>
      <c r="J47" s="140"/>
      <c r="K47" s="140"/>
      <c r="L47" s="140"/>
      <c r="M47" s="140"/>
      <c r="N47" s="140"/>
      <c r="O47" s="140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76"/>
      <c r="B48" s="370" t="s">
        <v>483</v>
      </c>
      <c r="C48" s="372">
        <v>48000</v>
      </c>
      <c r="D48" s="362"/>
      <c r="E48" s="306"/>
      <c r="F48" s="306"/>
      <c r="G48" s="306"/>
      <c r="H48" s="306"/>
      <c r="I48" s="140"/>
      <c r="J48" s="140"/>
      <c r="K48" s="140"/>
      <c r="L48" s="140"/>
      <c r="M48" s="140"/>
      <c r="N48" s="140"/>
      <c r="O48" s="140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40"/>
      <c r="B49" s="373" t="s">
        <v>484</v>
      </c>
      <c r="C49" s="372">
        <v>20000</v>
      </c>
      <c r="D49" s="306"/>
      <c r="E49" s="306"/>
      <c r="F49" s="306"/>
      <c r="G49" s="306"/>
      <c r="H49" s="306"/>
      <c r="I49" s="140"/>
      <c r="J49" s="140"/>
      <c r="K49" s="140"/>
      <c r="L49" s="140"/>
      <c r="M49" s="140"/>
      <c r="N49" s="140"/>
      <c r="O49" s="140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40"/>
      <c r="B50" s="373" t="s">
        <v>485</v>
      </c>
      <c r="C50" s="372">
        <v>53000</v>
      </c>
      <c r="D50" s="306"/>
      <c r="E50" s="306"/>
      <c r="F50" s="306"/>
      <c r="G50" s="306"/>
      <c r="H50" s="306"/>
      <c r="I50" s="140"/>
      <c r="J50" s="140"/>
      <c r="K50" s="140"/>
      <c r="L50" s="140"/>
      <c r="M50" s="140"/>
      <c r="N50" s="140"/>
      <c r="O50" s="140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40"/>
      <c r="B51" s="373" t="s">
        <v>486</v>
      </c>
      <c r="C51" s="372">
        <v>10000</v>
      </c>
      <c r="D51" s="306"/>
      <c r="E51" s="306"/>
      <c r="F51" s="306"/>
      <c r="G51" s="306"/>
      <c r="H51" s="306"/>
      <c r="I51" s="140"/>
      <c r="J51" s="140"/>
      <c r="K51" s="140"/>
      <c r="L51" s="140"/>
      <c r="M51" s="140"/>
      <c r="N51" s="140"/>
      <c r="O51" s="140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40"/>
      <c r="B52" s="373" t="s">
        <v>487</v>
      </c>
      <c r="C52" s="372" t="s">
        <v>488</v>
      </c>
      <c r="D52" s="306"/>
      <c r="E52" s="306"/>
      <c r="F52" s="306"/>
      <c r="G52" s="306"/>
      <c r="H52" s="306"/>
      <c r="I52" s="140"/>
      <c r="J52" s="140"/>
      <c r="K52" s="140"/>
      <c r="L52" s="140"/>
      <c r="M52" s="140"/>
      <c r="N52" s="140"/>
      <c r="O52" s="140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40"/>
      <c r="B53" s="155" t="s">
        <v>489</v>
      </c>
      <c r="C53" s="374">
        <v>3062994</v>
      </c>
      <c r="D53" s="306"/>
      <c r="E53" s="306"/>
      <c r="F53" s="306"/>
      <c r="G53" s="306"/>
      <c r="H53" s="306"/>
      <c r="I53" s="140"/>
      <c r="J53" s="140"/>
      <c r="K53" s="140"/>
      <c r="L53" s="140"/>
      <c r="M53" s="140"/>
      <c r="N53" s="140"/>
      <c r="O53" s="140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40"/>
      <c r="B54" s="375" t="s">
        <v>51</v>
      </c>
      <c r="C54" s="376">
        <f>SUM(C47:C53)</f>
        <v>3241994</v>
      </c>
      <c r="D54" s="306"/>
      <c r="E54" s="306"/>
      <c r="F54" s="306"/>
      <c r="G54" s="306"/>
      <c r="H54" s="306"/>
      <c r="I54" s="140"/>
      <c r="J54" s="140"/>
      <c r="K54" s="140"/>
      <c r="L54" s="140"/>
      <c r="M54" s="140"/>
      <c r="N54" s="140"/>
      <c r="O54" s="140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C55" s="117"/>
      <c r="D55" s="37"/>
      <c r="E55" s="37"/>
      <c r="F55" s="37"/>
      <c r="G55" s="37"/>
      <c r="H55" s="37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C56" s="117"/>
      <c r="D56" s="37"/>
      <c r="E56" s="37"/>
      <c r="F56" s="37"/>
      <c r="G56" s="37"/>
      <c r="H56" s="37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D57" s="37"/>
      <c r="E57" s="37"/>
      <c r="F57" s="37"/>
      <c r="G57" s="37"/>
      <c r="H57" s="37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D58" s="37"/>
      <c r="E58" s="37"/>
      <c r="F58" s="37"/>
      <c r="G58" s="37"/>
      <c r="H58" s="37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D59" s="37"/>
      <c r="E59" s="37"/>
      <c r="F59" s="37"/>
      <c r="G59" s="37"/>
      <c r="H59" s="37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37"/>
      <c r="D60" s="37"/>
      <c r="E60" s="37"/>
      <c r="F60" s="37"/>
      <c r="G60" s="37"/>
      <c r="H60" s="37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37"/>
      <c r="D61" s="37"/>
      <c r="E61" s="37"/>
      <c r="F61" s="37"/>
      <c r="G61" s="37"/>
      <c r="H61" s="37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37"/>
      <c r="D62" s="37"/>
      <c r="E62" s="37"/>
      <c r="F62" s="37"/>
      <c r="G62" s="37"/>
      <c r="H62" s="37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37"/>
      <c r="D63" s="37"/>
      <c r="E63" s="37"/>
      <c r="F63" s="37"/>
      <c r="G63" s="37"/>
      <c r="H63" s="37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37"/>
      <c r="D64" s="37"/>
      <c r="E64" s="37"/>
      <c r="F64" s="37"/>
      <c r="G64" s="37"/>
      <c r="H64" s="37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37"/>
      <c r="D65" s="37"/>
      <c r="E65" s="37"/>
      <c r="F65" s="37"/>
      <c r="G65" s="37"/>
      <c r="H65" s="37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37"/>
      <c r="D66" s="37"/>
      <c r="E66" s="37"/>
      <c r="F66" s="37"/>
      <c r="G66" s="37"/>
      <c r="H66" s="37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37"/>
      <c r="D67" s="37"/>
      <c r="E67" s="37"/>
      <c r="F67" s="37"/>
      <c r="G67" s="37"/>
      <c r="H67" s="37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37"/>
      <c r="D68" s="37"/>
      <c r="E68" s="37"/>
      <c r="F68" s="37"/>
      <c r="G68" s="37"/>
      <c r="H68" s="37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37"/>
      <c r="D69" s="37"/>
      <c r="E69" s="37"/>
      <c r="F69" s="37"/>
      <c r="G69" s="37"/>
      <c r="H69" s="37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37"/>
      <c r="D70" s="37"/>
      <c r="E70" s="37"/>
      <c r="F70" s="37"/>
      <c r="G70" s="37"/>
      <c r="H70" s="37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37"/>
      <c r="D71" s="37"/>
      <c r="E71" s="37"/>
      <c r="F71" s="37"/>
      <c r="G71" s="37"/>
      <c r="H71" s="37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37"/>
      <c r="D72" s="37"/>
      <c r="E72" s="37"/>
      <c r="F72" s="37"/>
      <c r="G72" s="37"/>
      <c r="H72" s="37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37"/>
      <c r="D73" s="37"/>
      <c r="E73" s="37"/>
      <c r="F73" s="37"/>
      <c r="G73" s="37"/>
      <c r="H73" s="37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37"/>
      <c r="D74" s="37"/>
      <c r="E74" s="37"/>
      <c r="F74" s="37"/>
      <c r="G74" s="37"/>
      <c r="H74" s="37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37"/>
      <c r="D75" s="37"/>
      <c r="E75" s="37"/>
      <c r="F75" s="37"/>
      <c r="G75" s="37"/>
      <c r="H75" s="37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37"/>
      <c r="D76" s="37"/>
      <c r="E76" s="37"/>
      <c r="F76" s="37"/>
      <c r="G76" s="37"/>
      <c r="H76" s="37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37"/>
      <c r="D77" s="37"/>
      <c r="E77" s="37"/>
      <c r="F77" s="37"/>
      <c r="G77" s="37"/>
      <c r="H77" s="37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37"/>
      <c r="D78" s="37"/>
      <c r="E78" s="37"/>
      <c r="F78" s="37"/>
      <c r="G78" s="37"/>
      <c r="H78" s="37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37"/>
      <c r="D79" s="37"/>
      <c r="E79" s="37"/>
      <c r="F79" s="37"/>
      <c r="G79" s="37"/>
      <c r="H79" s="37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37"/>
      <c r="D80" s="37"/>
      <c r="E80" s="37"/>
      <c r="F80" s="37"/>
      <c r="G80" s="37"/>
      <c r="H80" s="37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37"/>
      <c r="D81" s="37"/>
      <c r="E81" s="37"/>
      <c r="F81" s="37"/>
      <c r="G81" s="37"/>
      <c r="H81" s="37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37"/>
      <c r="D82" s="37"/>
      <c r="E82" s="37"/>
      <c r="F82" s="37"/>
      <c r="G82" s="37"/>
      <c r="H82" s="37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37"/>
      <c r="D83" s="37"/>
      <c r="E83" s="37"/>
      <c r="F83" s="37"/>
      <c r="G83" s="37"/>
      <c r="H83" s="37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37"/>
      <c r="D84" s="37"/>
      <c r="E84" s="37"/>
      <c r="F84" s="37"/>
      <c r="G84" s="37"/>
      <c r="H84" s="37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37"/>
      <c r="D85" s="37"/>
      <c r="E85" s="37"/>
      <c r="F85" s="37"/>
      <c r="G85" s="37"/>
      <c r="H85" s="37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37"/>
      <c r="D86" s="37"/>
      <c r="E86" s="37"/>
      <c r="F86" s="37"/>
      <c r="G86" s="37"/>
      <c r="H86" s="37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37"/>
      <c r="D87" s="37"/>
      <c r="E87" s="37"/>
      <c r="F87" s="37"/>
      <c r="G87" s="37"/>
      <c r="H87" s="37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37"/>
      <c r="D88" s="37"/>
      <c r="E88" s="37"/>
      <c r="F88" s="37"/>
      <c r="G88" s="37"/>
      <c r="H88" s="37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37"/>
      <c r="D89" s="37"/>
      <c r="E89" s="37"/>
      <c r="F89" s="37"/>
      <c r="G89" s="37"/>
      <c r="H89" s="37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37"/>
      <c r="D90" s="37"/>
      <c r="E90" s="37"/>
      <c r="F90" s="37"/>
      <c r="G90" s="37"/>
      <c r="H90" s="37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37"/>
      <c r="D91" s="37"/>
      <c r="E91" s="37"/>
      <c r="F91" s="37"/>
      <c r="G91" s="37"/>
      <c r="H91" s="37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37"/>
      <c r="D92" s="37"/>
      <c r="E92" s="37"/>
      <c r="F92" s="37"/>
      <c r="G92" s="37"/>
      <c r="H92" s="37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37"/>
      <c r="D93" s="37"/>
      <c r="E93" s="37"/>
      <c r="F93" s="37"/>
      <c r="G93" s="37"/>
      <c r="H93" s="37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37"/>
      <c r="D94" s="37"/>
      <c r="E94" s="37"/>
      <c r="F94" s="37"/>
      <c r="G94" s="37"/>
      <c r="H94" s="37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37"/>
      <c r="D95" s="37"/>
      <c r="E95" s="37"/>
      <c r="F95" s="37"/>
      <c r="G95" s="37"/>
      <c r="H95" s="37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37"/>
      <c r="D96" s="37"/>
      <c r="E96" s="37"/>
      <c r="F96" s="37"/>
      <c r="G96" s="37"/>
      <c r="H96" s="37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37"/>
      <c r="D97" s="37"/>
      <c r="E97" s="37"/>
      <c r="F97" s="37"/>
      <c r="G97" s="37"/>
      <c r="H97" s="37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37"/>
      <c r="D98" s="37"/>
      <c r="E98" s="37"/>
      <c r="F98" s="37"/>
      <c r="G98" s="37"/>
      <c r="H98" s="37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37"/>
      <c r="D99" s="37"/>
      <c r="E99" s="37"/>
      <c r="F99" s="37"/>
      <c r="G99" s="37"/>
      <c r="H99" s="37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37"/>
      <c r="D100" s="37"/>
      <c r="E100" s="37"/>
      <c r="F100" s="37"/>
      <c r="G100" s="37"/>
      <c r="H100" s="37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37"/>
      <c r="D101" s="37"/>
      <c r="E101" s="37"/>
      <c r="F101" s="37"/>
      <c r="G101" s="37"/>
      <c r="H101" s="37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37"/>
      <c r="D102" s="37"/>
      <c r="E102" s="37"/>
      <c r="F102" s="37"/>
      <c r="G102" s="37"/>
      <c r="H102" s="37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37"/>
      <c r="D103" s="37"/>
      <c r="E103" s="37"/>
      <c r="F103" s="37"/>
      <c r="G103" s="37"/>
      <c r="H103" s="37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37"/>
      <c r="D104" s="37"/>
      <c r="E104" s="37"/>
      <c r="F104" s="37"/>
      <c r="G104" s="37"/>
      <c r="H104" s="37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37"/>
      <c r="D105" s="37"/>
      <c r="E105" s="37"/>
      <c r="F105" s="37"/>
      <c r="G105" s="37"/>
      <c r="H105" s="37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37"/>
      <c r="D106" s="37"/>
      <c r="E106" s="37"/>
      <c r="F106" s="37"/>
      <c r="G106" s="37"/>
      <c r="H106" s="37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37"/>
      <c r="D107" s="37"/>
      <c r="E107" s="37"/>
      <c r="F107" s="37"/>
      <c r="G107" s="37"/>
      <c r="H107" s="37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37"/>
      <c r="D108" s="37"/>
      <c r="E108" s="37"/>
      <c r="F108" s="37"/>
      <c r="G108" s="37"/>
      <c r="H108" s="37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37"/>
      <c r="D109" s="37"/>
      <c r="E109" s="37"/>
      <c r="F109" s="37"/>
      <c r="G109" s="37"/>
      <c r="H109" s="37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37"/>
      <c r="D110" s="37"/>
      <c r="E110" s="37"/>
      <c r="F110" s="37"/>
      <c r="G110" s="37"/>
      <c r="H110" s="37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37"/>
      <c r="D111" s="37"/>
      <c r="E111" s="37"/>
      <c r="F111" s="37"/>
      <c r="G111" s="37"/>
      <c r="H111" s="37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37"/>
      <c r="D112" s="37"/>
      <c r="E112" s="37"/>
      <c r="F112" s="37"/>
      <c r="G112" s="37"/>
      <c r="H112" s="37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37"/>
      <c r="D113" s="37"/>
      <c r="E113" s="37"/>
      <c r="F113" s="37"/>
      <c r="G113" s="37"/>
      <c r="H113" s="37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37"/>
      <c r="D114" s="37"/>
      <c r="E114" s="37"/>
      <c r="F114" s="37"/>
      <c r="G114" s="37"/>
      <c r="H114" s="37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37"/>
      <c r="D115" s="37"/>
      <c r="E115" s="37"/>
      <c r="F115" s="37"/>
      <c r="G115" s="37"/>
      <c r="H115" s="37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37"/>
      <c r="D116" s="37"/>
      <c r="E116" s="37"/>
      <c r="F116" s="37"/>
      <c r="G116" s="37"/>
      <c r="H116" s="37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37"/>
      <c r="D117" s="37"/>
      <c r="E117" s="37"/>
      <c r="F117" s="37"/>
      <c r="G117" s="37"/>
      <c r="H117" s="37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37"/>
      <c r="D118" s="37"/>
      <c r="E118" s="37"/>
      <c r="F118" s="37"/>
      <c r="G118" s="37"/>
      <c r="H118" s="37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37"/>
      <c r="D119" s="37"/>
      <c r="E119" s="37"/>
      <c r="F119" s="37"/>
      <c r="G119" s="37"/>
      <c r="H119" s="37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37"/>
      <c r="D120" s="37"/>
      <c r="E120" s="37"/>
      <c r="F120" s="37"/>
      <c r="G120" s="37"/>
      <c r="H120" s="37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37"/>
      <c r="D121" s="37"/>
      <c r="E121" s="37"/>
      <c r="F121" s="37"/>
      <c r="G121" s="37"/>
      <c r="H121" s="37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37"/>
      <c r="D122" s="37"/>
      <c r="E122" s="37"/>
      <c r="F122" s="37"/>
      <c r="G122" s="37"/>
      <c r="H122" s="37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37"/>
      <c r="D123" s="37"/>
      <c r="E123" s="37"/>
      <c r="F123" s="37"/>
      <c r="G123" s="37"/>
      <c r="H123" s="37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37"/>
      <c r="D124" s="37"/>
      <c r="E124" s="37"/>
      <c r="F124" s="37"/>
      <c r="G124" s="37"/>
      <c r="H124" s="37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37"/>
      <c r="D125" s="37"/>
      <c r="E125" s="37"/>
      <c r="F125" s="37"/>
      <c r="G125" s="37"/>
      <c r="H125" s="37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37"/>
      <c r="D126" s="37"/>
      <c r="E126" s="37"/>
      <c r="F126" s="37"/>
      <c r="G126" s="37"/>
      <c r="H126" s="37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37"/>
      <c r="D127" s="37"/>
      <c r="E127" s="37"/>
      <c r="F127" s="37"/>
      <c r="G127" s="37"/>
      <c r="H127" s="37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37"/>
      <c r="D128" s="37"/>
      <c r="E128" s="37"/>
      <c r="F128" s="37"/>
      <c r="G128" s="37"/>
      <c r="H128" s="37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37"/>
      <c r="D129" s="37"/>
      <c r="E129" s="37"/>
      <c r="F129" s="37"/>
      <c r="G129" s="37"/>
      <c r="H129" s="37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37"/>
      <c r="D130" s="37"/>
      <c r="E130" s="37"/>
      <c r="F130" s="37"/>
      <c r="G130" s="37"/>
      <c r="H130" s="37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37"/>
      <c r="D131" s="37"/>
      <c r="E131" s="37"/>
      <c r="F131" s="37"/>
      <c r="G131" s="37"/>
      <c r="H131" s="37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37"/>
      <c r="D132" s="37"/>
      <c r="E132" s="37"/>
      <c r="F132" s="37"/>
      <c r="G132" s="37"/>
      <c r="H132" s="37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37"/>
      <c r="D133" s="37"/>
      <c r="E133" s="37"/>
      <c r="F133" s="37"/>
      <c r="G133" s="37"/>
      <c r="H133" s="37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37"/>
      <c r="D134" s="37"/>
      <c r="E134" s="37"/>
      <c r="F134" s="37"/>
      <c r="G134" s="37"/>
      <c r="H134" s="37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37"/>
      <c r="D135" s="37"/>
      <c r="E135" s="37"/>
      <c r="F135" s="37"/>
      <c r="G135" s="37"/>
      <c r="H135" s="37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37"/>
      <c r="D136" s="37"/>
      <c r="E136" s="37"/>
      <c r="F136" s="37"/>
      <c r="G136" s="37"/>
      <c r="H136" s="37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37"/>
      <c r="D137" s="37"/>
      <c r="E137" s="37"/>
      <c r="F137" s="37"/>
      <c r="G137" s="37"/>
      <c r="H137" s="37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37"/>
      <c r="D138" s="37"/>
      <c r="E138" s="37"/>
      <c r="F138" s="37"/>
      <c r="G138" s="37"/>
      <c r="H138" s="37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37"/>
      <c r="D139" s="37"/>
      <c r="E139" s="37"/>
      <c r="F139" s="37"/>
      <c r="G139" s="37"/>
      <c r="H139" s="37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37"/>
      <c r="D140" s="37"/>
      <c r="E140" s="37"/>
      <c r="F140" s="37"/>
      <c r="G140" s="37"/>
      <c r="H140" s="37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37"/>
      <c r="D141" s="37"/>
      <c r="E141" s="37"/>
      <c r="F141" s="37"/>
      <c r="G141" s="37"/>
      <c r="H141" s="37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37"/>
      <c r="D142" s="37"/>
      <c r="E142" s="37"/>
      <c r="F142" s="37"/>
      <c r="G142" s="37"/>
      <c r="H142" s="37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37"/>
      <c r="D143" s="37"/>
      <c r="E143" s="37"/>
      <c r="F143" s="37"/>
      <c r="G143" s="37"/>
      <c r="H143" s="37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37"/>
      <c r="D144" s="37"/>
      <c r="E144" s="37"/>
      <c r="F144" s="37"/>
      <c r="G144" s="37"/>
      <c r="H144" s="37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37"/>
      <c r="D145" s="37"/>
      <c r="E145" s="37"/>
      <c r="F145" s="37"/>
      <c r="G145" s="37"/>
      <c r="H145" s="37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37"/>
      <c r="D146" s="37"/>
      <c r="E146" s="37"/>
      <c r="F146" s="37"/>
      <c r="G146" s="37"/>
      <c r="H146" s="37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37"/>
      <c r="D147" s="37"/>
      <c r="E147" s="37"/>
      <c r="F147" s="37"/>
      <c r="G147" s="37"/>
      <c r="H147" s="37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37"/>
      <c r="D148" s="37"/>
      <c r="E148" s="37"/>
      <c r="F148" s="37"/>
      <c r="G148" s="37"/>
      <c r="H148" s="37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37"/>
      <c r="D149" s="37"/>
      <c r="E149" s="37"/>
      <c r="F149" s="37"/>
      <c r="G149" s="37"/>
      <c r="H149" s="37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37"/>
      <c r="D150" s="37"/>
      <c r="E150" s="37"/>
      <c r="F150" s="37"/>
      <c r="G150" s="37"/>
      <c r="H150" s="37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37"/>
      <c r="D151" s="37"/>
      <c r="E151" s="37"/>
      <c r="F151" s="37"/>
      <c r="G151" s="37"/>
      <c r="H151" s="37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37"/>
      <c r="D152" s="37"/>
      <c r="E152" s="37"/>
      <c r="F152" s="37"/>
      <c r="G152" s="37"/>
      <c r="H152" s="37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37"/>
      <c r="D153" s="37"/>
      <c r="E153" s="37"/>
      <c r="F153" s="37"/>
      <c r="G153" s="37"/>
      <c r="H153" s="37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37"/>
      <c r="D154" s="37"/>
      <c r="E154" s="37"/>
      <c r="F154" s="37"/>
      <c r="G154" s="37"/>
      <c r="H154" s="37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37"/>
      <c r="D155" s="37"/>
      <c r="E155" s="37"/>
      <c r="F155" s="37"/>
      <c r="G155" s="37"/>
      <c r="H155" s="37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37"/>
      <c r="D156" s="37"/>
      <c r="E156" s="37"/>
      <c r="F156" s="37"/>
      <c r="G156" s="37"/>
      <c r="H156" s="37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37"/>
      <c r="D157" s="37"/>
      <c r="E157" s="37"/>
      <c r="F157" s="37"/>
      <c r="G157" s="37"/>
      <c r="H157" s="37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37"/>
      <c r="D158" s="37"/>
      <c r="E158" s="37"/>
      <c r="F158" s="37"/>
      <c r="G158" s="37"/>
      <c r="H158" s="37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37"/>
      <c r="D159" s="37"/>
      <c r="E159" s="37"/>
      <c r="F159" s="37"/>
      <c r="G159" s="37"/>
      <c r="H159" s="37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37"/>
      <c r="D160" s="37"/>
      <c r="E160" s="37"/>
      <c r="F160" s="37"/>
      <c r="G160" s="37"/>
      <c r="H160" s="37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37"/>
      <c r="D161" s="37"/>
      <c r="E161" s="37"/>
      <c r="F161" s="37"/>
      <c r="G161" s="37"/>
      <c r="H161" s="37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37"/>
      <c r="D162" s="37"/>
      <c r="E162" s="37"/>
      <c r="F162" s="37"/>
      <c r="G162" s="37"/>
      <c r="H162" s="37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37"/>
      <c r="D163" s="37"/>
      <c r="E163" s="37"/>
      <c r="F163" s="37"/>
      <c r="G163" s="37"/>
      <c r="H163" s="37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37"/>
      <c r="D164" s="37"/>
      <c r="E164" s="37"/>
      <c r="F164" s="37"/>
      <c r="G164" s="37"/>
      <c r="H164" s="37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37"/>
      <c r="D165" s="37"/>
      <c r="E165" s="37"/>
      <c r="F165" s="37"/>
      <c r="G165" s="37"/>
      <c r="H165" s="37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37"/>
      <c r="D166" s="37"/>
      <c r="E166" s="37"/>
      <c r="F166" s="37"/>
      <c r="G166" s="37"/>
      <c r="H166" s="37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37"/>
      <c r="D167" s="37"/>
      <c r="E167" s="37"/>
      <c r="F167" s="37"/>
      <c r="G167" s="37"/>
      <c r="H167" s="37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37"/>
      <c r="D168" s="37"/>
      <c r="E168" s="37"/>
      <c r="F168" s="37"/>
      <c r="G168" s="37"/>
      <c r="H168" s="37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37"/>
      <c r="D169" s="37"/>
      <c r="E169" s="37"/>
      <c r="F169" s="37"/>
      <c r="G169" s="37"/>
      <c r="H169" s="37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37"/>
      <c r="D170" s="37"/>
      <c r="E170" s="37"/>
      <c r="F170" s="37"/>
      <c r="G170" s="37"/>
      <c r="H170" s="37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37"/>
      <c r="D171" s="37"/>
      <c r="E171" s="37"/>
      <c r="F171" s="37"/>
      <c r="G171" s="37"/>
      <c r="H171" s="37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37"/>
      <c r="D172" s="37"/>
      <c r="E172" s="37"/>
      <c r="F172" s="37"/>
      <c r="G172" s="37"/>
      <c r="H172" s="37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37"/>
      <c r="D173" s="37"/>
      <c r="E173" s="37"/>
      <c r="F173" s="37"/>
      <c r="G173" s="37"/>
      <c r="H173" s="37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37"/>
      <c r="D174" s="37"/>
      <c r="E174" s="37"/>
      <c r="F174" s="37"/>
      <c r="G174" s="37"/>
      <c r="H174" s="37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37"/>
      <c r="D175" s="37"/>
      <c r="E175" s="37"/>
      <c r="F175" s="37"/>
      <c r="G175" s="37"/>
      <c r="H175" s="37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37"/>
      <c r="D176" s="37"/>
      <c r="E176" s="37"/>
      <c r="F176" s="37"/>
      <c r="G176" s="37"/>
      <c r="H176" s="37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37"/>
      <c r="D177" s="37"/>
      <c r="E177" s="37"/>
      <c r="F177" s="37"/>
      <c r="G177" s="37"/>
      <c r="H177" s="37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37"/>
      <c r="D178" s="37"/>
      <c r="E178" s="37"/>
      <c r="F178" s="37"/>
      <c r="G178" s="37"/>
      <c r="H178" s="37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37"/>
      <c r="D179" s="37"/>
      <c r="E179" s="37"/>
      <c r="F179" s="37"/>
      <c r="G179" s="37"/>
      <c r="H179" s="37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37"/>
      <c r="D180" s="37"/>
      <c r="E180" s="37"/>
      <c r="F180" s="37"/>
      <c r="G180" s="37"/>
      <c r="H180" s="37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37"/>
      <c r="D181" s="37"/>
      <c r="E181" s="37"/>
      <c r="F181" s="37"/>
      <c r="G181" s="37"/>
      <c r="H181" s="37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37"/>
      <c r="D182" s="37"/>
      <c r="E182" s="37"/>
      <c r="F182" s="37"/>
      <c r="G182" s="37"/>
      <c r="H182" s="37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37"/>
      <c r="D183" s="37"/>
      <c r="E183" s="37"/>
      <c r="F183" s="37"/>
      <c r="G183" s="37"/>
      <c r="H183" s="37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37"/>
      <c r="D184" s="37"/>
      <c r="E184" s="37"/>
      <c r="F184" s="37"/>
      <c r="G184" s="37"/>
      <c r="H184" s="37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37"/>
      <c r="D185" s="37"/>
      <c r="E185" s="37"/>
      <c r="F185" s="37"/>
      <c r="G185" s="37"/>
      <c r="H185" s="37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37"/>
      <c r="D186" s="37"/>
      <c r="E186" s="37"/>
      <c r="F186" s="37"/>
      <c r="G186" s="37"/>
      <c r="H186" s="37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37"/>
      <c r="D187" s="37"/>
      <c r="E187" s="37"/>
      <c r="F187" s="37"/>
      <c r="G187" s="37"/>
      <c r="H187" s="37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37"/>
      <c r="D188" s="37"/>
      <c r="E188" s="37"/>
      <c r="F188" s="37"/>
      <c r="G188" s="37"/>
      <c r="H188" s="37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37"/>
      <c r="D189" s="37"/>
      <c r="E189" s="37"/>
      <c r="F189" s="37"/>
      <c r="G189" s="37"/>
      <c r="H189" s="37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37"/>
      <c r="D190" s="37"/>
      <c r="E190" s="37"/>
      <c r="F190" s="37"/>
      <c r="G190" s="37"/>
      <c r="H190" s="37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37"/>
      <c r="D191" s="37"/>
      <c r="E191" s="37"/>
      <c r="F191" s="37"/>
      <c r="G191" s="37"/>
      <c r="H191" s="37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37"/>
      <c r="D192" s="37"/>
      <c r="E192" s="37"/>
      <c r="F192" s="37"/>
      <c r="G192" s="37"/>
      <c r="H192" s="37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37"/>
      <c r="D193" s="37"/>
      <c r="E193" s="37"/>
      <c r="F193" s="37"/>
      <c r="G193" s="37"/>
      <c r="H193" s="37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37"/>
      <c r="D194" s="37"/>
      <c r="E194" s="37"/>
      <c r="F194" s="37"/>
      <c r="G194" s="37"/>
      <c r="H194" s="37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37"/>
      <c r="D195" s="37"/>
      <c r="E195" s="37"/>
      <c r="F195" s="37"/>
      <c r="G195" s="37"/>
      <c r="H195" s="37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37"/>
      <c r="D196" s="37"/>
      <c r="E196" s="37"/>
      <c r="F196" s="37"/>
      <c r="G196" s="37"/>
      <c r="H196" s="37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37"/>
      <c r="D197" s="37"/>
      <c r="E197" s="37"/>
      <c r="F197" s="37"/>
      <c r="G197" s="37"/>
      <c r="H197" s="37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37"/>
      <c r="D198" s="37"/>
      <c r="E198" s="37"/>
      <c r="F198" s="37"/>
      <c r="G198" s="37"/>
      <c r="H198" s="37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37"/>
      <c r="D199" s="37"/>
      <c r="E199" s="37"/>
      <c r="F199" s="37"/>
      <c r="G199" s="37"/>
      <c r="H199" s="37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37"/>
      <c r="D200" s="37"/>
      <c r="E200" s="37"/>
      <c r="F200" s="37"/>
      <c r="G200" s="37"/>
      <c r="H200" s="37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37"/>
      <c r="D201" s="37"/>
      <c r="E201" s="37"/>
      <c r="F201" s="37"/>
      <c r="G201" s="37"/>
      <c r="H201" s="37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37"/>
      <c r="D202" s="37"/>
      <c r="E202" s="37"/>
      <c r="F202" s="37"/>
      <c r="G202" s="37"/>
      <c r="H202" s="37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37"/>
      <c r="D203" s="37"/>
      <c r="E203" s="37"/>
      <c r="F203" s="37"/>
      <c r="G203" s="37"/>
      <c r="H203" s="37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37"/>
      <c r="D204" s="37"/>
      <c r="E204" s="37"/>
      <c r="F204" s="37"/>
      <c r="G204" s="37"/>
      <c r="H204" s="37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37"/>
      <c r="D205" s="37"/>
      <c r="E205" s="37"/>
      <c r="F205" s="37"/>
      <c r="G205" s="37"/>
      <c r="H205" s="37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37"/>
      <c r="D206" s="37"/>
      <c r="E206" s="37"/>
      <c r="F206" s="37"/>
      <c r="G206" s="37"/>
      <c r="H206" s="37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37"/>
      <c r="D207" s="37"/>
      <c r="E207" s="37"/>
      <c r="F207" s="37"/>
      <c r="G207" s="37"/>
      <c r="H207" s="37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37"/>
      <c r="D208" s="37"/>
      <c r="E208" s="37"/>
      <c r="F208" s="37"/>
      <c r="G208" s="37"/>
      <c r="H208" s="37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37"/>
      <c r="D209" s="37"/>
      <c r="E209" s="37"/>
      <c r="F209" s="37"/>
      <c r="G209" s="37"/>
      <c r="H209" s="37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37"/>
      <c r="D210" s="37"/>
      <c r="E210" s="37"/>
      <c r="F210" s="37"/>
      <c r="G210" s="37"/>
      <c r="H210" s="37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37"/>
      <c r="D211" s="37"/>
      <c r="E211" s="37"/>
      <c r="F211" s="37"/>
      <c r="G211" s="37"/>
      <c r="H211" s="37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37"/>
      <c r="D212" s="37"/>
      <c r="E212" s="37"/>
      <c r="F212" s="37"/>
      <c r="G212" s="37"/>
      <c r="H212" s="37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37"/>
      <c r="D213" s="37"/>
      <c r="E213" s="37"/>
      <c r="F213" s="37"/>
      <c r="G213" s="37"/>
      <c r="H213" s="37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37"/>
      <c r="D214" s="37"/>
      <c r="E214" s="37"/>
      <c r="F214" s="37"/>
      <c r="G214" s="37"/>
      <c r="H214" s="37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37"/>
      <c r="D215" s="37"/>
      <c r="E215" s="37"/>
      <c r="F215" s="37"/>
      <c r="G215" s="37"/>
      <c r="H215" s="37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37"/>
      <c r="D216" s="37"/>
      <c r="E216" s="37"/>
      <c r="F216" s="37"/>
      <c r="G216" s="37"/>
      <c r="H216" s="37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37"/>
      <c r="D217" s="37"/>
      <c r="E217" s="37"/>
      <c r="F217" s="37"/>
      <c r="G217" s="37"/>
      <c r="H217" s="37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37"/>
      <c r="D218" s="37"/>
      <c r="E218" s="37"/>
      <c r="F218" s="37"/>
      <c r="G218" s="37"/>
      <c r="H218" s="37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37"/>
      <c r="D219" s="37"/>
      <c r="E219" s="37"/>
      <c r="F219" s="37"/>
      <c r="G219" s="37"/>
      <c r="H219" s="37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37"/>
      <c r="D220" s="37"/>
      <c r="E220" s="37"/>
      <c r="F220" s="37"/>
      <c r="G220" s="37"/>
      <c r="H220" s="37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37"/>
      <c r="D221" s="37"/>
      <c r="E221" s="37"/>
      <c r="F221" s="37"/>
      <c r="G221" s="37"/>
      <c r="H221" s="37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37"/>
      <c r="D222" s="37"/>
      <c r="E222" s="37"/>
      <c r="F222" s="37"/>
      <c r="G222" s="37"/>
      <c r="H222" s="37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37"/>
      <c r="D223" s="37"/>
      <c r="E223" s="37"/>
      <c r="F223" s="37"/>
      <c r="G223" s="37"/>
      <c r="H223" s="37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37"/>
      <c r="D224" s="37"/>
      <c r="E224" s="37"/>
      <c r="F224" s="37"/>
      <c r="G224" s="37"/>
      <c r="H224" s="37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37"/>
      <c r="D225" s="37"/>
      <c r="E225" s="37"/>
      <c r="F225" s="37"/>
      <c r="G225" s="37"/>
      <c r="H225" s="37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37"/>
      <c r="D226" s="37"/>
      <c r="E226" s="37"/>
      <c r="F226" s="37"/>
      <c r="G226" s="37"/>
      <c r="H226" s="37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37"/>
      <c r="D227" s="37"/>
      <c r="E227" s="37"/>
      <c r="F227" s="37"/>
      <c r="G227" s="37"/>
      <c r="H227" s="37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37"/>
      <c r="D228" s="37"/>
      <c r="E228" s="37"/>
      <c r="F228" s="37"/>
      <c r="G228" s="37"/>
      <c r="H228" s="37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37"/>
      <c r="D229" s="37"/>
      <c r="E229" s="37"/>
      <c r="F229" s="37"/>
      <c r="G229" s="37"/>
      <c r="H229" s="37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37"/>
      <c r="D230" s="37"/>
      <c r="E230" s="37"/>
      <c r="F230" s="37"/>
      <c r="G230" s="37"/>
      <c r="H230" s="37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37"/>
      <c r="D231" s="37"/>
      <c r="E231" s="37"/>
      <c r="F231" s="37"/>
      <c r="G231" s="37"/>
      <c r="H231" s="37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37"/>
      <c r="D232" s="37"/>
      <c r="E232" s="37"/>
      <c r="F232" s="37"/>
      <c r="G232" s="37"/>
      <c r="H232" s="37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37"/>
      <c r="D233" s="37"/>
      <c r="E233" s="37"/>
      <c r="F233" s="37"/>
      <c r="G233" s="37"/>
      <c r="H233" s="37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37"/>
      <c r="D234" s="37"/>
      <c r="E234" s="37"/>
      <c r="F234" s="37"/>
      <c r="G234" s="37"/>
      <c r="H234" s="37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37"/>
      <c r="D235" s="37"/>
      <c r="E235" s="37"/>
      <c r="F235" s="37"/>
      <c r="G235" s="37"/>
      <c r="H235" s="37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37"/>
      <c r="D236" s="37"/>
      <c r="E236" s="37"/>
      <c r="F236" s="37"/>
      <c r="G236" s="37"/>
      <c r="H236" s="37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37"/>
      <c r="D237" s="37"/>
      <c r="E237" s="37"/>
      <c r="F237" s="37"/>
      <c r="G237" s="37"/>
      <c r="H237" s="37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37"/>
      <c r="D238" s="37"/>
      <c r="E238" s="37"/>
      <c r="F238" s="37"/>
      <c r="G238" s="37"/>
      <c r="H238" s="37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37"/>
      <c r="D239" s="37"/>
      <c r="E239" s="37"/>
      <c r="F239" s="37"/>
      <c r="G239" s="37"/>
      <c r="H239" s="37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37"/>
      <c r="D240" s="37"/>
      <c r="E240" s="37"/>
      <c r="F240" s="37"/>
      <c r="G240" s="37"/>
      <c r="H240" s="37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37"/>
      <c r="D241" s="37"/>
      <c r="E241" s="37"/>
      <c r="F241" s="37"/>
      <c r="G241" s="37"/>
      <c r="H241" s="37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37"/>
      <c r="D242" s="37"/>
      <c r="E242" s="37"/>
      <c r="F242" s="37"/>
      <c r="G242" s="37"/>
      <c r="H242" s="37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37"/>
      <c r="D243" s="37"/>
      <c r="E243" s="37"/>
      <c r="F243" s="37"/>
      <c r="G243" s="37"/>
      <c r="H243" s="37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37"/>
      <c r="D244" s="37"/>
      <c r="E244" s="37"/>
      <c r="F244" s="37"/>
      <c r="G244" s="37"/>
      <c r="H244" s="37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37"/>
      <c r="D245" s="37"/>
      <c r="E245" s="37"/>
      <c r="F245" s="37"/>
      <c r="G245" s="37"/>
      <c r="H245" s="37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37"/>
      <c r="D246" s="37"/>
      <c r="E246" s="37"/>
      <c r="F246" s="37"/>
      <c r="G246" s="37"/>
      <c r="H246" s="37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37"/>
      <c r="D247" s="37"/>
      <c r="E247" s="37"/>
      <c r="F247" s="37"/>
      <c r="G247" s="37"/>
      <c r="H247" s="37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37"/>
      <c r="D248" s="37"/>
      <c r="E248" s="37"/>
      <c r="F248" s="37"/>
      <c r="G248" s="37"/>
      <c r="H248" s="37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37"/>
      <c r="D249" s="37"/>
      <c r="E249" s="37"/>
      <c r="F249" s="37"/>
      <c r="G249" s="37"/>
      <c r="H249" s="37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37"/>
      <c r="D250" s="37"/>
      <c r="E250" s="37"/>
      <c r="F250" s="37"/>
      <c r="G250" s="37"/>
      <c r="H250" s="37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37"/>
      <c r="D251" s="37"/>
      <c r="E251" s="37"/>
      <c r="F251" s="37"/>
      <c r="G251" s="37"/>
      <c r="H251" s="37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37"/>
      <c r="D252" s="37"/>
      <c r="E252" s="37"/>
      <c r="F252" s="37"/>
      <c r="G252" s="37"/>
      <c r="H252" s="37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37"/>
      <c r="D253" s="37"/>
      <c r="E253" s="37"/>
      <c r="F253" s="37"/>
      <c r="G253" s="37"/>
      <c r="H253" s="37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37"/>
      <c r="D254" s="37"/>
      <c r="E254" s="37"/>
      <c r="F254" s="37"/>
      <c r="G254" s="37"/>
      <c r="H254" s="37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37"/>
      <c r="D255" s="37"/>
      <c r="E255" s="37"/>
      <c r="F255" s="37"/>
      <c r="G255" s="37"/>
      <c r="H255" s="37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37"/>
      <c r="D256" s="37"/>
      <c r="E256" s="37"/>
      <c r="F256" s="37"/>
      <c r="G256" s="37"/>
      <c r="H256" s="37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37"/>
      <c r="D257" s="37"/>
      <c r="E257" s="37"/>
      <c r="F257" s="37"/>
      <c r="G257" s="37"/>
      <c r="H257" s="37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37"/>
      <c r="D258" s="37"/>
      <c r="E258" s="37"/>
      <c r="F258" s="37"/>
      <c r="G258" s="37"/>
      <c r="H258" s="37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37"/>
      <c r="D259" s="37"/>
      <c r="E259" s="37"/>
      <c r="F259" s="37"/>
      <c r="G259" s="37"/>
      <c r="H259" s="37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37"/>
      <c r="D260" s="37"/>
      <c r="E260" s="37"/>
      <c r="F260" s="37"/>
      <c r="G260" s="37"/>
      <c r="H260" s="37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37"/>
      <c r="D261" s="37"/>
      <c r="E261" s="37"/>
      <c r="F261" s="37"/>
      <c r="G261" s="37"/>
      <c r="H261" s="37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37"/>
      <c r="D262" s="37"/>
      <c r="E262" s="37"/>
      <c r="F262" s="37"/>
      <c r="G262" s="37"/>
      <c r="H262" s="37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37"/>
      <c r="D263" s="37"/>
      <c r="E263" s="37"/>
      <c r="F263" s="37"/>
      <c r="G263" s="37"/>
      <c r="H263" s="37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37"/>
      <c r="D264" s="37"/>
      <c r="E264" s="37"/>
      <c r="F264" s="37"/>
      <c r="G264" s="37"/>
      <c r="H264" s="37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37"/>
      <c r="D265" s="37"/>
      <c r="E265" s="37"/>
      <c r="F265" s="37"/>
      <c r="G265" s="37"/>
      <c r="H265" s="37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37"/>
      <c r="D266" s="37"/>
      <c r="E266" s="37"/>
      <c r="F266" s="37"/>
      <c r="G266" s="37"/>
      <c r="H266" s="37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37"/>
      <c r="D267" s="37"/>
      <c r="E267" s="37"/>
      <c r="F267" s="37"/>
      <c r="G267" s="37"/>
      <c r="H267" s="37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37"/>
      <c r="D268" s="37"/>
      <c r="E268" s="37"/>
      <c r="F268" s="37"/>
      <c r="G268" s="37"/>
      <c r="H268" s="37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37"/>
      <c r="D269" s="37"/>
      <c r="E269" s="37"/>
      <c r="F269" s="37"/>
      <c r="G269" s="37"/>
      <c r="H269" s="37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37"/>
      <c r="D270" s="37"/>
      <c r="E270" s="37"/>
      <c r="F270" s="37"/>
      <c r="G270" s="37"/>
      <c r="H270" s="37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37"/>
      <c r="D271" s="37"/>
      <c r="E271" s="37"/>
      <c r="F271" s="37"/>
      <c r="G271" s="37"/>
      <c r="H271" s="37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37"/>
      <c r="D272" s="37"/>
      <c r="E272" s="37"/>
      <c r="F272" s="37"/>
      <c r="G272" s="37"/>
      <c r="H272" s="37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37"/>
      <c r="D273" s="37"/>
      <c r="E273" s="37"/>
      <c r="F273" s="37"/>
      <c r="G273" s="37"/>
      <c r="H273" s="37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37"/>
      <c r="D274" s="37"/>
      <c r="E274" s="37"/>
      <c r="F274" s="37"/>
      <c r="G274" s="37"/>
      <c r="H274" s="37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37"/>
      <c r="D275" s="37"/>
      <c r="E275" s="37"/>
      <c r="F275" s="37"/>
      <c r="G275" s="37"/>
      <c r="H275" s="37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37"/>
      <c r="D276" s="37"/>
      <c r="E276" s="37"/>
      <c r="F276" s="37"/>
      <c r="G276" s="37"/>
      <c r="H276" s="37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37"/>
      <c r="D277" s="37"/>
      <c r="E277" s="37"/>
      <c r="F277" s="37"/>
      <c r="G277" s="37"/>
      <c r="H277" s="37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37"/>
      <c r="D278" s="37"/>
      <c r="E278" s="37"/>
      <c r="F278" s="37"/>
      <c r="G278" s="37"/>
      <c r="H278" s="37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37"/>
      <c r="D279" s="37"/>
      <c r="E279" s="37"/>
      <c r="F279" s="37"/>
      <c r="G279" s="37"/>
      <c r="H279" s="37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37"/>
      <c r="D280" s="37"/>
      <c r="E280" s="37"/>
      <c r="F280" s="37"/>
      <c r="G280" s="37"/>
      <c r="H280" s="37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37"/>
      <c r="D281" s="37"/>
      <c r="E281" s="37"/>
      <c r="F281" s="37"/>
      <c r="G281" s="37"/>
      <c r="H281" s="37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37"/>
      <c r="D282" s="37"/>
      <c r="E282" s="37"/>
      <c r="F282" s="37"/>
      <c r="G282" s="37"/>
      <c r="H282" s="37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37"/>
      <c r="D283" s="37"/>
      <c r="E283" s="37"/>
      <c r="F283" s="37"/>
      <c r="G283" s="37"/>
      <c r="H283" s="37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37"/>
      <c r="D284" s="37"/>
      <c r="E284" s="37"/>
      <c r="F284" s="37"/>
      <c r="G284" s="37"/>
      <c r="H284" s="37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37"/>
      <c r="D285" s="37"/>
      <c r="E285" s="37"/>
      <c r="F285" s="37"/>
      <c r="G285" s="37"/>
      <c r="H285" s="37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37"/>
      <c r="D286" s="37"/>
      <c r="E286" s="37"/>
      <c r="F286" s="37"/>
      <c r="G286" s="37"/>
      <c r="H286" s="37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37"/>
      <c r="D287" s="37"/>
      <c r="E287" s="37"/>
      <c r="F287" s="37"/>
      <c r="G287" s="37"/>
      <c r="H287" s="37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37"/>
      <c r="D288" s="37"/>
      <c r="E288" s="37"/>
      <c r="F288" s="37"/>
      <c r="G288" s="37"/>
      <c r="H288" s="37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37"/>
      <c r="D289" s="37"/>
      <c r="E289" s="37"/>
      <c r="F289" s="37"/>
      <c r="G289" s="37"/>
      <c r="H289" s="37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37"/>
      <c r="D290" s="37"/>
      <c r="E290" s="37"/>
      <c r="F290" s="37"/>
      <c r="G290" s="37"/>
      <c r="H290" s="37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37"/>
      <c r="D291" s="37"/>
      <c r="E291" s="37"/>
      <c r="F291" s="37"/>
      <c r="G291" s="37"/>
      <c r="H291" s="37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37"/>
      <c r="D292" s="37"/>
      <c r="E292" s="37"/>
      <c r="F292" s="37"/>
      <c r="G292" s="37"/>
      <c r="H292" s="37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37"/>
      <c r="D293" s="37"/>
      <c r="E293" s="37"/>
      <c r="F293" s="37"/>
      <c r="G293" s="37"/>
      <c r="H293" s="37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37"/>
      <c r="D294" s="37"/>
      <c r="E294" s="37"/>
      <c r="F294" s="37"/>
      <c r="G294" s="37"/>
      <c r="H294" s="37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37"/>
      <c r="D295" s="37"/>
      <c r="E295" s="37"/>
      <c r="F295" s="37"/>
      <c r="G295" s="37"/>
      <c r="H295" s="37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37"/>
      <c r="D296" s="37"/>
      <c r="E296" s="37"/>
      <c r="F296" s="37"/>
      <c r="G296" s="37"/>
      <c r="H296" s="37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37"/>
      <c r="D297" s="37"/>
      <c r="E297" s="37"/>
      <c r="F297" s="37"/>
      <c r="G297" s="37"/>
      <c r="H297" s="37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37"/>
      <c r="D298" s="37"/>
      <c r="E298" s="37"/>
      <c r="F298" s="37"/>
      <c r="G298" s="37"/>
      <c r="H298" s="37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37"/>
      <c r="D299" s="37"/>
      <c r="E299" s="37"/>
      <c r="F299" s="37"/>
      <c r="G299" s="37"/>
      <c r="H299" s="37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37"/>
      <c r="D300" s="37"/>
      <c r="E300" s="37"/>
      <c r="F300" s="37"/>
      <c r="G300" s="37"/>
      <c r="H300" s="37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37"/>
      <c r="D301" s="37"/>
      <c r="E301" s="37"/>
      <c r="F301" s="37"/>
      <c r="G301" s="37"/>
      <c r="H301" s="37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37"/>
      <c r="D302" s="37"/>
      <c r="E302" s="37"/>
      <c r="F302" s="37"/>
      <c r="G302" s="37"/>
      <c r="H302" s="37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37"/>
      <c r="D303" s="37"/>
      <c r="E303" s="37"/>
      <c r="F303" s="37"/>
      <c r="G303" s="37"/>
      <c r="H303" s="37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37"/>
      <c r="D304" s="37"/>
      <c r="E304" s="37"/>
      <c r="F304" s="37"/>
      <c r="G304" s="37"/>
      <c r="H304" s="37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37"/>
      <c r="D305" s="37"/>
      <c r="E305" s="37"/>
      <c r="F305" s="37"/>
      <c r="G305" s="37"/>
      <c r="H305" s="37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37"/>
      <c r="D306" s="37"/>
      <c r="E306" s="37"/>
      <c r="F306" s="37"/>
      <c r="G306" s="37"/>
      <c r="H306" s="37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37"/>
      <c r="D307" s="37"/>
      <c r="E307" s="37"/>
      <c r="F307" s="37"/>
      <c r="G307" s="37"/>
      <c r="H307" s="37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37"/>
      <c r="D308" s="37"/>
      <c r="E308" s="37"/>
      <c r="F308" s="37"/>
      <c r="G308" s="37"/>
      <c r="H308" s="37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37"/>
      <c r="D309" s="37"/>
      <c r="E309" s="37"/>
      <c r="F309" s="37"/>
      <c r="G309" s="37"/>
      <c r="H309" s="37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37"/>
      <c r="D310" s="37"/>
      <c r="E310" s="37"/>
      <c r="F310" s="37"/>
      <c r="G310" s="37"/>
      <c r="H310" s="37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37"/>
      <c r="D311" s="37"/>
      <c r="E311" s="37"/>
      <c r="F311" s="37"/>
      <c r="G311" s="37"/>
      <c r="H311" s="37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37"/>
      <c r="D312" s="37"/>
      <c r="E312" s="37"/>
      <c r="F312" s="37"/>
      <c r="G312" s="37"/>
      <c r="H312" s="37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37"/>
      <c r="D313" s="37"/>
      <c r="E313" s="37"/>
      <c r="F313" s="37"/>
      <c r="G313" s="37"/>
      <c r="H313" s="37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37"/>
      <c r="D314" s="37"/>
      <c r="E314" s="37"/>
      <c r="F314" s="37"/>
      <c r="G314" s="37"/>
      <c r="H314" s="37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37"/>
      <c r="D315" s="37"/>
      <c r="E315" s="37"/>
      <c r="F315" s="37"/>
      <c r="G315" s="37"/>
      <c r="H315" s="37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37"/>
      <c r="D316" s="37"/>
      <c r="E316" s="37"/>
      <c r="F316" s="37"/>
      <c r="G316" s="37"/>
      <c r="H316" s="37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37"/>
      <c r="D317" s="37"/>
      <c r="E317" s="37"/>
      <c r="F317" s="37"/>
      <c r="G317" s="37"/>
      <c r="H317" s="37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37"/>
      <c r="D318" s="37"/>
      <c r="E318" s="37"/>
      <c r="F318" s="37"/>
      <c r="G318" s="37"/>
      <c r="H318" s="37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37"/>
      <c r="D319" s="37"/>
      <c r="E319" s="37"/>
      <c r="F319" s="37"/>
      <c r="G319" s="37"/>
      <c r="H319" s="37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37"/>
      <c r="D320" s="37"/>
      <c r="E320" s="37"/>
      <c r="F320" s="37"/>
      <c r="G320" s="37"/>
      <c r="H320" s="37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37"/>
      <c r="D321" s="37"/>
      <c r="E321" s="37"/>
      <c r="F321" s="37"/>
      <c r="G321" s="37"/>
      <c r="H321" s="37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37"/>
      <c r="D322" s="37"/>
      <c r="E322" s="37"/>
      <c r="F322" s="37"/>
      <c r="G322" s="37"/>
      <c r="H322" s="37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37"/>
      <c r="D323" s="37"/>
      <c r="E323" s="37"/>
      <c r="F323" s="37"/>
      <c r="G323" s="37"/>
      <c r="H323" s="37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37"/>
      <c r="D324" s="37"/>
      <c r="E324" s="37"/>
      <c r="F324" s="37"/>
      <c r="G324" s="37"/>
      <c r="H324" s="37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37"/>
      <c r="D325" s="37"/>
      <c r="E325" s="37"/>
      <c r="F325" s="37"/>
      <c r="G325" s="37"/>
      <c r="H325" s="37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37"/>
      <c r="D326" s="37"/>
      <c r="E326" s="37"/>
      <c r="F326" s="37"/>
      <c r="G326" s="37"/>
      <c r="H326" s="37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37"/>
      <c r="D327" s="37"/>
      <c r="E327" s="37"/>
      <c r="F327" s="37"/>
      <c r="G327" s="37"/>
      <c r="H327" s="37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37"/>
      <c r="D328" s="37"/>
      <c r="E328" s="37"/>
      <c r="F328" s="37"/>
      <c r="G328" s="37"/>
      <c r="H328" s="37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37"/>
      <c r="D329" s="37"/>
      <c r="E329" s="37"/>
      <c r="F329" s="37"/>
      <c r="G329" s="37"/>
      <c r="H329" s="37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37"/>
      <c r="D330" s="37"/>
      <c r="E330" s="37"/>
      <c r="F330" s="37"/>
      <c r="G330" s="37"/>
      <c r="H330" s="37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37"/>
      <c r="D331" s="37"/>
      <c r="E331" s="37"/>
      <c r="F331" s="37"/>
      <c r="G331" s="37"/>
      <c r="H331" s="37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37"/>
      <c r="D332" s="37"/>
      <c r="E332" s="37"/>
      <c r="F332" s="37"/>
      <c r="G332" s="37"/>
      <c r="H332" s="37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37"/>
      <c r="D333" s="37"/>
      <c r="E333" s="37"/>
      <c r="F333" s="37"/>
      <c r="G333" s="37"/>
      <c r="H333" s="37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37"/>
      <c r="D334" s="37"/>
      <c r="E334" s="37"/>
      <c r="F334" s="37"/>
      <c r="G334" s="37"/>
      <c r="H334" s="37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37"/>
      <c r="D335" s="37"/>
      <c r="E335" s="37"/>
      <c r="F335" s="37"/>
      <c r="G335" s="37"/>
      <c r="H335" s="37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37"/>
      <c r="D336" s="37"/>
      <c r="E336" s="37"/>
      <c r="F336" s="37"/>
      <c r="G336" s="37"/>
      <c r="H336" s="37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37"/>
      <c r="D337" s="37"/>
      <c r="E337" s="37"/>
      <c r="F337" s="37"/>
      <c r="G337" s="37"/>
      <c r="H337" s="37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37"/>
      <c r="D338" s="37"/>
      <c r="E338" s="37"/>
      <c r="F338" s="37"/>
      <c r="G338" s="37"/>
      <c r="H338" s="37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37"/>
      <c r="D339" s="37"/>
      <c r="E339" s="37"/>
      <c r="F339" s="37"/>
      <c r="G339" s="37"/>
      <c r="H339" s="37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37"/>
      <c r="D340" s="37"/>
      <c r="E340" s="37"/>
      <c r="F340" s="37"/>
      <c r="G340" s="37"/>
      <c r="H340" s="37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37"/>
      <c r="D341" s="37"/>
      <c r="E341" s="37"/>
      <c r="F341" s="37"/>
      <c r="G341" s="37"/>
      <c r="H341" s="37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37"/>
      <c r="D342" s="37"/>
      <c r="E342" s="37"/>
      <c r="F342" s="37"/>
      <c r="G342" s="37"/>
      <c r="H342" s="37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37"/>
      <c r="D343" s="37"/>
      <c r="E343" s="37"/>
      <c r="F343" s="37"/>
      <c r="G343" s="37"/>
      <c r="H343" s="37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37"/>
      <c r="D344" s="37"/>
      <c r="E344" s="37"/>
      <c r="F344" s="37"/>
      <c r="G344" s="37"/>
      <c r="H344" s="37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37"/>
      <c r="D345" s="37"/>
      <c r="E345" s="37"/>
      <c r="F345" s="37"/>
      <c r="G345" s="37"/>
      <c r="H345" s="37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37"/>
      <c r="D346" s="37"/>
      <c r="E346" s="37"/>
      <c r="F346" s="37"/>
      <c r="G346" s="37"/>
      <c r="H346" s="37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37"/>
      <c r="D347" s="37"/>
      <c r="E347" s="37"/>
      <c r="F347" s="37"/>
      <c r="G347" s="37"/>
      <c r="H347" s="37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37"/>
      <c r="D348" s="37"/>
      <c r="E348" s="37"/>
      <c r="F348" s="37"/>
      <c r="G348" s="37"/>
      <c r="H348" s="37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37"/>
      <c r="D349" s="37"/>
      <c r="E349" s="37"/>
      <c r="F349" s="37"/>
      <c r="G349" s="37"/>
      <c r="H349" s="37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37"/>
      <c r="D350" s="37"/>
      <c r="E350" s="37"/>
      <c r="F350" s="37"/>
      <c r="G350" s="37"/>
      <c r="H350" s="37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37"/>
      <c r="D351" s="37"/>
      <c r="E351" s="37"/>
      <c r="F351" s="37"/>
      <c r="G351" s="37"/>
      <c r="H351" s="37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37"/>
      <c r="D352" s="37"/>
      <c r="E352" s="37"/>
      <c r="F352" s="37"/>
      <c r="G352" s="37"/>
      <c r="H352" s="37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37"/>
      <c r="D353" s="37"/>
      <c r="E353" s="37"/>
      <c r="F353" s="37"/>
      <c r="G353" s="37"/>
      <c r="H353" s="37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37"/>
      <c r="D354" s="37"/>
      <c r="E354" s="37"/>
      <c r="F354" s="37"/>
      <c r="G354" s="37"/>
      <c r="H354" s="37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37"/>
      <c r="D355" s="37"/>
      <c r="E355" s="37"/>
      <c r="F355" s="37"/>
      <c r="G355" s="37"/>
      <c r="H355" s="37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37"/>
      <c r="D356" s="37"/>
      <c r="E356" s="37"/>
      <c r="F356" s="37"/>
      <c r="G356" s="37"/>
      <c r="H356" s="37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37"/>
      <c r="D357" s="37"/>
      <c r="E357" s="37"/>
      <c r="F357" s="37"/>
      <c r="G357" s="37"/>
      <c r="H357" s="37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37"/>
      <c r="D358" s="37"/>
      <c r="E358" s="37"/>
      <c r="F358" s="37"/>
      <c r="G358" s="37"/>
      <c r="H358" s="37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37"/>
      <c r="D359" s="37"/>
      <c r="E359" s="37"/>
      <c r="F359" s="37"/>
      <c r="G359" s="37"/>
      <c r="H359" s="37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37"/>
      <c r="D360" s="37"/>
      <c r="E360" s="37"/>
      <c r="F360" s="37"/>
      <c r="G360" s="37"/>
      <c r="H360" s="37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37"/>
      <c r="D361" s="37"/>
      <c r="E361" s="37"/>
      <c r="F361" s="37"/>
      <c r="G361" s="37"/>
      <c r="H361" s="37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37"/>
      <c r="D362" s="37"/>
      <c r="E362" s="37"/>
      <c r="F362" s="37"/>
      <c r="G362" s="37"/>
      <c r="H362" s="37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37"/>
      <c r="D363" s="37"/>
      <c r="E363" s="37"/>
      <c r="F363" s="37"/>
      <c r="G363" s="37"/>
      <c r="H363" s="37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37"/>
      <c r="D364" s="37"/>
      <c r="E364" s="37"/>
      <c r="F364" s="37"/>
      <c r="G364" s="37"/>
      <c r="H364" s="37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37"/>
      <c r="D365" s="37"/>
      <c r="E365" s="37"/>
      <c r="F365" s="37"/>
      <c r="G365" s="37"/>
      <c r="H365" s="37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37"/>
      <c r="D366" s="37"/>
      <c r="E366" s="37"/>
      <c r="F366" s="37"/>
      <c r="G366" s="37"/>
      <c r="H366" s="37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37"/>
      <c r="D367" s="37"/>
      <c r="E367" s="37"/>
      <c r="F367" s="37"/>
      <c r="G367" s="37"/>
      <c r="H367" s="37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37"/>
      <c r="D368" s="37"/>
      <c r="E368" s="37"/>
      <c r="F368" s="37"/>
      <c r="G368" s="37"/>
      <c r="H368" s="37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37"/>
      <c r="D369" s="37"/>
      <c r="E369" s="37"/>
      <c r="F369" s="37"/>
      <c r="G369" s="37"/>
      <c r="H369" s="37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37"/>
      <c r="D370" s="37"/>
      <c r="E370" s="37"/>
      <c r="F370" s="37"/>
      <c r="G370" s="37"/>
      <c r="H370" s="37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37"/>
      <c r="D371" s="37"/>
      <c r="E371" s="37"/>
      <c r="F371" s="37"/>
      <c r="G371" s="37"/>
      <c r="H371" s="37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37"/>
      <c r="D372" s="37"/>
      <c r="E372" s="37"/>
      <c r="F372" s="37"/>
      <c r="G372" s="37"/>
      <c r="H372" s="37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37"/>
      <c r="D373" s="37"/>
      <c r="E373" s="37"/>
      <c r="F373" s="37"/>
      <c r="G373" s="37"/>
      <c r="H373" s="37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37"/>
      <c r="D374" s="37"/>
      <c r="E374" s="37"/>
      <c r="F374" s="37"/>
      <c r="G374" s="37"/>
      <c r="H374" s="37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37"/>
      <c r="D375" s="37"/>
      <c r="E375" s="37"/>
      <c r="F375" s="37"/>
      <c r="G375" s="37"/>
      <c r="H375" s="37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37"/>
      <c r="D376" s="37"/>
      <c r="E376" s="37"/>
      <c r="F376" s="37"/>
      <c r="G376" s="37"/>
      <c r="H376" s="37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37"/>
      <c r="D377" s="37"/>
      <c r="E377" s="37"/>
      <c r="F377" s="37"/>
      <c r="G377" s="37"/>
      <c r="H377" s="37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37"/>
      <c r="D378" s="37"/>
      <c r="E378" s="37"/>
      <c r="F378" s="37"/>
      <c r="G378" s="37"/>
      <c r="H378" s="37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37"/>
      <c r="D379" s="37"/>
      <c r="E379" s="37"/>
      <c r="F379" s="37"/>
      <c r="G379" s="37"/>
      <c r="H379" s="37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37"/>
      <c r="D380" s="37"/>
      <c r="E380" s="37"/>
      <c r="F380" s="37"/>
      <c r="G380" s="37"/>
      <c r="H380" s="37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37"/>
      <c r="D381" s="37"/>
      <c r="E381" s="37"/>
      <c r="F381" s="37"/>
      <c r="G381" s="37"/>
      <c r="H381" s="37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37"/>
      <c r="D382" s="37"/>
      <c r="E382" s="37"/>
      <c r="F382" s="37"/>
      <c r="G382" s="37"/>
      <c r="H382" s="37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37"/>
      <c r="D383" s="37"/>
      <c r="E383" s="37"/>
      <c r="F383" s="37"/>
      <c r="G383" s="37"/>
      <c r="H383" s="37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37"/>
      <c r="D384" s="37"/>
      <c r="E384" s="37"/>
      <c r="F384" s="37"/>
      <c r="G384" s="37"/>
      <c r="H384" s="37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37"/>
      <c r="D385" s="37"/>
      <c r="E385" s="37"/>
      <c r="F385" s="37"/>
      <c r="G385" s="37"/>
      <c r="H385" s="37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37"/>
      <c r="D386" s="37"/>
      <c r="E386" s="37"/>
      <c r="F386" s="37"/>
      <c r="G386" s="37"/>
      <c r="H386" s="37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37"/>
      <c r="D387" s="37"/>
      <c r="E387" s="37"/>
      <c r="F387" s="37"/>
      <c r="G387" s="37"/>
      <c r="H387" s="37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37"/>
      <c r="D388" s="37"/>
      <c r="E388" s="37"/>
      <c r="F388" s="37"/>
      <c r="G388" s="37"/>
      <c r="H388" s="37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37"/>
      <c r="D389" s="37"/>
      <c r="E389" s="37"/>
      <c r="F389" s="37"/>
      <c r="G389" s="37"/>
      <c r="H389" s="37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37"/>
      <c r="D390" s="37"/>
      <c r="E390" s="37"/>
      <c r="F390" s="37"/>
      <c r="G390" s="37"/>
      <c r="H390" s="37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37"/>
      <c r="D391" s="37"/>
      <c r="E391" s="37"/>
      <c r="F391" s="37"/>
      <c r="G391" s="37"/>
      <c r="H391" s="37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37"/>
      <c r="D392" s="37"/>
      <c r="E392" s="37"/>
      <c r="F392" s="37"/>
      <c r="G392" s="37"/>
      <c r="H392" s="37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37"/>
      <c r="D393" s="37"/>
      <c r="E393" s="37"/>
      <c r="F393" s="37"/>
      <c r="G393" s="37"/>
      <c r="H393" s="37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37"/>
      <c r="D394" s="37"/>
      <c r="E394" s="37"/>
      <c r="F394" s="37"/>
      <c r="G394" s="37"/>
      <c r="H394" s="37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37"/>
      <c r="D395" s="37"/>
      <c r="E395" s="37"/>
      <c r="F395" s="37"/>
      <c r="G395" s="37"/>
      <c r="H395" s="37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37"/>
      <c r="D396" s="37"/>
      <c r="E396" s="37"/>
      <c r="F396" s="37"/>
      <c r="G396" s="37"/>
      <c r="H396" s="37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37"/>
      <c r="D397" s="37"/>
      <c r="E397" s="37"/>
      <c r="F397" s="37"/>
      <c r="G397" s="37"/>
      <c r="H397" s="37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37"/>
      <c r="D398" s="37"/>
      <c r="E398" s="37"/>
      <c r="F398" s="37"/>
      <c r="G398" s="37"/>
      <c r="H398" s="37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37"/>
      <c r="D399" s="37"/>
      <c r="E399" s="37"/>
      <c r="F399" s="37"/>
      <c r="G399" s="37"/>
      <c r="H399" s="37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37"/>
      <c r="D400" s="37"/>
      <c r="E400" s="37"/>
      <c r="F400" s="37"/>
      <c r="G400" s="37"/>
      <c r="H400" s="37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37"/>
      <c r="D401" s="37"/>
      <c r="E401" s="37"/>
      <c r="F401" s="37"/>
      <c r="G401" s="37"/>
      <c r="H401" s="37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37"/>
      <c r="D402" s="37"/>
      <c r="E402" s="37"/>
      <c r="F402" s="37"/>
      <c r="G402" s="37"/>
      <c r="H402" s="37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37"/>
      <c r="D403" s="37"/>
      <c r="E403" s="37"/>
      <c r="F403" s="37"/>
      <c r="G403" s="37"/>
      <c r="H403" s="37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37"/>
      <c r="D404" s="37"/>
      <c r="E404" s="37"/>
      <c r="F404" s="37"/>
      <c r="G404" s="37"/>
      <c r="H404" s="37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37"/>
      <c r="D405" s="37"/>
      <c r="E405" s="37"/>
      <c r="F405" s="37"/>
      <c r="G405" s="37"/>
      <c r="H405" s="37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37"/>
      <c r="D406" s="37"/>
      <c r="E406" s="37"/>
      <c r="F406" s="37"/>
      <c r="G406" s="37"/>
      <c r="H406" s="37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37"/>
      <c r="D407" s="37"/>
      <c r="E407" s="37"/>
      <c r="F407" s="37"/>
      <c r="G407" s="37"/>
      <c r="H407" s="37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37"/>
      <c r="D408" s="37"/>
      <c r="E408" s="37"/>
      <c r="F408" s="37"/>
      <c r="G408" s="37"/>
      <c r="H408" s="37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37"/>
      <c r="D409" s="37"/>
      <c r="E409" s="37"/>
      <c r="F409" s="37"/>
      <c r="G409" s="37"/>
      <c r="H409" s="37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37"/>
      <c r="D410" s="37"/>
      <c r="E410" s="37"/>
      <c r="F410" s="37"/>
      <c r="G410" s="37"/>
      <c r="H410" s="37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37"/>
      <c r="D411" s="37"/>
      <c r="E411" s="37"/>
      <c r="F411" s="37"/>
      <c r="G411" s="37"/>
      <c r="H411" s="37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37"/>
      <c r="D412" s="37"/>
      <c r="E412" s="37"/>
      <c r="F412" s="37"/>
      <c r="G412" s="37"/>
      <c r="H412" s="37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37"/>
      <c r="D413" s="37"/>
      <c r="E413" s="37"/>
      <c r="F413" s="37"/>
      <c r="G413" s="37"/>
      <c r="H413" s="37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37"/>
      <c r="D414" s="37"/>
      <c r="E414" s="37"/>
      <c r="F414" s="37"/>
      <c r="G414" s="37"/>
      <c r="H414" s="37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37"/>
      <c r="D415" s="37"/>
      <c r="E415" s="37"/>
      <c r="F415" s="37"/>
      <c r="G415" s="37"/>
      <c r="H415" s="37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37"/>
      <c r="D416" s="37"/>
      <c r="E416" s="37"/>
      <c r="F416" s="37"/>
      <c r="G416" s="37"/>
      <c r="H416" s="37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37"/>
      <c r="D417" s="37"/>
      <c r="E417" s="37"/>
      <c r="F417" s="37"/>
      <c r="G417" s="37"/>
      <c r="H417" s="37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37"/>
      <c r="D418" s="37"/>
      <c r="E418" s="37"/>
      <c r="F418" s="37"/>
      <c r="G418" s="37"/>
      <c r="H418" s="37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37"/>
      <c r="D419" s="37"/>
      <c r="E419" s="37"/>
      <c r="F419" s="37"/>
      <c r="G419" s="37"/>
      <c r="H419" s="37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37"/>
      <c r="D420" s="37"/>
      <c r="E420" s="37"/>
      <c r="F420" s="37"/>
      <c r="G420" s="37"/>
      <c r="H420" s="37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37"/>
      <c r="D421" s="37"/>
      <c r="E421" s="37"/>
      <c r="F421" s="37"/>
      <c r="G421" s="37"/>
      <c r="H421" s="37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37"/>
      <c r="D422" s="37"/>
      <c r="E422" s="37"/>
      <c r="F422" s="37"/>
      <c r="G422" s="37"/>
      <c r="H422" s="37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37"/>
      <c r="D423" s="37"/>
      <c r="E423" s="37"/>
      <c r="F423" s="37"/>
      <c r="G423" s="37"/>
      <c r="H423" s="37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37"/>
      <c r="D424" s="37"/>
      <c r="E424" s="37"/>
      <c r="F424" s="37"/>
      <c r="G424" s="37"/>
      <c r="H424" s="37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37"/>
      <c r="D425" s="37"/>
      <c r="E425" s="37"/>
      <c r="F425" s="37"/>
      <c r="G425" s="37"/>
      <c r="H425" s="37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37"/>
      <c r="D426" s="37"/>
      <c r="E426" s="37"/>
      <c r="F426" s="37"/>
      <c r="G426" s="37"/>
      <c r="H426" s="37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37"/>
      <c r="D427" s="37"/>
      <c r="E427" s="37"/>
      <c r="F427" s="37"/>
      <c r="G427" s="37"/>
      <c r="H427" s="37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37"/>
      <c r="D428" s="37"/>
      <c r="E428" s="37"/>
      <c r="F428" s="37"/>
      <c r="G428" s="37"/>
      <c r="H428" s="37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37"/>
      <c r="D429" s="37"/>
      <c r="E429" s="37"/>
      <c r="F429" s="37"/>
      <c r="G429" s="37"/>
      <c r="H429" s="37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37"/>
      <c r="D430" s="37"/>
      <c r="E430" s="37"/>
      <c r="F430" s="37"/>
      <c r="G430" s="37"/>
      <c r="H430" s="37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37"/>
      <c r="D431" s="37"/>
      <c r="E431" s="37"/>
      <c r="F431" s="37"/>
      <c r="G431" s="37"/>
      <c r="H431" s="37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37"/>
      <c r="D432" s="37"/>
      <c r="E432" s="37"/>
      <c r="F432" s="37"/>
      <c r="G432" s="37"/>
      <c r="H432" s="37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37"/>
      <c r="D433" s="37"/>
      <c r="E433" s="37"/>
      <c r="F433" s="37"/>
      <c r="G433" s="37"/>
      <c r="H433" s="37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37"/>
      <c r="D434" s="37"/>
      <c r="E434" s="37"/>
      <c r="F434" s="37"/>
      <c r="G434" s="37"/>
      <c r="H434" s="37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37"/>
      <c r="D435" s="37"/>
      <c r="E435" s="37"/>
      <c r="F435" s="37"/>
      <c r="G435" s="37"/>
      <c r="H435" s="37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37"/>
      <c r="D436" s="37"/>
      <c r="E436" s="37"/>
      <c r="F436" s="37"/>
      <c r="G436" s="37"/>
      <c r="H436" s="37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37"/>
      <c r="D437" s="37"/>
      <c r="E437" s="37"/>
      <c r="F437" s="37"/>
      <c r="G437" s="37"/>
      <c r="H437" s="37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37"/>
      <c r="D438" s="37"/>
      <c r="E438" s="37"/>
      <c r="F438" s="37"/>
      <c r="G438" s="37"/>
      <c r="H438" s="37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37"/>
      <c r="D439" s="37"/>
      <c r="E439" s="37"/>
      <c r="F439" s="37"/>
      <c r="G439" s="37"/>
      <c r="H439" s="37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37"/>
      <c r="D440" s="37"/>
      <c r="E440" s="37"/>
      <c r="F440" s="37"/>
      <c r="G440" s="37"/>
      <c r="H440" s="37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37"/>
      <c r="D441" s="37"/>
      <c r="E441" s="37"/>
      <c r="F441" s="37"/>
      <c r="G441" s="37"/>
      <c r="H441" s="37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37"/>
      <c r="D442" s="37"/>
      <c r="E442" s="37"/>
      <c r="F442" s="37"/>
      <c r="G442" s="37"/>
      <c r="H442" s="37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37"/>
      <c r="D443" s="37"/>
      <c r="E443" s="37"/>
      <c r="F443" s="37"/>
      <c r="G443" s="37"/>
      <c r="H443" s="37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37"/>
      <c r="D444" s="37"/>
      <c r="E444" s="37"/>
      <c r="F444" s="37"/>
      <c r="G444" s="37"/>
      <c r="H444" s="37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37"/>
      <c r="D445" s="37"/>
      <c r="E445" s="37"/>
      <c r="F445" s="37"/>
      <c r="G445" s="37"/>
      <c r="H445" s="37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37"/>
      <c r="D446" s="37"/>
      <c r="E446" s="37"/>
      <c r="F446" s="37"/>
      <c r="G446" s="37"/>
      <c r="H446" s="37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37"/>
      <c r="D447" s="37"/>
      <c r="E447" s="37"/>
      <c r="F447" s="37"/>
      <c r="G447" s="37"/>
      <c r="H447" s="37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37"/>
      <c r="D448" s="37"/>
      <c r="E448" s="37"/>
      <c r="F448" s="37"/>
      <c r="G448" s="37"/>
      <c r="H448" s="37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37"/>
      <c r="D449" s="37"/>
      <c r="E449" s="37"/>
      <c r="F449" s="37"/>
      <c r="G449" s="37"/>
      <c r="H449" s="37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37"/>
      <c r="D450" s="37"/>
      <c r="E450" s="37"/>
      <c r="F450" s="37"/>
      <c r="G450" s="37"/>
      <c r="H450" s="37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37"/>
      <c r="D451" s="37"/>
      <c r="E451" s="37"/>
      <c r="F451" s="37"/>
      <c r="G451" s="37"/>
      <c r="H451" s="37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37"/>
      <c r="D452" s="37"/>
      <c r="E452" s="37"/>
      <c r="F452" s="37"/>
      <c r="G452" s="37"/>
      <c r="H452" s="37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37"/>
      <c r="D453" s="37"/>
      <c r="E453" s="37"/>
      <c r="F453" s="37"/>
      <c r="G453" s="37"/>
      <c r="H453" s="37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37"/>
      <c r="D454" s="37"/>
      <c r="E454" s="37"/>
      <c r="F454" s="37"/>
      <c r="G454" s="37"/>
      <c r="H454" s="37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37"/>
      <c r="D455" s="37"/>
      <c r="E455" s="37"/>
      <c r="F455" s="37"/>
      <c r="G455" s="37"/>
      <c r="H455" s="37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37"/>
      <c r="D456" s="37"/>
      <c r="E456" s="37"/>
      <c r="F456" s="37"/>
      <c r="G456" s="37"/>
      <c r="H456" s="37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37"/>
      <c r="D457" s="37"/>
      <c r="E457" s="37"/>
      <c r="F457" s="37"/>
      <c r="G457" s="37"/>
      <c r="H457" s="37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37"/>
      <c r="D458" s="37"/>
      <c r="E458" s="37"/>
      <c r="F458" s="37"/>
      <c r="G458" s="37"/>
      <c r="H458" s="37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37"/>
      <c r="D459" s="37"/>
      <c r="E459" s="37"/>
      <c r="F459" s="37"/>
      <c r="G459" s="37"/>
      <c r="H459" s="37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37"/>
      <c r="D460" s="37"/>
      <c r="E460" s="37"/>
      <c r="F460" s="37"/>
      <c r="G460" s="37"/>
      <c r="H460" s="37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37"/>
      <c r="D461" s="37"/>
      <c r="E461" s="37"/>
      <c r="F461" s="37"/>
      <c r="G461" s="37"/>
      <c r="H461" s="37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37"/>
      <c r="D462" s="37"/>
      <c r="E462" s="37"/>
      <c r="F462" s="37"/>
      <c r="G462" s="37"/>
      <c r="H462" s="37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37"/>
      <c r="D463" s="37"/>
      <c r="E463" s="37"/>
      <c r="F463" s="37"/>
      <c r="G463" s="37"/>
      <c r="H463" s="37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37"/>
      <c r="D464" s="37"/>
      <c r="E464" s="37"/>
      <c r="F464" s="37"/>
      <c r="G464" s="37"/>
      <c r="H464" s="37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37"/>
      <c r="D465" s="37"/>
      <c r="E465" s="37"/>
      <c r="F465" s="37"/>
      <c r="G465" s="37"/>
      <c r="H465" s="37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37"/>
      <c r="D466" s="37"/>
      <c r="E466" s="37"/>
      <c r="F466" s="37"/>
      <c r="G466" s="37"/>
      <c r="H466" s="37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37"/>
      <c r="D467" s="37"/>
      <c r="E467" s="37"/>
      <c r="F467" s="37"/>
      <c r="G467" s="37"/>
      <c r="H467" s="37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37"/>
      <c r="D468" s="37"/>
      <c r="E468" s="37"/>
      <c r="F468" s="37"/>
      <c r="G468" s="37"/>
      <c r="H468" s="37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37"/>
      <c r="D469" s="37"/>
      <c r="E469" s="37"/>
      <c r="F469" s="37"/>
      <c r="G469" s="37"/>
      <c r="H469" s="37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37"/>
      <c r="D470" s="37"/>
      <c r="E470" s="37"/>
      <c r="F470" s="37"/>
      <c r="G470" s="37"/>
      <c r="H470" s="37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37"/>
      <c r="D471" s="37"/>
      <c r="E471" s="37"/>
      <c r="F471" s="37"/>
      <c r="G471" s="37"/>
      <c r="H471" s="37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37"/>
      <c r="D472" s="37"/>
      <c r="E472" s="37"/>
      <c r="F472" s="37"/>
      <c r="G472" s="37"/>
      <c r="H472" s="37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37"/>
      <c r="D473" s="37"/>
      <c r="E473" s="37"/>
      <c r="F473" s="37"/>
      <c r="G473" s="37"/>
      <c r="H473" s="37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37"/>
      <c r="D474" s="37"/>
      <c r="E474" s="37"/>
      <c r="F474" s="37"/>
      <c r="G474" s="37"/>
      <c r="H474" s="37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37"/>
      <c r="D475" s="37"/>
      <c r="E475" s="37"/>
      <c r="F475" s="37"/>
      <c r="G475" s="37"/>
      <c r="H475" s="37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37"/>
      <c r="D476" s="37"/>
      <c r="E476" s="37"/>
      <c r="F476" s="37"/>
      <c r="G476" s="37"/>
      <c r="H476" s="37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37"/>
      <c r="D477" s="37"/>
      <c r="E477" s="37"/>
      <c r="F477" s="37"/>
      <c r="G477" s="37"/>
      <c r="H477" s="37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37"/>
      <c r="D478" s="37"/>
      <c r="E478" s="37"/>
      <c r="F478" s="37"/>
      <c r="G478" s="37"/>
      <c r="H478" s="37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37"/>
      <c r="D479" s="37"/>
      <c r="E479" s="37"/>
      <c r="F479" s="37"/>
      <c r="G479" s="37"/>
      <c r="H479" s="37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37"/>
      <c r="D480" s="37"/>
      <c r="E480" s="37"/>
      <c r="F480" s="37"/>
      <c r="G480" s="37"/>
      <c r="H480" s="37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37"/>
      <c r="D481" s="37"/>
      <c r="E481" s="37"/>
      <c r="F481" s="37"/>
      <c r="G481" s="37"/>
      <c r="H481" s="37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37"/>
      <c r="D482" s="37"/>
      <c r="E482" s="37"/>
      <c r="F482" s="37"/>
      <c r="G482" s="37"/>
      <c r="H482" s="37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37"/>
      <c r="D483" s="37"/>
      <c r="E483" s="37"/>
      <c r="F483" s="37"/>
      <c r="G483" s="37"/>
      <c r="H483" s="37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37"/>
      <c r="D484" s="37"/>
      <c r="E484" s="37"/>
      <c r="F484" s="37"/>
      <c r="G484" s="37"/>
      <c r="H484" s="37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37"/>
      <c r="D485" s="37"/>
      <c r="E485" s="37"/>
      <c r="F485" s="37"/>
      <c r="G485" s="37"/>
      <c r="H485" s="37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37"/>
      <c r="D486" s="37"/>
      <c r="E486" s="37"/>
      <c r="F486" s="37"/>
      <c r="G486" s="37"/>
      <c r="H486" s="37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37"/>
      <c r="D487" s="37"/>
      <c r="E487" s="37"/>
      <c r="F487" s="37"/>
      <c r="G487" s="37"/>
      <c r="H487" s="37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37"/>
      <c r="D488" s="37"/>
      <c r="E488" s="37"/>
      <c r="F488" s="37"/>
      <c r="G488" s="37"/>
      <c r="H488" s="37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37"/>
      <c r="D489" s="37"/>
      <c r="E489" s="37"/>
      <c r="F489" s="37"/>
      <c r="G489" s="37"/>
      <c r="H489" s="37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37"/>
      <c r="D490" s="37"/>
      <c r="E490" s="37"/>
      <c r="F490" s="37"/>
      <c r="G490" s="37"/>
      <c r="H490" s="37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37"/>
      <c r="D491" s="37"/>
      <c r="E491" s="37"/>
      <c r="F491" s="37"/>
      <c r="G491" s="37"/>
      <c r="H491" s="37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37"/>
      <c r="D492" s="37"/>
      <c r="E492" s="37"/>
      <c r="F492" s="37"/>
      <c r="G492" s="37"/>
      <c r="H492" s="37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37"/>
      <c r="D493" s="37"/>
      <c r="E493" s="37"/>
      <c r="F493" s="37"/>
      <c r="G493" s="37"/>
      <c r="H493" s="37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37"/>
      <c r="D494" s="37"/>
      <c r="E494" s="37"/>
      <c r="F494" s="37"/>
      <c r="G494" s="37"/>
      <c r="H494" s="37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37"/>
      <c r="D495" s="37"/>
      <c r="E495" s="37"/>
      <c r="F495" s="37"/>
      <c r="G495" s="37"/>
      <c r="H495" s="37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37"/>
      <c r="D496" s="37"/>
      <c r="E496" s="37"/>
      <c r="F496" s="37"/>
      <c r="G496" s="37"/>
      <c r="H496" s="37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37"/>
      <c r="D497" s="37"/>
      <c r="E497" s="37"/>
      <c r="F497" s="37"/>
      <c r="G497" s="37"/>
      <c r="H497" s="37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37"/>
      <c r="D498" s="37"/>
      <c r="E498" s="37"/>
      <c r="F498" s="37"/>
      <c r="G498" s="37"/>
      <c r="H498" s="37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37"/>
      <c r="D499" s="37"/>
      <c r="E499" s="37"/>
      <c r="F499" s="37"/>
      <c r="G499" s="37"/>
      <c r="H499" s="37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37"/>
      <c r="D500" s="37"/>
      <c r="E500" s="37"/>
      <c r="F500" s="37"/>
      <c r="G500" s="37"/>
      <c r="H500" s="37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37"/>
      <c r="D501" s="37"/>
      <c r="E501" s="37"/>
      <c r="F501" s="37"/>
      <c r="G501" s="37"/>
      <c r="H501" s="37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37"/>
      <c r="D502" s="37"/>
      <c r="E502" s="37"/>
      <c r="F502" s="37"/>
      <c r="G502" s="37"/>
      <c r="H502" s="37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37"/>
      <c r="D503" s="37"/>
      <c r="E503" s="37"/>
      <c r="F503" s="37"/>
      <c r="G503" s="37"/>
      <c r="H503" s="37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37"/>
      <c r="D504" s="37"/>
      <c r="E504" s="37"/>
      <c r="F504" s="37"/>
      <c r="G504" s="37"/>
      <c r="H504" s="37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37"/>
      <c r="D505" s="37"/>
      <c r="E505" s="37"/>
      <c r="F505" s="37"/>
      <c r="G505" s="37"/>
      <c r="H505" s="37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37"/>
      <c r="D506" s="37"/>
      <c r="E506" s="37"/>
      <c r="F506" s="37"/>
      <c r="G506" s="37"/>
      <c r="H506" s="37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37"/>
      <c r="D507" s="37"/>
      <c r="E507" s="37"/>
      <c r="F507" s="37"/>
      <c r="G507" s="37"/>
      <c r="H507" s="37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37"/>
      <c r="D508" s="37"/>
      <c r="E508" s="37"/>
      <c r="F508" s="37"/>
      <c r="G508" s="37"/>
      <c r="H508" s="37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37"/>
      <c r="D509" s="37"/>
      <c r="E509" s="37"/>
      <c r="F509" s="37"/>
      <c r="G509" s="37"/>
      <c r="H509" s="37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37"/>
      <c r="D510" s="37"/>
      <c r="E510" s="37"/>
      <c r="F510" s="37"/>
      <c r="G510" s="37"/>
      <c r="H510" s="37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37"/>
      <c r="D511" s="37"/>
      <c r="E511" s="37"/>
      <c r="F511" s="37"/>
      <c r="G511" s="37"/>
      <c r="H511" s="37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37"/>
      <c r="D512" s="37"/>
      <c r="E512" s="37"/>
      <c r="F512" s="37"/>
      <c r="G512" s="37"/>
      <c r="H512" s="37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37"/>
      <c r="D513" s="37"/>
      <c r="E513" s="37"/>
      <c r="F513" s="37"/>
      <c r="G513" s="37"/>
      <c r="H513" s="37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37"/>
      <c r="D514" s="37"/>
      <c r="E514" s="37"/>
      <c r="F514" s="37"/>
      <c r="G514" s="37"/>
      <c r="H514" s="37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37"/>
      <c r="D515" s="37"/>
      <c r="E515" s="37"/>
      <c r="F515" s="37"/>
      <c r="G515" s="37"/>
      <c r="H515" s="37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37"/>
      <c r="D516" s="37"/>
      <c r="E516" s="37"/>
      <c r="F516" s="37"/>
      <c r="G516" s="37"/>
      <c r="H516" s="37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37"/>
      <c r="D517" s="37"/>
      <c r="E517" s="37"/>
      <c r="F517" s="37"/>
      <c r="G517" s="37"/>
      <c r="H517" s="37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37"/>
      <c r="D518" s="37"/>
      <c r="E518" s="37"/>
      <c r="F518" s="37"/>
      <c r="G518" s="37"/>
      <c r="H518" s="37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37"/>
      <c r="D519" s="37"/>
      <c r="E519" s="37"/>
      <c r="F519" s="37"/>
      <c r="G519" s="37"/>
      <c r="H519" s="37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37"/>
      <c r="D520" s="37"/>
      <c r="E520" s="37"/>
      <c r="F520" s="37"/>
      <c r="G520" s="37"/>
      <c r="H520" s="37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37"/>
      <c r="D521" s="37"/>
      <c r="E521" s="37"/>
      <c r="F521" s="37"/>
      <c r="G521" s="37"/>
      <c r="H521" s="37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37"/>
      <c r="D522" s="37"/>
      <c r="E522" s="37"/>
      <c r="F522" s="37"/>
      <c r="G522" s="37"/>
      <c r="H522" s="37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37"/>
      <c r="D523" s="37"/>
      <c r="E523" s="37"/>
      <c r="F523" s="37"/>
      <c r="G523" s="37"/>
      <c r="H523" s="37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37"/>
      <c r="D524" s="37"/>
      <c r="E524" s="37"/>
      <c r="F524" s="37"/>
      <c r="G524" s="37"/>
      <c r="H524" s="37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37"/>
      <c r="D525" s="37"/>
      <c r="E525" s="37"/>
      <c r="F525" s="37"/>
      <c r="G525" s="37"/>
      <c r="H525" s="37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37"/>
      <c r="D526" s="37"/>
      <c r="E526" s="37"/>
      <c r="F526" s="37"/>
      <c r="G526" s="37"/>
      <c r="H526" s="37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37"/>
      <c r="D527" s="37"/>
      <c r="E527" s="37"/>
      <c r="F527" s="37"/>
      <c r="G527" s="37"/>
      <c r="H527" s="37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37"/>
      <c r="D528" s="37"/>
      <c r="E528" s="37"/>
      <c r="F528" s="37"/>
      <c r="G528" s="37"/>
      <c r="H528" s="37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37"/>
      <c r="D529" s="37"/>
      <c r="E529" s="37"/>
      <c r="F529" s="37"/>
      <c r="G529" s="37"/>
      <c r="H529" s="37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37"/>
      <c r="D530" s="37"/>
      <c r="E530" s="37"/>
      <c r="F530" s="37"/>
      <c r="G530" s="37"/>
      <c r="H530" s="37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37"/>
      <c r="D531" s="37"/>
      <c r="E531" s="37"/>
      <c r="F531" s="37"/>
      <c r="G531" s="37"/>
      <c r="H531" s="37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37"/>
      <c r="D532" s="37"/>
      <c r="E532" s="37"/>
      <c r="F532" s="37"/>
      <c r="G532" s="37"/>
      <c r="H532" s="37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37"/>
      <c r="D533" s="37"/>
      <c r="E533" s="37"/>
      <c r="F533" s="37"/>
      <c r="G533" s="37"/>
      <c r="H533" s="37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37"/>
      <c r="D534" s="37"/>
      <c r="E534" s="37"/>
      <c r="F534" s="37"/>
      <c r="G534" s="37"/>
      <c r="H534" s="37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37"/>
      <c r="D535" s="37"/>
      <c r="E535" s="37"/>
      <c r="F535" s="37"/>
      <c r="G535" s="37"/>
      <c r="H535" s="37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37"/>
      <c r="D536" s="37"/>
      <c r="E536" s="37"/>
      <c r="F536" s="37"/>
      <c r="G536" s="37"/>
      <c r="H536" s="37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37"/>
      <c r="D537" s="37"/>
      <c r="E537" s="37"/>
      <c r="F537" s="37"/>
      <c r="G537" s="37"/>
      <c r="H537" s="37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37"/>
      <c r="D538" s="37"/>
      <c r="E538" s="37"/>
      <c r="F538" s="37"/>
      <c r="G538" s="37"/>
      <c r="H538" s="37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37"/>
      <c r="D539" s="37"/>
      <c r="E539" s="37"/>
      <c r="F539" s="37"/>
      <c r="G539" s="37"/>
      <c r="H539" s="37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37"/>
      <c r="D540" s="37"/>
      <c r="E540" s="37"/>
      <c r="F540" s="37"/>
      <c r="G540" s="37"/>
      <c r="H540" s="37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37"/>
      <c r="D541" s="37"/>
      <c r="E541" s="37"/>
      <c r="F541" s="37"/>
      <c r="G541" s="37"/>
      <c r="H541" s="37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37"/>
      <c r="D542" s="37"/>
      <c r="E542" s="37"/>
      <c r="F542" s="37"/>
      <c r="G542" s="37"/>
      <c r="H542" s="37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37"/>
      <c r="D543" s="37"/>
      <c r="E543" s="37"/>
      <c r="F543" s="37"/>
      <c r="G543" s="37"/>
      <c r="H543" s="37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37"/>
      <c r="D544" s="37"/>
      <c r="E544" s="37"/>
      <c r="F544" s="37"/>
      <c r="G544" s="37"/>
      <c r="H544" s="37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37"/>
      <c r="D545" s="37"/>
      <c r="E545" s="37"/>
      <c r="F545" s="37"/>
      <c r="G545" s="37"/>
      <c r="H545" s="37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37"/>
      <c r="D546" s="37"/>
      <c r="E546" s="37"/>
      <c r="F546" s="37"/>
      <c r="G546" s="37"/>
      <c r="H546" s="37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37"/>
      <c r="D547" s="37"/>
      <c r="E547" s="37"/>
      <c r="F547" s="37"/>
      <c r="G547" s="37"/>
      <c r="H547" s="37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37"/>
      <c r="D548" s="37"/>
      <c r="E548" s="37"/>
      <c r="F548" s="37"/>
      <c r="G548" s="37"/>
      <c r="H548" s="37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37"/>
      <c r="D549" s="37"/>
      <c r="E549" s="37"/>
      <c r="F549" s="37"/>
      <c r="G549" s="37"/>
      <c r="H549" s="37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37"/>
      <c r="D550" s="37"/>
      <c r="E550" s="37"/>
      <c r="F550" s="37"/>
      <c r="G550" s="37"/>
      <c r="H550" s="37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37"/>
      <c r="D551" s="37"/>
      <c r="E551" s="37"/>
      <c r="F551" s="37"/>
      <c r="G551" s="37"/>
      <c r="H551" s="37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37"/>
      <c r="D552" s="37"/>
      <c r="E552" s="37"/>
      <c r="F552" s="37"/>
      <c r="G552" s="37"/>
      <c r="H552" s="37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37"/>
      <c r="D553" s="37"/>
      <c r="E553" s="37"/>
      <c r="F553" s="37"/>
      <c r="G553" s="37"/>
      <c r="H553" s="37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37"/>
      <c r="D554" s="37"/>
      <c r="E554" s="37"/>
      <c r="F554" s="37"/>
      <c r="G554" s="37"/>
      <c r="H554" s="37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37"/>
      <c r="D555" s="37"/>
      <c r="E555" s="37"/>
      <c r="F555" s="37"/>
      <c r="G555" s="37"/>
      <c r="H555" s="37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37"/>
      <c r="D556" s="37"/>
      <c r="E556" s="37"/>
      <c r="F556" s="37"/>
      <c r="G556" s="37"/>
      <c r="H556" s="37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37"/>
      <c r="D557" s="37"/>
      <c r="E557" s="37"/>
      <c r="F557" s="37"/>
      <c r="G557" s="37"/>
      <c r="H557" s="37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37"/>
      <c r="D558" s="37"/>
      <c r="E558" s="37"/>
      <c r="F558" s="37"/>
      <c r="G558" s="37"/>
      <c r="H558" s="37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37"/>
      <c r="D559" s="37"/>
      <c r="E559" s="37"/>
      <c r="F559" s="37"/>
      <c r="G559" s="37"/>
      <c r="H559" s="37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37"/>
      <c r="D560" s="37"/>
      <c r="E560" s="37"/>
      <c r="F560" s="37"/>
      <c r="G560" s="37"/>
      <c r="H560" s="37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37"/>
      <c r="D561" s="37"/>
      <c r="E561" s="37"/>
      <c r="F561" s="37"/>
      <c r="G561" s="37"/>
      <c r="H561" s="37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37"/>
      <c r="D562" s="37"/>
      <c r="E562" s="37"/>
      <c r="F562" s="37"/>
      <c r="G562" s="37"/>
      <c r="H562" s="37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37"/>
      <c r="D563" s="37"/>
      <c r="E563" s="37"/>
      <c r="F563" s="37"/>
      <c r="G563" s="37"/>
      <c r="H563" s="37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37"/>
      <c r="D564" s="37"/>
      <c r="E564" s="37"/>
      <c r="F564" s="37"/>
      <c r="G564" s="37"/>
      <c r="H564" s="37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37"/>
      <c r="D565" s="37"/>
      <c r="E565" s="37"/>
      <c r="F565" s="37"/>
      <c r="G565" s="37"/>
      <c r="H565" s="37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37"/>
      <c r="D566" s="37"/>
      <c r="E566" s="37"/>
      <c r="F566" s="37"/>
      <c r="G566" s="37"/>
      <c r="H566" s="37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37"/>
      <c r="D567" s="37"/>
      <c r="E567" s="37"/>
      <c r="F567" s="37"/>
      <c r="G567" s="37"/>
      <c r="H567" s="37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37"/>
      <c r="D568" s="37"/>
      <c r="E568" s="37"/>
      <c r="F568" s="37"/>
      <c r="G568" s="37"/>
      <c r="H568" s="37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37"/>
      <c r="D569" s="37"/>
      <c r="E569" s="37"/>
      <c r="F569" s="37"/>
      <c r="G569" s="37"/>
      <c r="H569" s="37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37"/>
      <c r="D570" s="37"/>
      <c r="E570" s="37"/>
      <c r="F570" s="37"/>
      <c r="G570" s="37"/>
      <c r="H570" s="37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37"/>
      <c r="D571" s="37"/>
      <c r="E571" s="37"/>
      <c r="F571" s="37"/>
      <c r="G571" s="37"/>
      <c r="H571" s="37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37"/>
      <c r="D572" s="37"/>
      <c r="E572" s="37"/>
      <c r="F572" s="37"/>
      <c r="G572" s="37"/>
      <c r="H572" s="37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37"/>
      <c r="D573" s="37"/>
      <c r="E573" s="37"/>
      <c r="F573" s="37"/>
      <c r="G573" s="37"/>
      <c r="H573" s="37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37"/>
      <c r="D574" s="37"/>
      <c r="E574" s="37"/>
      <c r="F574" s="37"/>
      <c r="G574" s="37"/>
      <c r="H574" s="37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37"/>
      <c r="D575" s="37"/>
      <c r="E575" s="37"/>
      <c r="F575" s="37"/>
      <c r="G575" s="37"/>
      <c r="H575" s="37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37"/>
      <c r="D576" s="37"/>
      <c r="E576" s="37"/>
      <c r="F576" s="37"/>
      <c r="G576" s="37"/>
      <c r="H576" s="37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37"/>
      <c r="D577" s="37"/>
      <c r="E577" s="37"/>
      <c r="F577" s="37"/>
      <c r="G577" s="37"/>
      <c r="H577" s="37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37"/>
      <c r="D578" s="37"/>
      <c r="E578" s="37"/>
      <c r="F578" s="37"/>
      <c r="G578" s="37"/>
      <c r="H578" s="37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37"/>
      <c r="D579" s="37"/>
      <c r="E579" s="37"/>
      <c r="F579" s="37"/>
      <c r="G579" s="37"/>
      <c r="H579" s="37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37"/>
      <c r="D580" s="37"/>
      <c r="E580" s="37"/>
      <c r="F580" s="37"/>
      <c r="G580" s="37"/>
      <c r="H580" s="37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37"/>
      <c r="D581" s="37"/>
      <c r="E581" s="37"/>
      <c r="F581" s="37"/>
      <c r="G581" s="37"/>
      <c r="H581" s="37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37"/>
      <c r="D582" s="37"/>
      <c r="E582" s="37"/>
      <c r="F582" s="37"/>
      <c r="G582" s="37"/>
      <c r="H582" s="37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37"/>
      <c r="D583" s="37"/>
      <c r="E583" s="37"/>
      <c r="F583" s="37"/>
      <c r="G583" s="37"/>
      <c r="H583" s="37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37"/>
      <c r="D584" s="37"/>
      <c r="E584" s="37"/>
      <c r="F584" s="37"/>
      <c r="G584" s="37"/>
      <c r="H584" s="37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37"/>
      <c r="D585" s="37"/>
      <c r="E585" s="37"/>
      <c r="F585" s="37"/>
      <c r="G585" s="37"/>
      <c r="H585" s="37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37"/>
      <c r="D586" s="37"/>
      <c r="E586" s="37"/>
      <c r="F586" s="37"/>
      <c r="G586" s="37"/>
      <c r="H586" s="37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37"/>
      <c r="D587" s="37"/>
      <c r="E587" s="37"/>
      <c r="F587" s="37"/>
      <c r="G587" s="37"/>
      <c r="H587" s="37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37"/>
      <c r="D588" s="37"/>
      <c r="E588" s="37"/>
      <c r="F588" s="37"/>
      <c r="G588" s="37"/>
      <c r="H588" s="37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37"/>
      <c r="D589" s="37"/>
      <c r="E589" s="37"/>
      <c r="F589" s="37"/>
      <c r="G589" s="37"/>
      <c r="H589" s="37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37"/>
      <c r="D590" s="37"/>
      <c r="E590" s="37"/>
      <c r="F590" s="37"/>
      <c r="G590" s="37"/>
      <c r="H590" s="37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37"/>
      <c r="D591" s="37"/>
      <c r="E591" s="37"/>
      <c r="F591" s="37"/>
      <c r="G591" s="37"/>
      <c r="H591" s="37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37"/>
      <c r="D592" s="37"/>
      <c r="E592" s="37"/>
      <c r="F592" s="37"/>
      <c r="G592" s="37"/>
      <c r="H592" s="37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37"/>
      <c r="D593" s="37"/>
      <c r="E593" s="37"/>
      <c r="F593" s="37"/>
      <c r="G593" s="37"/>
      <c r="H593" s="37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37"/>
      <c r="D594" s="37"/>
      <c r="E594" s="37"/>
      <c r="F594" s="37"/>
      <c r="G594" s="37"/>
      <c r="H594" s="37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37"/>
      <c r="D595" s="37"/>
      <c r="E595" s="37"/>
      <c r="F595" s="37"/>
      <c r="G595" s="37"/>
      <c r="H595" s="37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37"/>
      <c r="D596" s="37"/>
      <c r="E596" s="37"/>
      <c r="F596" s="37"/>
      <c r="G596" s="37"/>
      <c r="H596" s="37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37"/>
      <c r="D597" s="37"/>
      <c r="E597" s="37"/>
      <c r="F597" s="37"/>
      <c r="G597" s="37"/>
      <c r="H597" s="37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37"/>
      <c r="D598" s="37"/>
      <c r="E598" s="37"/>
      <c r="F598" s="37"/>
      <c r="G598" s="37"/>
      <c r="H598" s="37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37"/>
      <c r="D599" s="37"/>
      <c r="E599" s="37"/>
      <c r="F599" s="37"/>
      <c r="G599" s="37"/>
      <c r="H599" s="37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37"/>
      <c r="D600" s="37"/>
      <c r="E600" s="37"/>
      <c r="F600" s="37"/>
      <c r="G600" s="37"/>
      <c r="H600" s="37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37"/>
      <c r="D601" s="37"/>
      <c r="E601" s="37"/>
      <c r="F601" s="37"/>
      <c r="G601" s="37"/>
      <c r="H601" s="37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37"/>
      <c r="D602" s="37"/>
      <c r="E602" s="37"/>
      <c r="F602" s="37"/>
      <c r="G602" s="37"/>
      <c r="H602" s="37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37"/>
      <c r="D603" s="37"/>
      <c r="E603" s="37"/>
      <c r="F603" s="37"/>
      <c r="G603" s="37"/>
      <c r="H603" s="37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37"/>
      <c r="D604" s="37"/>
      <c r="E604" s="37"/>
      <c r="F604" s="37"/>
      <c r="G604" s="37"/>
      <c r="H604" s="37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37"/>
      <c r="D605" s="37"/>
      <c r="E605" s="37"/>
      <c r="F605" s="37"/>
      <c r="G605" s="37"/>
      <c r="H605" s="37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37"/>
      <c r="D606" s="37"/>
      <c r="E606" s="37"/>
      <c r="F606" s="37"/>
      <c r="G606" s="37"/>
      <c r="H606" s="37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37"/>
      <c r="D607" s="37"/>
      <c r="E607" s="37"/>
      <c r="F607" s="37"/>
      <c r="G607" s="37"/>
      <c r="H607" s="37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37"/>
      <c r="D608" s="37"/>
      <c r="E608" s="37"/>
      <c r="F608" s="37"/>
      <c r="G608" s="37"/>
      <c r="H608" s="37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37"/>
      <c r="D609" s="37"/>
      <c r="E609" s="37"/>
      <c r="F609" s="37"/>
      <c r="G609" s="37"/>
      <c r="H609" s="37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37"/>
      <c r="D610" s="37"/>
      <c r="E610" s="37"/>
      <c r="F610" s="37"/>
      <c r="G610" s="37"/>
      <c r="H610" s="37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37"/>
      <c r="D611" s="37"/>
      <c r="E611" s="37"/>
      <c r="F611" s="37"/>
      <c r="G611" s="37"/>
      <c r="H611" s="37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37"/>
      <c r="D612" s="37"/>
      <c r="E612" s="37"/>
      <c r="F612" s="37"/>
      <c r="G612" s="37"/>
      <c r="H612" s="37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37"/>
      <c r="D613" s="37"/>
      <c r="E613" s="37"/>
      <c r="F613" s="37"/>
      <c r="G613" s="37"/>
      <c r="H613" s="37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37"/>
      <c r="D614" s="37"/>
      <c r="E614" s="37"/>
      <c r="F614" s="37"/>
      <c r="G614" s="37"/>
      <c r="H614" s="37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37"/>
      <c r="D615" s="37"/>
      <c r="E615" s="37"/>
      <c r="F615" s="37"/>
      <c r="G615" s="37"/>
      <c r="H615" s="37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37"/>
      <c r="D616" s="37"/>
      <c r="E616" s="37"/>
      <c r="F616" s="37"/>
      <c r="G616" s="37"/>
      <c r="H616" s="37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37"/>
      <c r="D617" s="37"/>
      <c r="E617" s="37"/>
      <c r="F617" s="37"/>
      <c r="G617" s="37"/>
      <c r="H617" s="37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37"/>
      <c r="D618" s="37"/>
      <c r="E618" s="37"/>
      <c r="F618" s="37"/>
      <c r="G618" s="37"/>
      <c r="H618" s="37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37"/>
      <c r="D619" s="37"/>
      <c r="E619" s="37"/>
      <c r="F619" s="37"/>
      <c r="G619" s="37"/>
      <c r="H619" s="37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37"/>
      <c r="D620" s="37"/>
      <c r="E620" s="37"/>
      <c r="F620" s="37"/>
      <c r="G620" s="37"/>
      <c r="H620" s="37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37"/>
      <c r="D621" s="37"/>
      <c r="E621" s="37"/>
      <c r="F621" s="37"/>
      <c r="G621" s="37"/>
      <c r="H621" s="37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37"/>
      <c r="D622" s="37"/>
      <c r="E622" s="37"/>
      <c r="F622" s="37"/>
      <c r="G622" s="37"/>
      <c r="H622" s="37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37"/>
      <c r="D623" s="37"/>
      <c r="E623" s="37"/>
      <c r="F623" s="37"/>
      <c r="G623" s="37"/>
      <c r="H623" s="37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37"/>
      <c r="D624" s="37"/>
      <c r="E624" s="37"/>
      <c r="F624" s="37"/>
      <c r="G624" s="37"/>
      <c r="H624" s="37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37"/>
      <c r="D625" s="37"/>
      <c r="E625" s="37"/>
      <c r="F625" s="37"/>
      <c r="G625" s="37"/>
      <c r="H625" s="37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37"/>
      <c r="D626" s="37"/>
      <c r="E626" s="37"/>
      <c r="F626" s="37"/>
      <c r="G626" s="37"/>
      <c r="H626" s="37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37"/>
      <c r="D627" s="37"/>
      <c r="E627" s="37"/>
      <c r="F627" s="37"/>
      <c r="G627" s="37"/>
      <c r="H627" s="37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37"/>
      <c r="D628" s="37"/>
      <c r="E628" s="37"/>
      <c r="F628" s="37"/>
      <c r="G628" s="37"/>
      <c r="H628" s="37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37"/>
      <c r="D629" s="37"/>
      <c r="E629" s="37"/>
      <c r="F629" s="37"/>
      <c r="G629" s="37"/>
      <c r="H629" s="37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37"/>
      <c r="D630" s="37"/>
      <c r="E630" s="37"/>
      <c r="F630" s="37"/>
      <c r="G630" s="37"/>
      <c r="H630" s="37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37"/>
      <c r="D631" s="37"/>
      <c r="E631" s="37"/>
      <c r="F631" s="37"/>
      <c r="G631" s="37"/>
      <c r="H631" s="37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37"/>
      <c r="D632" s="37"/>
      <c r="E632" s="37"/>
      <c r="F632" s="37"/>
      <c r="G632" s="37"/>
      <c r="H632" s="37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37"/>
      <c r="D633" s="37"/>
      <c r="E633" s="37"/>
      <c r="F633" s="37"/>
      <c r="G633" s="37"/>
      <c r="H633" s="37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37"/>
      <c r="D634" s="37"/>
      <c r="E634" s="37"/>
      <c r="F634" s="37"/>
      <c r="G634" s="37"/>
      <c r="H634" s="37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37"/>
      <c r="D635" s="37"/>
      <c r="E635" s="37"/>
      <c r="F635" s="37"/>
      <c r="G635" s="37"/>
      <c r="H635" s="37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37"/>
      <c r="D636" s="37"/>
      <c r="E636" s="37"/>
      <c r="F636" s="37"/>
      <c r="G636" s="37"/>
      <c r="H636" s="37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37"/>
      <c r="D637" s="37"/>
      <c r="E637" s="37"/>
      <c r="F637" s="37"/>
      <c r="G637" s="37"/>
      <c r="H637" s="37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37"/>
      <c r="D638" s="37"/>
      <c r="E638" s="37"/>
      <c r="F638" s="37"/>
      <c r="G638" s="37"/>
      <c r="H638" s="37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37"/>
      <c r="D639" s="37"/>
      <c r="E639" s="37"/>
      <c r="F639" s="37"/>
      <c r="G639" s="37"/>
      <c r="H639" s="37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37"/>
      <c r="D640" s="37"/>
      <c r="E640" s="37"/>
      <c r="F640" s="37"/>
      <c r="G640" s="37"/>
      <c r="H640" s="37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37"/>
      <c r="D641" s="37"/>
      <c r="E641" s="37"/>
      <c r="F641" s="37"/>
      <c r="G641" s="37"/>
      <c r="H641" s="37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37"/>
      <c r="D642" s="37"/>
      <c r="E642" s="37"/>
      <c r="F642" s="37"/>
      <c r="G642" s="37"/>
      <c r="H642" s="37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37"/>
      <c r="D643" s="37"/>
      <c r="E643" s="37"/>
      <c r="F643" s="37"/>
      <c r="G643" s="37"/>
      <c r="H643" s="37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37"/>
      <c r="D644" s="37"/>
      <c r="E644" s="37"/>
      <c r="F644" s="37"/>
      <c r="G644" s="37"/>
      <c r="H644" s="37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37"/>
      <c r="D645" s="37"/>
      <c r="E645" s="37"/>
      <c r="F645" s="37"/>
      <c r="G645" s="37"/>
      <c r="H645" s="37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37"/>
      <c r="D646" s="37"/>
      <c r="E646" s="37"/>
      <c r="F646" s="37"/>
      <c r="G646" s="37"/>
      <c r="H646" s="37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37"/>
      <c r="D647" s="37"/>
      <c r="E647" s="37"/>
      <c r="F647" s="37"/>
      <c r="G647" s="37"/>
      <c r="H647" s="37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37"/>
      <c r="D648" s="37"/>
      <c r="E648" s="37"/>
      <c r="F648" s="37"/>
      <c r="G648" s="37"/>
      <c r="H648" s="37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37"/>
      <c r="D649" s="37"/>
      <c r="E649" s="37"/>
      <c r="F649" s="37"/>
      <c r="G649" s="37"/>
      <c r="H649" s="37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37"/>
      <c r="D650" s="37"/>
      <c r="E650" s="37"/>
      <c r="F650" s="37"/>
      <c r="G650" s="37"/>
      <c r="H650" s="37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37"/>
      <c r="D651" s="37"/>
      <c r="E651" s="37"/>
      <c r="F651" s="37"/>
      <c r="G651" s="37"/>
      <c r="H651" s="37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37"/>
      <c r="D652" s="37"/>
      <c r="E652" s="37"/>
      <c r="F652" s="37"/>
      <c r="G652" s="37"/>
      <c r="H652" s="37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37"/>
      <c r="D653" s="37"/>
      <c r="E653" s="37"/>
      <c r="F653" s="37"/>
      <c r="G653" s="37"/>
      <c r="H653" s="37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37"/>
      <c r="D654" s="37"/>
      <c r="E654" s="37"/>
      <c r="F654" s="37"/>
      <c r="G654" s="37"/>
      <c r="H654" s="37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37"/>
      <c r="D655" s="37"/>
      <c r="E655" s="37"/>
      <c r="F655" s="37"/>
      <c r="G655" s="37"/>
      <c r="H655" s="37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37"/>
      <c r="D656" s="37"/>
      <c r="E656" s="37"/>
      <c r="F656" s="37"/>
      <c r="G656" s="37"/>
      <c r="H656" s="37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37"/>
      <c r="D657" s="37"/>
      <c r="E657" s="37"/>
      <c r="F657" s="37"/>
      <c r="G657" s="37"/>
      <c r="H657" s="37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37"/>
      <c r="D658" s="37"/>
      <c r="E658" s="37"/>
      <c r="F658" s="37"/>
      <c r="G658" s="37"/>
      <c r="H658" s="37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37"/>
      <c r="D659" s="37"/>
      <c r="E659" s="37"/>
      <c r="F659" s="37"/>
      <c r="G659" s="37"/>
      <c r="H659" s="37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37"/>
      <c r="D660" s="37"/>
      <c r="E660" s="37"/>
      <c r="F660" s="37"/>
      <c r="G660" s="37"/>
      <c r="H660" s="37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37"/>
      <c r="D661" s="37"/>
      <c r="E661" s="37"/>
      <c r="F661" s="37"/>
      <c r="G661" s="37"/>
      <c r="H661" s="37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37"/>
      <c r="D662" s="37"/>
      <c r="E662" s="37"/>
      <c r="F662" s="37"/>
      <c r="G662" s="37"/>
      <c r="H662" s="37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37"/>
      <c r="D663" s="37"/>
      <c r="E663" s="37"/>
      <c r="F663" s="37"/>
      <c r="G663" s="37"/>
      <c r="H663" s="37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37"/>
      <c r="D664" s="37"/>
      <c r="E664" s="37"/>
      <c r="F664" s="37"/>
      <c r="G664" s="37"/>
      <c r="H664" s="37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37"/>
      <c r="D665" s="37"/>
      <c r="E665" s="37"/>
      <c r="F665" s="37"/>
      <c r="G665" s="37"/>
      <c r="H665" s="37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37"/>
      <c r="D666" s="37"/>
      <c r="E666" s="37"/>
      <c r="F666" s="37"/>
      <c r="G666" s="37"/>
      <c r="H666" s="37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37"/>
      <c r="D667" s="37"/>
      <c r="E667" s="37"/>
      <c r="F667" s="37"/>
      <c r="G667" s="37"/>
      <c r="H667" s="37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37"/>
      <c r="D668" s="37"/>
      <c r="E668" s="37"/>
      <c r="F668" s="37"/>
      <c r="G668" s="37"/>
      <c r="H668" s="37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37"/>
      <c r="D669" s="37"/>
      <c r="E669" s="37"/>
      <c r="F669" s="37"/>
      <c r="G669" s="37"/>
      <c r="H669" s="37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37"/>
      <c r="D670" s="37"/>
      <c r="E670" s="37"/>
      <c r="F670" s="37"/>
      <c r="G670" s="37"/>
      <c r="H670" s="37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37"/>
      <c r="D671" s="37"/>
      <c r="E671" s="37"/>
      <c r="F671" s="37"/>
      <c r="G671" s="37"/>
      <c r="H671" s="37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37"/>
      <c r="D672" s="37"/>
      <c r="E672" s="37"/>
      <c r="F672" s="37"/>
      <c r="G672" s="37"/>
      <c r="H672" s="37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37"/>
      <c r="D673" s="37"/>
      <c r="E673" s="37"/>
      <c r="F673" s="37"/>
      <c r="G673" s="37"/>
      <c r="H673" s="37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37"/>
      <c r="D674" s="37"/>
      <c r="E674" s="37"/>
      <c r="F674" s="37"/>
      <c r="G674" s="37"/>
      <c r="H674" s="37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37"/>
      <c r="D675" s="37"/>
      <c r="E675" s="37"/>
      <c r="F675" s="37"/>
      <c r="G675" s="37"/>
      <c r="H675" s="37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37"/>
      <c r="D676" s="37"/>
      <c r="E676" s="37"/>
      <c r="F676" s="37"/>
      <c r="G676" s="37"/>
      <c r="H676" s="37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37"/>
      <c r="D677" s="37"/>
      <c r="E677" s="37"/>
      <c r="F677" s="37"/>
      <c r="G677" s="37"/>
      <c r="H677" s="37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37"/>
      <c r="D678" s="37"/>
      <c r="E678" s="37"/>
      <c r="F678" s="37"/>
      <c r="G678" s="37"/>
      <c r="H678" s="37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37"/>
      <c r="D679" s="37"/>
      <c r="E679" s="37"/>
      <c r="F679" s="37"/>
      <c r="G679" s="37"/>
      <c r="H679" s="37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37"/>
      <c r="D680" s="37"/>
      <c r="E680" s="37"/>
      <c r="F680" s="37"/>
      <c r="G680" s="37"/>
      <c r="H680" s="37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37"/>
      <c r="D681" s="37"/>
      <c r="E681" s="37"/>
      <c r="F681" s="37"/>
      <c r="G681" s="37"/>
      <c r="H681" s="37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37"/>
      <c r="D682" s="37"/>
      <c r="E682" s="37"/>
      <c r="F682" s="37"/>
      <c r="G682" s="37"/>
      <c r="H682" s="37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37"/>
      <c r="D683" s="37"/>
      <c r="E683" s="37"/>
      <c r="F683" s="37"/>
      <c r="G683" s="37"/>
      <c r="H683" s="37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37"/>
      <c r="D684" s="37"/>
      <c r="E684" s="37"/>
      <c r="F684" s="37"/>
      <c r="G684" s="37"/>
      <c r="H684" s="37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37"/>
      <c r="D685" s="37"/>
      <c r="E685" s="37"/>
      <c r="F685" s="37"/>
      <c r="G685" s="37"/>
      <c r="H685" s="37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37"/>
      <c r="D686" s="37"/>
      <c r="E686" s="37"/>
      <c r="F686" s="37"/>
      <c r="G686" s="37"/>
      <c r="H686" s="37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37"/>
      <c r="D687" s="37"/>
      <c r="E687" s="37"/>
      <c r="F687" s="37"/>
      <c r="G687" s="37"/>
      <c r="H687" s="37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37"/>
      <c r="D688" s="37"/>
      <c r="E688" s="37"/>
      <c r="F688" s="37"/>
      <c r="G688" s="37"/>
      <c r="H688" s="37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37"/>
      <c r="D689" s="37"/>
      <c r="E689" s="37"/>
      <c r="F689" s="37"/>
      <c r="G689" s="37"/>
      <c r="H689" s="37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37"/>
      <c r="D690" s="37"/>
      <c r="E690" s="37"/>
      <c r="F690" s="37"/>
      <c r="G690" s="37"/>
      <c r="H690" s="37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37"/>
      <c r="D691" s="37"/>
      <c r="E691" s="37"/>
      <c r="F691" s="37"/>
      <c r="G691" s="37"/>
      <c r="H691" s="37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37"/>
      <c r="D692" s="37"/>
      <c r="E692" s="37"/>
      <c r="F692" s="37"/>
      <c r="G692" s="37"/>
      <c r="H692" s="37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37"/>
      <c r="D693" s="37"/>
      <c r="E693" s="37"/>
      <c r="F693" s="37"/>
      <c r="G693" s="37"/>
      <c r="H693" s="37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37"/>
      <c r="D694" s="37"/>
      <c r="E694" s="37"/>
      <c r="F694" s="37"/>
      <c r="G694" s="37"/>
      <c r="H694" s="37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37"/>
      <c r="D695" s="37"/>
      <c r="E695" s="37"/>
      <c r="F695" s="37"/>
      <c r="G695" s="37"/>
      <c r="H695" s="37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37"/>
      <c r="D696" s="37"/>
      <c r="E696" s="37"/>
      <c r="F696" s="37"/>
      <c r="G696" s="37"/>
      <c r="H696" s="37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37"/>
      <c r="D697" s="37"/>
      <c r="E697" s="37"/>
      <c r="F697" s="37"/>
      <c r="G697" s="37"/>
      <c r="H697" s="37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37"/>
      <c r="D698" s="37"/>
      <c r="E698" s="37"/>
      <c r="F698" s="37"/>
      <c r="G698" s="37"/>
      <c r="H698" s="37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37"/>
      <c r="D699" s="37"/>
      <c r="E699" s="37"/>
      <c r="F699" s="37"/>
      <c r="G699" s="37"/>
      <c r="H699" s="37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37"/>
      <c r="D700" s="37"/>
      <c r="E700" s="37"/>
      <c r="F700" s="37"/>
      <c r="G700" s="37"/>
      <c r="H700" s="37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37"/>
      <c r="D701" s="37"/>
      <c r="E701" s="37"/>
      <c r="F701" s="37"/>
      <c r="G701" s="37"/>
      <c r="H701" s="37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37"/>
      <c r="D702" s="37"/>
      <c r="E702" s="37"/>
      <c r="F702" s="37"/>
      <c r="G702" s="37"/>
      <c r="H702" s="37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37"/>
      <c r="D703" s="37"/>
      <c r="E703" s="37"/>
      <c r="F703" s="37"/>
      <c r="G703" s="37"/>
      <c r="H703" s="37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37"/>
      <c r="D704" s="37"/>
      <c r="E704" s="37"/>
      <c r="F704" s="37"/>
      <c r="G704" s="37"/>
      <c r="H704" s="37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37"/>
      <c r="D705" s="37"/>
      <c r="E705" s="37"/>
      <c r="F705" s="37"/>
      <c r="G705" s="37"/>
      <c r="H705" s="37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37"/>
      <c r="D706" s="37"/>
      <c r="E706" s="37"/>
      <c r="F706" s="37"/>
      <c r="G706" s="37"/>
      <c r="H706" s="37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37"/>
      <c r="D707" s="37"/>
      <c r="E707" s="37"/>
      <c r="F707" s="37"/>
      <c r="G707" s="37"/>
      <c r="H707" s="37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37"/>
      <c r="D708" s="37"/>
      <c r="E708" s="37"/>
      <c r="F708" s="37"/>
      <c r="G708" s="37"/>
      <c r="H708" s="37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37"/>
      <c r="D709" s="37"/>
      <c r="E709" s="37"/>
      <c r="F709" s="37"/>
      <c r="G709" s="37"/>
      <c r="H709" s="37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37"/>
      <c r="D710" s="37"/>
      <c r="E710" s="37"/>
      <c r="F710" s="37"/>
      <c r="G710" s="37"/>
      <c r="H710" s="37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37"/>
      <c r="D711" s="37"/>
      <c r="E711" s="37"/>
      <c r="F711" s="37"/>
      <c r="G711" s="37"/>
      <c r="H711" s="37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37"/>
      <c r="D712" s="37"/>
      <c r="E712" s="37"/>
      <c r="F712" s="37"/>
      <c r="G712" s="37"/>
      <c r="H712" s="37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37"/>
      <c r="D713" s="37"/>
      <c r="E713" s="37"/>
      <c r="F713" s="37"/>
      <c r="G713" s="37"/>
      <c r="H713" s="37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37"/>
      <c r="D714" s="37"/>
      <c r="E714" s="37"/>
      <c r="F714" s="37"/>
      <c r="G714" s="37"/>
      <c r="H714" s="37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37"/>
      <c r="D715" s="37"/>
      <c r="E715" s="37"/>
      <c r="F715" s="37"/>
      <c r="G715" s="37"/>
      <c r="H715" s="37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37"/>
      <c r="D716" s="37"/>
      <c r="E716" s="37"/>
      <c r="F716" s="37"/>
      <c r="G716" s="37"/>
      <c r="H716" s="37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37"/>
      <c r="D717" s="37"/>
      <c r="E717" s="37"/>
      <c r="F717" s="37"/>
      <c r="G717" s="37"/>
      <c r="H717" s="37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37"/>
      <c r="D718" s="37"/>
      <c r="E718" s="37"/>
      <c r="F718" s="37"/>
      <c r="G718" s="37"/>
      <c r="H718" s="37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37"/>
      <c r="D719" s="37"/>
      <c r="E719" s="37"/>
      <c r="F719" s="37"/>
      <c r="G719" s="37"/>
      <c r="H719" s="37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37"/>
      <c r="D720" s="37"/>
      <c r="E720" s="37"/>
      <c r="F720" s="37"/>
      <c r="G720" s="37"/>
      <c r="H720" s="37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37"/>
      <c r="D721" s="37"/>
      <c r="E721" s="37"/>
      <c r="F721" s="37"/>
      <c r="G721" s="37"/>
      <c r="H721" s="37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37"/>
      <c r="D722" s="37"/>
      <c r="E722" s="37"/>
      <c r="F722" s="37"/>
      <c r="G722" s="37"/>
      <c r="H722" s="37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37"/>
      <c r="D723" s="37"/>
      <c r="E723" s="37"/>
      <c r="F723" s="37"/>
      <c r="G723" s="37"/>
      <c r="H723" s="37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37"/>
      <c r="D724" s="37"/>
      <c r="E724" s="37"/>
      <c r="F724" s="37"/>
      <c r="G724" s="37"/>
      <c r="H724" s="37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37"/>
      <c r="D725" s="37"/>
      <c r="E725" s="37"/>
      <c r="F725" s="37"/>
      <c r="G725" s="37"/>
      <c r="H725" s="37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37"/>
      <c r="D726" s="37"/>
      <c r="E726" s="37"/>
      <c r="F726" s="37"/>
      <c r="G726" s="37"/>
      <c r="H726" s="37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37"/>
      <c r="D727" s="37"/>
      <c r="E727" s="37"/>
      <c r="F727" s="37"/>
      <c r="G727" s="37"/>
      <c r="H727" s="37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37"/>
      <c r="D728" s="37"/>
      <c r="E728" s="37"/>
      <c r="F728" s="37"/>
      <c r="G728" s="37"/>
      <c r="H728" s="37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37"/>
      <c r="D729" s="37"/>
      <c r="E729" s="37"/>
      <c r="F729" s="37"/>
      <c r="G729" s="37"/>
      <c r="H729" s="37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37"/>
      <c r="D730" s="37"/>
      <c r="E730" s="37"/>
      <c r="F730" s="37"/>
      <c r="G730" s="37"/>
      <c r="H730" s="37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37"/>
      <c r="D731" s="37"/>
      <c r="E731" s="37"/>
      <c r="F731" s="37"/>
      <c r="G731" s="37"/>
      <c r="H731" s="37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37"/>
      <c r="D732" s="37"/>
      <c r="E732" s="37"/>
      <c r="F732" s="37"/>
      <c r="G732" s="37"/>
      <c r="H732" s="37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37"/>
      <c r="D733" s="37"/>
      <c r="E733" s="37"/>
      <c r="F733" s="37"/>
      <c r="G733" s="37"/>
      <c r="H733" s="37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37"/>
      <c r="D734" s="37"/>
      <c r="E734" s="37"/>
      <c r="F734" s="37"/>
      <c r="G734" s="37"/>
      <c r="H734" s="37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37"/>
      <c r="D735" s="37"/>
      <c r="E735" s="37"/>
      <c r="F735" s="37"/>
      <c r="G735" s="37"/>
      <c r="H735" s="37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37"/>
      <c r="D736" s="37"/>
      <c r="E736" s="37"/>
      <c r="F736" s="37"/>
      <c r="G736" s="37"/>
      <c r="H736" s="37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37"/>
      <c r="D737" s="37"/>
      <c r="E737" s="37"/>
      <c r="F737" s="37"/>
      <c r="G737" s="37"/>
      <c r="H737" s="37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37"/>
      <c r="D738" s="37"/>
      <c r="E738" s="37"/>
      <c r="F738" s="37"/>
      <c r="G738" s="37"/>
      <c r="H738" s="37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37"/>
      <c r="D739" s="37"/>
      <c r="E739" s="37"/>
      <c r="F739" s="37"/>
      <c r="G739" s="37"/>
      <c r="H739" s="37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37"/>
      <c r="D740" s="37"/>
      <c r="E740" s="37"/>
      <c r="F740" s="37"/>
      <c r="G740" s="37"/>
      <c r="H740" s="37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37"/>
      <c r="D741" s="37"/>
      <c r="E741" s="37"/>
      <c r="F741" s="37"/>
      <c r="G741" s="37"/>
      <c r="H741" s="37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37"/>
      <c r="D742" s="37"/>
      <c r="E742" s="37"/>
      <c r="F742" s="37"/>
      <c r="G742" s="37"/>
      <c r="H742" s="37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37"/>
      <c r="D743" s="37"/>
      <c r="E743" s="37"/>
      <c r="F743" s="37"/>
      <c r="G743" s="37"/>
      <c r="H743" s="37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37"/>
      <c r="D744" s="37"/>
      <c r="E744" s="37"/>
      <c r="F744" s="37"/>
      <c r="G744" s="37"/>
      <c r="H744" s="37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37"/>
      <c r="D745" s="37"/>
      <c r="E745" s="37"/>
      <c r="F745" s="37"/>
      <c r="G745" s="37"/>
      <c r="H745" s="37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37"/>
      <c r="D746" s="37"/>
      <c r="E746" s="37"/>
      <c r="F746" s="37"/>
      <c r="G746" s="37"/>
      <c r="H746" s="37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37"/>
      <c r="D747" s="37"/>
      <c r="E747" s="37"/>
      <c r="F747" s="37"/>
      <c r="G747" s="37"/>
      <c r="H747" s="37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37"/>
      <c r="D748" s="37"/>
      <c r="E748" s="37"/>
      <c r="F748" s="37"/>
      <c r="G748" s="37"/>
      <c r="H748" s="37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37"/>
      <c r="D749" s="37"/>
      <c r="E749" s="37"/>
      <c r="F749" s="37"/>
      <c r="G749" s="37"/>
      <c r="H749" s="37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37"/>
      <c r="D750" s="37"/>
      <c r="E750" s="37"/>
      <c r="F750" s="37"/>
      <c r="G750" s="37"/>
      <c r="H750" s="37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37"/>
      <c r="D751" s="37"/>
      <c r="E751" s="37"/>
      <c r="F751" s="37"/>
      <c r="G751" s="37"/>
      <c r="H751" s="37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37"/>
      <c r="D752" s="37"/>
      <c r="E752" s="37"/>
      <c r="F752" s="37"/>
      <c r="G752" s="37"/>
      <c r="H752" s="37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37"/>
      <c r="D753" s="37"/>
      <c r="E753" s="37"/>
      <c r="F753" s="37"/>
      <c r="G753" s="37"/>
      <c r="H753" s="37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37"/>
      <c r="D754" s="37"/>
      <c r="E754" s="37"/>
      <c r="F754" s="37"/>
      <c r="G754" s="37"/>
      <c r="H754" s="37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37"/>
      <c r="D755" s="37"/>
      <c r="E755" s="37"/>
      <c r="F755" s="37"/>
      <c r="G755" s="37"/>
      <c r="H755" s="37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37"/>
      <c r="D756" s="37"/>
      <c r="E756" s="37"/>
      <c r="F756" s="37"/>
      <c r="G756" s="37"/>
      <c r="H756" s="37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37"/>
      <c r="D757" s="37"/>
      <c r="E757" s="37"/>
      <c r="F757" s="37"/>
      <c r="G757" s="37"/>
      <c r="H757" s="37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37"/>
      <c r="D758" s="37"/>
      <c r="E758" s="37"/>
      <c r="F758" s="37"/>
      <c r="G758" s="37"/>
      <c r="H758" s="37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37"/>
      <c r="D759" s="37"/>
      <c r="E759" s="37"/>
      <c r="F759" s="37"/>
      <c r="G759" s="37"/>
      <c r="H759" s="37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37"/>
      <c r="D760" s="37"/>
      <c r="E760" s="37"/>
      <c r="F760" s="37"/>
      <c r="G760" s="37"/>
      <c r="H760" s="37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37"/>
      <c r="D761" s="37"/>
      <c r="E761" s="37"/>
      <c r="F761" s="37"/>
      <c r="G761" s="37"/>
      <c r="H761" s="37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37"/>
      <c r="D762" s="37"/>
      <c r="E762" s="37"/>
      <c r="F762" s="37"/>
      <c r="G762" s="37"/>
      <c r="H762" s="37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37"/>
      <c r="D763" s="37"/>
      <c r="E763" s="37"/>
      <c r="F763" s="37"/>
      <c r="G763" s="37"/>
      <c r="H763" s="37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37"/>
      <c r="D764" s="37"/>
      <c r="E764" s="37"/>
      <c r="F764" s="37"/>
      <c r="G764" s="37"/>
      <c r="H764" s="37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37"/>
      <c r="D765" s="37"/>
      <c r="E765" s="37"/>
      <c r="F765" s="37"/>
      <c r="G765" s="37"/>
      <c r="H765" s="37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37"/>
      <c r="D766" s="37"/>
      <c r="E766" s="37"/>
      <c r="F766" s="37"/>
      <c r="G766" s="37"/>
      <c r="H766" s="37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37"/>
      <c r="D767" s="37"/>
      <c r="E767" s="37"/>
      <c r="F767" s="37"/>
      <c r="G767" s="37"/>
      <c r="H767" s="37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37"/>
      <c r="D768" s="37"/>
      <c r="E768" s="37"/>
      <c r="F768" s="37"/>
      <c r="G768" s="37"/>
      <c r="H768" s="37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37"/>
      <c r="D769" s="37"/>
      <c r="E769" s="37"/>
      <c r="F769" s="37"/>
      <c r="G769" s="37"/>
      <c r="H769" s="37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37"/>
      <c r="D770" s="37"/>
      <c r="E770" s="37"/>
      <c r="F770" s="37"/>
      <c r="G770" s="37"/>
      <c r="H770" s="37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37"/>
      <c r="D771" s="37"/>
      <c r="E771" s="37"/>
      <c r="F771" s="37"/>
      <c r="G771" s="37"/>
      <c r="H771" s="37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37"/>
      <c r="D772" s="37"/>
      <c r="E772" s="37"/>
      <c r="F772" s="37"/>
      <c r="G772" s="37"/>
      <c r="H772" s="37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37"/>
      <c r="D773" s="37"/>
      <c r="E773" s="37"/>
      <c r="F773" s="37"/>
      <c r="G773" s="37"/>
      <c r="H773" s="37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37"/>
      <c r="D774" s="37"/>
      <c r="E774" s="37"/>
      <c r="F774" s="37"/>
      <c r="G774" s="37"/>
      <c r="H774" s="37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37"/>
      <c r="D775" s="37"/>
      <c r="E775" s="37"/>
      <c r="F775" s="37"/>
      <c r="G775" s="37"/>
      <c r="H775" s="37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37"/>
      <c r="D776" s="37"/>
      <c r="E776" s="37"/>
      <c r="F776" s="37"/>
      <c r="G776" s="37"/>
      <c r="H776" s="37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37"/>
      <c r="D777" s="37"/>
      <c r="E777" s="37"/>
      <c r="F777" s="37"/>
      <c r="G777" s="37"/>
      <c r="H777" s="37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37"/>
      <c r="D778" s="37"/>
      <c r="E778" s="37"/>
      <c r="F778" s="37"/>
      <c r="G778" s="37"/>
      <c r="H778" s="37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37"/>
      <c r="D779" s="37"/>
      <c r="E779" s="37"/>
      <c r="F779" s="37"/>
      <c r="G779" s="37"/>
      <c r="H779" s="37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37"/>
      <c r="D780" s="37"/>
      <c r="E780" s="37"/>
      <c r="F780" s="37"/>
      <c r="G780" s="37"/>
      <c r="H780" s="37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37"/>
      <c r="D781" s="37"/>
      <c r="E781" s="37"/>
      <c r="F781" s="37"/>
      <c r="G781" s="37"/>
      <c r="H781" s="37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37"/>
      <c r="D782" s="37"/>
      <c r="E782" s="37"/>
      <c r="F782" s="37"/>
      <c r="G782" s="37"/>
      <c r="H782" s="37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37"/>
      <c r="D783" s="37"/>
      <c r="E783" s="37"/>
      <c r="F783" s="37"/>
      <c r="G783" s="37"/>
      <c r="H783" s="37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37"/>
      <c r="D784" s="37"/>
      <c r="E784" s="37"/>
      <c r="F784" s="37"/>
      <c r="G784" s="37"/>
      <c r="H784" s="37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37"/>
      <c r="D785" s="37"/>
      <c r="E785" s="37"/>
      <c r="F785" s="37"/>
      <c r="G785" s="37"/>
      <c r="H785" s="37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37"/>
      <c r="D786" s="37"/>
      <c r="E786" s="37"/>
      <c r="F786" s="37"/>
      <c r="G786" s="37"/>
      <c r="H786" s="37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37"/>
      <c r="D787" s="37"/>
      <c r="E787" s="37"/>
      <c r="F787" s="37"/>
      <c r="G787" s="37"/>
      <c r="H787" s="37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37"/>
      <c r="D788" s="37"/>
      <c r="E788" s="37"/>
      <c r="F788" s="37"/>
      <c r="G788" s="37"/>
      <c r="H788" s="37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37"/>
      <c r="D789" s="37"/>
      <c r="E789" s="37"/>
      <c r="F789" s="37"/>
      <c r="G789" s="37"/>
      <c r="H789" s="37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37"/>
      <c r="D790" s="37"/>
      <c r="E790" s="37"/>
      <c r="F790" s="37"/>
      <c r="G790" s="37"/>
      <c r="H790" s="37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37"/>
      <c r="D791" s="37"/>
      <c r="E791" s="37"/>
      <c r="F791" s="37"/>
      <c r="G791" s="37"/>
      <c r="H791" s="37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37"/>
      <c r="D792" s="37"/>
      <c r="E792" s="37"/>
      <c r="F792" s="37"/>
      <c r="G792" s="37"/>
      <c r="H792" s="37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37"/>
      <c r="D793" s="37"/>
      <c r="E793" s="37"/>
      <c r="F793" s="37"/>
      <c r="G793" s="37"/>
      <c r="H793" s="37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37"/>
      <c r="D794" s="37"/>
      <c r="E794" s="37"/>
      <c r="F794" s="37"/>
      <c r="G794" s="37"/>
      <c r="H794" s="37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37"/>
      <c r="D795" s="37"/>
      <c r="E795" s="37"/>
      <c r="F795" s="37"/>
      <c r="G795" s="37"/>
      <c r="H795" s="37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37"/>
      <c r="D796" s="37"/>
      <c r="E796" s="37"/>
      <c r="F796" s="37"/>
      <c r="G796" s="37"/>
      <c r="H796" s="37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37"/>
      <c r="D797" s="37"/>
      <c r="E797" s="37"/>
      <c r="F797" s="37"/>
      <c r="G797" s="37"/>
      <c r="H797" s="37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37"/>
      <c r="D798" s="37"/>
      <c r="E798" s="37"/>
      <c r="F798" s="37"/>
      <c r="G798" s="37"/>
      <c r="H798" s="37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37"/>
      <c r="D799" s="37"/>
      <c r="E799" s="37"/>
      <c r="F799" s="37"/>
      <c r="G799" s="37"/>
      <c r="H799" s="37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37"/>
      <c r="D800" s="37"/>
      <c r="E800" s="37"/>
      <c r="F800" s="37"/>
      <c r="G800" s="37"/>
      <c r="H800" s="37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37"/>
      <c r="D801" s="37"/>
      <c r="E801" s="37"/>
      <c r="F801" s="37"/>
      <c r="G801" s="37"/>
      <c r="H801" s="37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37"/>
      <c r="D802" s="37"/>
      <c r="E802" s="37"/>
      <c r="F802" s="37"/>
      <c r="G802" s="37"/>
      <c r="H802" s="37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37"/>
      <c r="D803" s="37"/>
      <c r="E803" s="37"/>
      <c r="F803" s="37"/>
      <c r="G803" s="37"/>
      <c r="H803" s="37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37"/>
      <c r="D804" s="37"/>
      <c r="E804" s="37"/>
      <c r="F804" s="37"/>
      <c r="G804" s="37"/>
      <c r="H804" s="37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37"/>
      <c r="D805" s="37"/>
      <c r="E805" s="37"/>
      <c r="F805" s="37"/>
      <c r="G805" s="37"/>
      <c r="H805" s="37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37"/>
      <c r="D806" s="37"/>
      <c r="E806" s="37"/>
      <c r="F806" s="37"/>
      <c r="G806" s="37"/>
      <c r="H806" s="37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37"/>
      <c r="D807" s="37"/>
      <c r="E807" s="37"/>
      <c r="F807" s="37"/>
      <c r="G807" s="37"/>
      <c r="H807" s="37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37"/>
      <c r="D808" s="37"/>
      <c r="E808" s="37"/>
      <c r="F808" s="37"/>
      <c r="G808" s="37"/>
      <c r="H808" s="37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37"/>
      <c r="D809" s="37"/>
      <c r="E809" s="37"/>
      <c r="F809" s="37"/>
      <c r="G809" s="37"/>
      <c r="H809" s="37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37"/>
      <c r="D810" s="37"/>
      <c r="E810" s="37"/>
      <c r="F810" s="37"/>
      <c r="G810" s="37"/>
      <c r="H810" s="37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37"/>
      <c r="D811" s="37"/>
      <c r="E811" s="37"/>
      <c r="F811" s="37"/>
      <c r="G811" s="37"/>
      <c r="H811" s="37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37"/>
      <c r="D812" s="37"/>
      <c r="E812" s="37"/>
      <c r="F812" s="37"/>
      <c r="G812" s="37"/>
      <c r="H812" s="37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37"/>
      <c r="D813" s="37"/>
      <c r="E813" s="37"/>
      <c r="F813" s="37"/>
      <c r="G813" s="37"/>
      <c r="H813" s="37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37"/>
      <c r="D814" s="37"/>
      <c r="E814" s="37"/>
      <c r="F814" s="37"/>
      <c r="G814" s="37"/>
      <c r="H814" s="37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37"/>
      <c r="D815" s="37"/>
      <c r="E815" s="37"/>
      <c r="F815" s="37"/>
      <c r="G815" s="37"/>
      <c r="H815" s="37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37"/>
      <c r="D816" s="37"/>
      <c r="E816" s="37"/>
      <c r="F816" s="37"/>
      <c r="G816" s="37"/>
      <c r="H816" s="37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37"/>
      <c r="D817" s="37"/>
      <c r="E817" s="37"/>
      <c r="F817" s="37"/>
      <c r="G817" s="37"/>
      <c r="H817" s="37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37"/>
      <c r="D818" s="37"/>
      <c r="E818" s="37"/>
      <c r="F818" s="37"/>
      <c r="G818" s="37"/>
      <c r="H818" s="37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37"/>
      <c r="D819" s="37"/>
      <c r="E819" s="37"/>
      <c r="F819" s="37"/>
      <c r="G819" s="37"/>
      <c r="H819" s="37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37"/>
      <c r="D820" s="37"/>
      <c r="E820" s="37"/>
      <c r="F820" s="37"/>
      <c r="G820" s="37"/>
      <c r="H820" s="37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37"/>
      <c r="D821" s="37"/>
      <c r="E821" s="37"/>
      <c r="F821" s="37"/>
      <c r="G821" s="37"/>
      <c r="H821" s="37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37"/>
      <c r="D822" s="37"/>
      <c r="E822" s="37"/>
      <c r="F822" s="37"/>
      <c r="G822" s="37"/>
      <c r="H822" s="37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37"/>
      <c r="D823" s="37"/>
      <c r="E823" s="37"/>
      <c r="F823" s="37"/>
      <c r="G823" s="37"/>
      <c r="H823" s="37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37"/>
      <c r="D824" s="37"/>
      <c r="E824" s="37"/>
      <c r="F824" s="37"/>
      <c r="G824" s="37"/>
      <c r="H824" s="37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37"/>
      <c r="D825" s="37"/>
      <c r="E825" s="37"/>
      <c r="F825" s="37"/>
      <c r="G825" s="37"/>
      <c r="H825" s="37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37"/>
      <c r="D826" s="37"/>
      <c r="E826" s="37"/>
      <c r="F826" s="37"/>
      <c r="G826" s="37"/>
      <c r="H826" s="37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37"/>
      <c r="D827" s="37"/>
      <c r="E827" s="37"/>
      <c r="F827" s="37"/>
      <c r="G827" s="37"/>
      <c r="H827" s="37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37"/>
      <c r="D828" s="37"/>
      <c r="E828" s="37"/>
      <c r="F828" s="37"/>
      <c r="G828" s="37"/>
      <c r="H828" s="37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37"/>
      <c r="D829" s="37"/>
      <c r="E829" s="37"/>
      <c r="F829" s="37"/>
      <c r="G829" s="37"/>
      <c r="H829" s="37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37"/>
      <c r="D830" s="37"/>
      <c r="E830" s="37"/>
      <c r="F830" s="37"/>
      <c r="G830" s="37"/>
      <c r="H830" s="37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37"/>
      <c r="D831" s="37"/>
      <c r="E831" s="37"/>
      <c r="F831" s="37"/>
      <c r="G831" s="37"/>
      <c r="H831" s="37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37"/>
      <c r="D832" s="37"/>
      <c r="E832" s="37"/>
      <c r="F832" s="37"/>
      <c r="G832" s="37"/>
      <c r="H832" s="37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37"/>
      <c r="D833" s="37"/>
      <c r="E833" s="37"/>
      <c r="F833" s="37"/>
      <c r="G833" s="37"/>
      <c r="H833" s="37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37"/>
      <c r="D834" s="37"/>
      <c r="E834" s="37"/>
      <c r="F834" s="37"/>
      <c r="G834" s="37"/>
      <c r="H834" s="37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37"/>
      <c r="D835" s="37"/>
      <c r="E835" s="37"/>
      <c r="F835" s="37"/>
      <c r="G835" s="37"/>
      <c r="H835" s="37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37"/>
      <c r="D836" s="37"/>
      <c r="E836" s="37"/>
      <c r="F836" s="37"/>
      <c r="G836" s="37"/>
      <c r="H836" s="37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37"/>
      <c r="D837" s="37"/>
      <c r="E837" s="37"/>
      <c r="F837" s="37"/>
      <c r="G837" s="37"/>
      <c r="H837" s="37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37"/>
      <c r="D838" s="37"/>
      <c r="E838" s="37"/>
      <c r="F838" s="37"/>
      <c r="G838" s="37"/>
      <c r="H838" s="37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37"/>
      <c r="D839" s="37"/>
      <c r="E839" s="37"/>
      <c r="F839" s="37"/>
      <c r="G839" s="37"/>
      <c r="H839" s="37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37"/>
      <c r="D840" s="37"/>
      <c r="E840" s="37"/>
      <c r="F840" s="37"/>
      <c r="G840" s="37"/>
      <c r="H840" s="37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37"/>
      <c r="D841" s="37"/>
      <c r="E841" s="37"/>
      <c r="F841" s="37"/>
      <c r="G841" s="37"/>
      <c r="H841" s="37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37"/>
      <c r="D842" s="37"/>
      <c r="E842" s="37"/>
      <c r="F842" s="37"/>
      <c r="G842" s="37"/>
      <c r="H842" s="37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37"/>
      <c r="D843" s="37"/>
      <c r="E843" s="37"/>
      <c r="F843" s="37"/>
      <c r="G843" s="37"/>
      <c r="H843" s="37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37"/>
      <c r="D844" s="37"/>
      <c r="E844" s="37"/>
      <c r="F844" s="37"/>
      <c r="G844" s="37"/>
      <c r="H844" s="37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37"/>
      <c r="D845" s="37"/>
      <c r="E845" s="37"/>
      <c r="F845" s="37"/>
      <c r="G845" s="37"/>
      <c r="H845" s="37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37"/>
      <c r="D846" s="37"/>
      <c r="E846" s="37"/>
      <c r="F846" s="37"/>
      <c r="G846" s="37"/>
      <c r="H846" s="37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37"/>
      <c r="D847" s="37"/>
      <c r="E847" s="37"/>
      <c r="F847" s="37"/>
      <c r="G847" s="37"/>
      <c r="H847" s="37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37"/>
      <c r="D848" s="37"/>
      <c r="E848" s="37"/>
      <c r="F848" s="37"/>
      <c r="G848" s="37"/>
      <c r="H848" s="37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37"/>
      <c r="D849" s="37"/>
      <c r="E849" s="37"/>
      <c r="F849" s="37"/>
      <c r="G849" s="37"/>
      <c r="H849" s="37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37"/>
      <c r="D850" s="37"/>
      <c r="E850" s="37"/>
      <c r="F850" s="37"/>
      <c r="G850" s="37"/>
      <c r="H850" s="37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37"/>
      <c r="D851" s="37"/>
      <c r="E851" s="37"/>
      <c r="F851" s="37"/>
      <c r="G851" s="37"/>
      <c r="H851" s="37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37"/>
      <c r="D852" s="37"/>
      <c r="E852" s="37"/>
      <c r="F852" s="37"/>
      <c r="G852" s="37"/>
      <c r="H852" s="37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37"/>
      <c r="D853" s="37"/>
      <c r="E853" s="37"/>
      <c r="F853" s="37"/>
      <c r="G853" s="37"/>
      <c r="H853" s="37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37"/>
      <c r="D854" s="37"/>
      <c r="E854" s="37"/>
      <c r="F854" s="37"/>
      <c r="G854" s="37"/>
      <c r="H854" s="37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37"/>
      <c r="D855" s="37"/>
      <c r="E855" s="37"/>
      <c r="F855" s="37"/>
      <c r="G855" s="37"/>
      <c r="H855" s="37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37"/>
      <c r="D856" s="37"/>
      <c r="E856" s="37"/>
      <c r="F856" s="37"/>
      <c r="G856" s="37"/>
      <c r="H856" s="37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37"/>
      <c r="D857" s="37"/>
      <c r="E857" s="37"/>
      <c r="F857" s="37"/>
      <c r="G857" s="37"/>
      <c r="H857" s="37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37"/>
      <c r="D858" s="37"/>
      <c r="E858" s="37"/>
      <c r="F858" s="37"/>
      <c r="G858" s="37"/>
      <c r="H858" s="37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37"/>
      <c r="D859" s="37"/>
      <c r="E859" s="37"/>
      <c r="F859" s="37"/>
      <c r="G859" s="37"/>
      <c r="H859" s="37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37"/>
      <c r="D860" s="37"/>
      <c r="E860" s="37"/>
      <c r="F860" s="37"/>
      <c r="G860" s="37"/>
      <c r="H860" s="37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37"/>
      <c r="D861" s="37"/>
      <c r="E861" s="37"/>
      <c r="F861" s="37"/>
      <c r="G861" s="37"/>
      <c r="H861" s="37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37"/>
      <c r="D862" s="37"/>
      <c r="E862" s="37"/>
      <c r="F862" s="37"/>
      <c r="G862" s="37"/>
      <c r="H862" s="37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37"/>
      <c r="D863" s="37"/>
      <c r="E863" s="37"/>
      <c r="F863" s="37"/>
      <c r="G863" s="37"/>
      <c r="H863" s="37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37"/>
      <c r="D864" s="37"/>
      <c r="E864" s="37"/>
      <c r="F864" s="37"/>
      <c r="G864" s="37"/>
      <c r="H864" s="37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37"/>
      <c r="D865" s="37"/>
      <c r="E865" s="37"/>
      <c r="F865" s="37"/>
      <c r="G865" s="37"/>
      <c r="H865" s="37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37"/>
      <c r="D866" s="37"/>
      <c r="E866" s="37"/>
      <c r="F866" s="37"/>
      <c r="G866" s="37"/>
      <c r="H866" s="37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37"/>
      <c r="D867" s="37"/>
      <c r="E867" s="37"/>
      <c r="F867" s="37"/>
      <c r="G867" s="37"/>
      <c r="H867" s="37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37"/>
      <c r="D868" s="37"/>
      <c r="E868" s="37"/>
      <c r="F868" s="37"/>
      <c r="G868" s="37"/>
      <c r="H868" s="37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37"/>
      <c r="D869" s="37"/>
      <c r="E869" s="37"/>
      <c r="F869" s="37"/>
      <c r="G869" s="37"/>
      <c r="H869" s="37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37"/>
      <c r="D870" s="37"/>
      <c r="E870" s="37"/>
      <c r="F870" s="37"/>
      <c r="G870" s="37"/>
      <c r="H870" s="37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37"/>
      <c r="D871" s="37"/>
      <c r="E871" s="37"/>
      <c r="F871" s="37"/>
      <c r="G871" s="37"/>
      <c r="H871" s="37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37"/>
      <c r="D872" s="37"/>
      <c r="E872" s="37"/>
      <c r="F872" s="37"/>
      <c r="G872" s="37"/>
      <c r="H872" s="37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37"/>
      <c r="D873" s="37"/>
      <c r="E873" s="37"/>
      <c r="F873" s="37"/>
      <c r="G873" s="37"/>
      <c r="H873" s="37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37"/>
      <c r="D874" s="37"/>
      <c r="E874" s="37"/>
      <c r="F874" s="37"/>
      <c r="G874" s="37"/>
      <c r="H874" s="37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37"/>
      <c r="D875" s="37"/>
      <c r="E875" s="37"/>
      <c r="F875" s="37"/>
      <c r="G875" s="37"/>
      <c r="H875" s="37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37"/>
      <c r="D876" s="37"/>
      <c r="E876" s="37"/>
      <c r="F876" s="37"/>
      <c r="G876" s="37"/>
      <c r="H876" s="37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37"/>
      <c r="D877" s="37"/>
      <c r="E877" s="37"/>
      <c r="F877" s="37"/>
      <c r="G877" s="37"/>
      <c r="H877" s="37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37"/>
      <c r="D878" s="37"/>
      <c r="E878" s="37"/>
      <c r="F878" s="37"/>
      <c r="G878" s="37"/>
      <c r="H878" s="37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37"/>
      <c r="D879" s="37"/>
      <c r="E879" s="37"/>
      <c r="F879" s="37"/>
      <c r="G879" s="37"/>
      <c r="H879" s="37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37"/>
      <c r="D880" s="37"/>
      <c r="E880" s="37"/>
      <c r="F880" s="37"/>
      <c r="G880" s="37"/>
      <c r="H880" s="37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37"/>
      <c r="D881" s="37"/>
      <c r="E881" s="37"/>
      <c r="F881" s="37"/>
      <c r="G881" s="37"/>
      <c r="H881" s="37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37"/>
      <c r="D882" s="37"/>
      <c r="E882" s="37"/>
      <c r="F882" s="37"/>
      <c r="G882" s="37"/>
      <c r="H882" s="37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37"/>
      <c r="D883" s="37"/>
      <c r="E883" s="37"/>
      <c r="F883" s="37"/>
      <c r="G883" s="37"/>
      <c r="H883" s="37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37"/>
      <c r="D884" s="37"/>
      <c r="E884" s="37"/>
      <c r="F884" s="37"/>
      <c r="G884" s="37"/>
      <c r="H884" s="37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37"/>
      <c r="D885" s="37"/>
      <c r="E885" s="37"/>
      <c r="F885" s="37"/>
      <c r="G885" s="37"/>
      <c r="H885" s="37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37"/>
      <c r="D886" s="37"/>
      <c r="E886" s="37"/>
      <c r="F886" s="37"/>
      <c r="G886" s="37"/>
      <c r="H886" s="37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37"/>
      <c r="D887" s="37"/>
      <c r="E887" s="37"/>
      <c r="F887" s="37"/>
      <c r="G887" s="37"/>
      <c r="H887" s="37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37"/>
      <c r="D888" s="37"/>
      <c r="E888" s="37"/>
      <c r="F888" s="37"/>
      <c r="G888" s="37"/>
      <c r="H888" s="37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37"/>
      <c r="D889" s="37"/>
      <c r="E889" s="37"/>
      <c r="F889" s="37"/>
      <c r="G889" s="37"/>
      <c r="H889" s="37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37"/>
      <c r="D890" s="37"/>
      <c r="E890" s="37"/>
      <c r="F890" s="37"/>
      <c r="G890" s="37"/>
      <c r="H890" s="37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37"/>
      <c r="D891" s="37"/>
      <c r="E891" s="37"/>
      <c r="F891" s="37"/>
      <c r="G891" s="37"/>
      <c r="H891" s="37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37"/>
      <c r="D892" s="37"/>
      <c r="E892" s="37"/>
      <c r="F892" s="37"/>
      <c r="G892" s="37"/>
      <c r="H892" s="37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37"/>
      <c r="D893" s="37"/>
      <c r="E893" s="37"/>
      <c r="F893" s="37"/>
      <c r="G893" s="37"/>
      <c r="H893" s="37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37"/>
      <c r="D894" s="37"/>
      <c r="E894" s="37"/>
      <c r="F894" s="37"/>
      <c r="G894" s="37"/>
      <c r="H894" s="37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37"/>
      <c r="D895" s="37"/>
      <c r="E895" s="37"/>
      <c r="F895" s="37"/>
      <c r="G895" s="37"/>
      <c r="H895" s="37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37"/>
      <c r="D896" s="37"/>
      <c r="E896" s="37"/>
      <c r="F896" s="37"/>
      <c r="G896" s="37"/>
      <c r="H896" s="37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37"/>
      <c r="D897" s="37"/>
      <c r="E897" s="37"/>
      <c r="F897" s="37"/>
      <c r="G897" s="37"/>
      <c r="H897" s="37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37"/>
      <c r="D898" s="37"/>
      <c r="E898" s="37"/>
      <c r="F898" s="37"/>
      <c r="G898" s="37"/>
      <c r="H898" s="37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37"/>
      <c r="D899" s="37"/>
      <c r="E899" s="37"/>
      <c r="F899" s="37"/>
      <c r="G899" s="37"/>
      <c r="H899" s="37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37"/>
      <c r="D900" s="37"/>
      <c r="E900" s="37"/>
      <c r="F900" s="37"/>
      <c r="G900" s="37"/>
      <c r="H900" s="37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37"/>
      <c r="D901" s="37"/>
      <c r="E901" s="37"/>
      <c r="F901" s="37"/>
      <c r="G901" s="37"/>
      <c r="H901" s="37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37"/>
      <c r="D902" s="37"/>
      <c r="E902" s="37"/>
      <c r="F902" s="37"/>
      <c r="G902" s="37"/>
      <c r="H902" s="37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37"/>
      <c r="D903" s="37"/>
      <c r="E903" s="37"/>
      <c r="F903" s="37"/>
      <c r="G903" s="37"/>
      <c r="H903" s="37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37"/>
      <c r="D904" s="37"/>
      <c r="E904" s="37"/>
      <c r="F904" s="37"/>
      <c r="G904" s="37"/>
      <c r="H904" s="37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37"/>
      <c r="D905" s="37"/>
      <c r="E905" s="37"/>
      <c r="F905" s="37"/>
      <c r="G905" s="37"/>
      <c r="H905" s="37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37"/>
      <c r="D906" s="37"/>
      <c r="E906" s="37"/>
      <c r="F906" s="37"/>
      <c r="G906" s="37"/>
      <c r="H906" s="37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37"/>
      <c r="D907" s="37"/>
      <c r="E907" s="37"/>
      <c r="F907" s="37"/>
      <c r="G907" s="37"/>
      <c r="H907" s="37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37"/>
      <c r="D908" s="37"/>
      <c r="E908" s="37"/>
      <c r="F908" s="37"/>
      <c r="G908" s="37"/>
      <c r="H908" s="37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37"/>
      <c r="D909" s="37"/>
      <c r="E909" s="37"/>
      <c r="F909" s="37"/>
      <c r="G909" s="37"/>
      <c r="H909" s="37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37"/>
      <c r="D910" s="37"/>
      <c r="E910" s="37"/>
      <c r="F910" s="37"/>
      <c r="G910" s="37"/>
      <c r="H910" s="37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37"/>
      <c r="D911" s="37"/>
      <c r="E911" s="37"/>
      <c r="F911" s="37"/>
      <c r="G911" s="37"/>
      <c r="H911" s="37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37"/>
      <c r="D912" s="37"/>
      <c r="E912" s="37"/>
      <c r="F912" s="37"/>
      <c r="G912" s="37"/>
      <c r="H912" s="37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37"/>
      <c r="D913" s="37"/>
      <c r="E913" s="37"/>
      <c r="F913" s="37"/>
      <c r="G913" s="37"/>
      <c r="H913" s="37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37"/>
      <c r="D914" s="37"/>
      <c r="E914" s="37"/>
      <c r="F914" s="37"/>
      <c r="G914" s="37"/>
      <c r="H914" s="37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37"/>
      <c r="D915" s="37"/>
      <c r="E915" s="37"/>
      <c r="F915" s="37"/>
      <c r="G915" s="37"/>
      <c r="H915" s="37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37"/>
      <c r="D916" s="37"/>
      <c r="E916" s="37"/>
      <c r="F916" s="37"/>
      <c r="G916" s="37"/>
      <c r="H916" s="37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37"/>
      <c r="D917" s="37"/>
      <c r="E917" s="37"/>
      <c r="F917" s="37"/>
      <c r="G917" s="37"/>
      <c r="H917" s="37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37"/>
      <c r="D918" s="37"/>
      <c r="E918" s="37"/>
      <c r="F918" s="37"/>
      <c r="G918" s="37"/>
      <c r="H918" s="37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37"/>
      <c r="D919" s="37"/>
      <c r="E919" s="37"/>
      <c r="F919" s="37"/>
      <c r="G919" s="37"/>
      <c r="H919" s="37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37"/>
      <c r="D920" s="37"/>
      <c r="E920" s="37"/>
      <c r="F920" s="37"/>
      <c r="G920" s="37"/>
      <c r="H920" s="37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37"/>
      <c r="D921" s="37"/>
      <c r="E921" s="37"/>
      <c r="F921" s="37"/>
      <c r="G921" s="37"/>
      <c r="H921" s="37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37"/>
      <c r="D922" s="37"/>
      <c r="E922" s="37"/>
      <c r="F922" s="37"/>
      <c r="G922" s="37"/>
      <c r="H922" s="37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37"/>
      <c r="D923" s="37"/>
      <c r="E923" s="37"/>
      <c r="F923" s="37"/>
      <c r="G923" s="37"/>
      <c r="H923" s="37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37"/>
      <c r="D924" s="37"/>
      <c r="E924" s="37"/>
      <c r="F924" s="37"/>
      <c r="G924" s="37"/>
      <c r="H924" s="37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37"/>
      <c r="D925" s="37"/>
      <c r="E925" s="37"/>
      <c r="F925" s="37"/>
      <c r="G925" s="37"/>
      <c r="H925" s="37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37"/>
      <c r="D926" s="37"/>
      <c r="E926" s="37"/>
      <c r="F926" s="37"/>
      <c r="G926" s="37"/>
      <c r="H926" s="37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37"/>
      <c r="D927" s="37"/>
      <c r="E927" s="37"/>
      <c r="F927" s="37"/>
      <c r="G927" s="37"/>
      <c r="H927" s="37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37"/>
      <c r="D928" s="37"/>
      <c r="E928" s="37"/>
      <c r="F928" s="37"/>
      <c r="G928" s="37"/>
      <c r="H928" s="37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37"/>
      <c r="D929" s="37"/>
      <c r="E929" s="37"/>
      <c r="F929" s="37"/>
      <c r="G929" s="37"/>
      <c r="H929" s="37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37"/>
      <c r="D930" s="37"/>
      <c r="E930" s="37"/>
      <c r="F930" s="37"/>
      <c r="G930" s="37"/>
      <c r="H930" s="37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37"/>
      <c r="D931" s="37"/>
      <c r="E931" s="37"/>
      <c r="F931" s="37"/>
      <c r="G931" s="37"/>
      <c r="H931" s="37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37"/>
      <c r="D932" s="37"/>
      <c r="E932" s="37"/>
      <c r="F932" s="37"/>
      <c r="G932" s="37"/>
      <c r="H932" s="37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37"/>
      <c r="D933" s="37"/>
      <c r="E933" s="37"/>
      <c r="F933" s="37"/>
      <c r="G933" s="37"/>
      <c r="H933" s="37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37"/>
      <c r="D934" s="37"/>
      <c r="E934" s="37"/>
      <c r="F934" s="37"/>
      <c r="G934" s="37"/>
      <c r="H934" s="37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37"/>
      <c r="D935" s="37"/>
      <c r="E935" s="37"/>
      <c r="F935" s="37"/>
      <c r="G935" s="37"/>
      <c r="H935" s="37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37"/>
      <c r="D936" s="37"/>
      <c r="E936" s="37"/>
      <c r="F936" s="37"/>
      <c r="G936" s="37"/>
      <c r="H936" s="37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37"/>
      <c r="D937" s="37"/>
      <c r="E937" s="37"/>
      <c r="F937" s="37"/>
      <c r="G937" s="37"/>
      <c r="H937" s="37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37"/>
      <c r="D938" s="37"/>
      <c r="E938" s="37"/>
      <c r="F938" s="37"/>
      <c r="G938" s="37"/>
      <c r="H938" s="37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37"/>
      <c r="D939" s="37"/>
      <c r="E939" s="37"/>
      <c r="F939" s="37"/>
      <c r="G939" s="37"/>
      <c r="H939" s="37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37"/>
      <c r="D940" s="37"/>
      <c r="E940" s="37"/>
      <c r="F940" s="37"/>
      <c r="G940" s="37"/>
      <c r="H940" s="37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37"/>
      <c r="D941" s="37"/>
      <c r="E941" s="37"/>
      <c r="F941" s="37"/>
      <c r="G941" s="37"/>
      <c r="H941" s="37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37"/>
      <c r="D942" s="37"/>
      <c r="E942" s="37"/>
      <c r="F942" s="37"/>
      <c r="G942" s="37"/>
      <c r="H942" s="37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37"/>
      <c r="D943" s="37"/>
      <c r="E943" s="37"/>
      <c r="F943" s="37"/>
      <c r="G943" s="37"/>
      <c r="H943" s="37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37"/>
      <c r="D944" s="37"/>
      <c r="E944" s="37"/>
      <c r="F944" s="37"/>
      <c r="G944" s="37"/>
      <c r="H944" s="37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37"/>
      <c r="D945" s="37"/>
      <c r="E945" s="37"/>
      <c r="F945" s="37"/>
      <c r="G945" s="37"/>
      <c r="H945" s="37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37"/>
      <c r="D946" s="37"/>
      <c r="E946" s="37"/>
      <c r="F946" s="37"/>
      <c r="G946" s="37"/>
      <c r="H946" s="37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37"/>
      <c r="D947" s="37"/>
      <c r="E947" s="37"/>
      <c r="F947" s="37"/>
      <c r="G947" s="37"/>
      <c r="H947" s="37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37"/>
      <c r="D948" s="37"/>
      <c r="E948" s="37"/>
      <c r="F948" s="37"/>
      <c r="G948" s="37"/>
      <c r="H948" s="37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37"/>
      <c r="D949" s="37"/>
      <c r="E949" s="37"/>
      <c r="F949" s="37"/>
      <c r="G949" s="37"/>
      <c r="H949" s="37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37"/>
      <c r="D950" s="37"/>
      <c r="E950" s="37"/>
      <c r="F950" s="37"/>
      <c r="G950" s="37"/>
      <c r="H950" s="37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37"/>
      <c r="D951" s="37"/>
      <c r="E951" s="37"/>
      <c r="F951" s="37"/>
      <c r="G951" s="37"/>
      <c r="H951" s="37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37"/>
      <c r="D952" s="37"/>
      <c r="E952" s="37"/>
      <c r="F952" s="37"/>
      <c r="G952" s="37"/>
      <c r="H952" s="37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37"/>
      <c r="D953" s="37"/>
      <c r="E953" s="37"/>
      <c r="F953" s="37"/>
      <c r="G953" s="37"/>
      <c r="H953" s="37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37"/>
      <c r="D954" s="37"/>
      <c r="E954" s="37"/>
      <c r="F954" s="37"/>
      <c r="G954" s="37"/>
      <c r="H954" s="37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37"/>
      <c r="D955" s="37"/>
      <c r="E955" s="37"/>
      <c r="F955" s="37"/>
      <c r="G955" s="37"/>
      <c r="H955" s="37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37"/>
      <c r="D956" s="37"/>
      <c r="E956" s="37"/>
      <c r="F956" s="37"/>
      <c r="G956" s="37"/>
      <c r="H956" s="37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37"/>
      <c r="D957" s="37"/>
      <c r="E957" s="37"/>
      <c r="F957" s="37"/>
      <c r="G957" s="37"/>
      <c r="H957" s="37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37"/>
      <c r="D958" s="37"/>
      <c r="E958" s="37"/>
      <c r="F958" s="37"/>
      <c r="G958" s="37"/>
      <c r="H958" s="37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37"/>
      <c r="D959" s="37"/>
      <c r="E959" s="37"/>
      <c r="F959" s="37"/>
      <c r="G959" s="37"/>
      <c r="H959" s="37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37"/>
      <c r="D960" s="37"/>
      <c r="E960" s="37"/>
      <c r="F960" s="37"/>
      <c r="G960" s="37"/>
      <c r="H960" s="37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37"/>
      <c r="D961" s="37"/>
      <c r="E961" s="37"/>
      <c r="F961" s="37"/>
      <c r="G961" s="37"/>
      <c r="H961" s="37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37"/>
      <c r="D962" s="37"/>
      <c r="E962" s="37"/>
      <c r="F962" s="37"/>
      <c r="G962" s="37"/>
      <c r="H962" s="37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37"/>
      <c r="D963" s="37"/>
      <c r="E963" s="37"/>
      <c r="F963" s="37"/>
      <c r="G963" s="37"/>
      <c r="H963" s="37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37"/>
      <c r="D964" s="37"/>
      <c r="E964" s="37"/>
      <c r="F964" s="37"/>
      <c r="G964" s="37"/>
      <c r="H964" s="37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37"/>
      <c r="D965" s="37"/>
      <c r="E965" s="37"/>
      <c r="F965" s="37"/>
      <c r="G965" s="37"/>
      <c r="H965" s="37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37"/>
      <c r="D966" s="37"/>
      <c r="E966" s="37"/>
      <c r="F966" s="37"/>
      <c r="G966" s="37"/>
      <c r="H966" s="37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37"/>
      <c r="D967" s="37"/>
      <c r="E967" s="37"/>
      <c r="F967" s="37"/>
      <c r="G967" s="37"/>
      <c r="H967" s="37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37"/>
      <c r="D968" s="37"/>
      <c r="E968" s="37"/>
      <c r="F968" s="37"/>
      <c r="G968" s="37"/>
      <c r="H968" s="37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37"/>
      <c r="D969" s="37"/>
      <c r="E969" s="37"/>
      <c r="F969" s="37"/>
      <c r="G969" s="37"/>
      <c r="H969" s="37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37"/>
      <c r="D970" s="37"/>
      <c r="E970" s="37"/>
      <c r="F970" s="37"/>
      <c r="G970" s="37"/>
      <c r="H970" s="37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37"/>
      <c r="D971" s="37"/>
      <c r="E971" s="37"/>
      <c r="F971" s="37"/>
      <c r="G971" s="37"/>
      <c r="H971" s="37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37"/>
      <c r="D972" s="37"/>
      <c r="E972" s="37"/>
      <c r="F972" s="37"/>
      <c r="G972" s="37"/>
      <c r="H972" s="37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37"/>
      <c r="D973" s="37"/>
      <c r="E973" s="37"/>
      <c r="F973" s="37"/>
      <c r="G973" s="37"/>
      <c r="H973" s="37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37"/>
      <c r="D974" s="37"/>
      <c r="E974" s="37"/>
      <c r="F974" s="37"/>
      <c r="G974" s="37"/>
      <c r="H974" s="37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37"/>
      <c r="D975" s="37"/>
      <c r="E975" s="37"/>
      <c r="F975" s="37"/>
      <c r="G975" s="37"/>
      <c r="H975" s="37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37"/>
      <c r="D976" s="37"/>
      <c r="E976" s="37"/>
      <c r="F976" s="37"/>
      <c r="G976" s="37"/>
      <c r="H976" s="37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37"/>
      <c r="D977" s="37"/>
      <c r="E977" s="37"/>
      <c r="F977" s="37"/>
      <c r="G977" s="37"/>
      <c r="H977" s="37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37"/>
      <c r="D978" s="37"/>
      <c r="E978" s="37"/>
      <c r="F978" s="37"/>
      <c r="G978" s="37"/>
      <c r="H978" s="37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37"/>
      <c r="D979" s="37"/>
      <c r="E979" s="37"/>
      <c r="F979" s="37"/>
      <c r="G979" s="37"/>
      <c r="H979" s="37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37"/>
      <c r="D980" s="37"/>
      <c r="E980" s="37"/>
      <c r="F980" s="37"/>
      <c r="G980" s="37"/>
      <c r="H980" s="37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37"/>
      <c r="D981" s="37"/>
      <c r="E981" s="37"/>
      <c r="F981" s="37"/>
      <c r="G981" s="37"/>
      <c r="H981" s="37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37"/>
      <c r="D982" s="37"/>
      <c r="E982" s="37"/>
      <c r="F982" s="37"/>
      <c r="G982" s="37"/>
      <c r="H982" s="37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37"/>
      <c r="D983" s="37"/>
      <c r="E983" s="37"/>
      <c r="F983" s="37"/>
      <c r="G983" s="37"/>
      <c r="H983" s="37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37"/>
      <c r="D984" s="37"/>
      <c r="E984" s="37"/>
      <c r="F984" s="37"/>
      <c r="G984" s="37"/>
      <c r="H984" s="37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37"/>
      <c r="D985" s="37"/>
      <c r="E985" s="37"/>
      <c r="F985" s="37"/>
      <c r="G985" s="37"/>
      <c r="H985" s="37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37"/>
      <c r="D986" s="37"/>
      <c r="E986" s="37"/>
      <c r="F986" s="37"/>
      <c r="G986" s="37"/>
      <c r="H986" s="37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37"/>
      <c r="D987" s="37"/>
      <c r="E987" s="37"/>
      <c r="F987" s="37"/>
      <c r="G987" s="37"/>
      <c r="H987" s="37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37"/>
      <c r="D988" s="37"/>
      <c r="E988" s="37"/>
      <c r="F988" s="37"/>
      <c r="G988" s="37"/>
      <c r="H988" s="37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37"/>
      <c r="D989" s="37"/>
      <c r="E989" s="37"/>
      <c r="F989" s="37"/>
      <c r="G989" s="37"/>
      <c r="H989" s="37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37"/>
      <c r="D990" s="37"/>
      <c r="E990" s="37"/>
      <c r="F990" s="37"/>
      <c r="G990" s="37"/>
      <c r="H990" s="37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37"/>
      <c r="D991" s="37"/>
      <c r="E991" s="37"/>
      <c r="F991" s="37"/>
      <c r="G991" s="37"/>
      <c r="H991" s="37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37"/>
      <c r="D992" s="37"/>
      <c r="E992" s="37"/>
      <c r="F992" s="37"/>
      <c r="G992" s="37"/>
      <c r="H992" s="37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37"/>
      <c r="D993" s="37"/>
      <c r="E993" s="37"/>
      <c r="F993" s="37"/>
      <c r="G993" s="37"/>
      <c r="H993" s="37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37"/>
      <c r="D994" s="37"/>
      <c r="E994" s="37"/>
      <c r="F994" s="37"/>
      <c r="G994" s="37"/>
      <c r="H994" s="37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37"/>
      <c r="D995" s="37"/>
      <c r="E995" s="37"/>
      <c r="F995" s="37"/>
      <c r="G995" s="37"/>
      <c r="H995" s="37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37"/>
      <c r="D996" s="37"/>
      <c r="E996" s="37"/>
      <c r="F996" s="37"/>
      <c r="G996" s="37"/>
      <c r="H996" s="37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37"/>
      <c r="D997" s="37"/>
      <c r="E997" s="37"/>
      <c r="F997" s="37"/>
      <c r="G997" s="37"/>
      <c r="H997" s="37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37"/>
      <c r="D998" s="37"/>
      <c r="E998" s="37"/>
      <c r="F998" s="37"/>
      <c r="G998" s="37"/>
      <c r="H998" s="37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37"/>
      <c r="D999" s="37"/>
      <c r="E999" s="37"/>
      <c r="F999" s="37"/>
      <c r="G999" s="37"/>
      <c r="H999" s="37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B1000" s="13"/>
      <c r="C1000" s="37"/>
      <c r="D1000" s="37"/>
      <c r="E1000" s="37"/>
      <c r="F1000" s="37"/>
      <c r="G1000" s="37"/>
      <c r="H1000" s="37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5">
    <mergeCell ref="B2:H2"/>
    <mergeCell ref="B3:H3"/>
    <mergeCell ref="I39:M41"/>
    <mergeCell ref="P40:T42"/>
    <mergeCell ref="D41:F41"/>
  </mergeCells>
  <pageMargins left="0.7" right="0.7" top="0.75" bottom="0.75" header="0" footer="0"/>
  <pageSetup orientation="portrait"/>
  <drawing r:id="rId1"/>
  <legacy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T998"/>
  <sheetViews>
    <sheetView showGridLines="0" topLeftCell="A4" workbookViewId="0">
      <selection activeCell="G18" sqref="G18"/>
    </sheetView>
  </sheetViews>
  <sheetFormatPr defaultColWidth="14.42578125" defaultRowHeight="15" customHeight="1"/>
  <cols>
    <col min="1" max="1" width="11.42578125" customWidth="1"/>
    <col min="2" max="2" width="37.85546875" customWidth="1"/>
    <col min="3" max="3" width="27.140625" customWidth="1"/>
    <col min="4" max="4" width="11.7109375" customWidth="1"/>
    <col min="5" max="5" width="27.140625" customWidth="1"/>
    <col min="6" max="6" width="32.85546875" customWidth="1"/>
    <col min="7" max="7" width="14.5703125" customWidth="1"/>
    <col min="8" max="8" width="14.7109375" customWidth="1"/>
    <col min="9" max="20" width="11.42578125" customWidth="1"/>
  </cols>
  <sheetData>
    <row r="1" spans="1:20">
      <c r="A1" s="38"/>
      <c r="B1" s="38"/>
      <c r="C1" s="38"/>
      <c r="D1" s="38"/>
      <c r="E1" s="38"/>
      <c r="F1" s="38"/>
      <c r="G1" s="38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</row>
    <row r="2" spans="1:20">
      <c r="A2" s="38"/>
      <c r="B2" s="39" t="s">
        <v>490</v>
      </c>
      <c r="C2" s="38"/>
      <c r="D2" s="38"/>
      <c r="E2" s="38"/>
      <c r="F2" s="38"/>
      <c r="G2" s="38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</row>
    <row r="3" spans="1:20">
      <c r="A3" s="38"/>
      <c r="B3" s="39" t="s">
        <v>491</v>
      </c>
      <c r="C3" s="38" t="s">
        <v>39</v>
      </c>
      <c r="D3" s="38"/>
      <c r="E3" s="38"/>
      <c r="F3" s="38"/>
      <c r="G3" s="38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</row>
    <row r="4" spans="1:20">
      <c r="A4" s="38"/>
      <c r="B4" s="38"/>
      <c r="C4" s="38"/>
      <c r="D4" s="38"/>
      <c r="E4" s="38"/>
      <c r="F4" s="38"/>
      <c r="G4" s="38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0">
      <c r="A5" s="38"/>
      <c r="B5" s="120" t="s">
        <v>492</v>
      </c>
      <c r="C5" s="120" t="s">
        <v>493</v>
      </c>
      <c r="D5" s="120" t="s">
        <v>494</v>
      </c>
      <c r="E5" s="120" t="s">
        <v>495</v>
      </c>
      <c r="F5" s="38"/>
      <c r="G5" s="38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0">
      <c r="A6" s="38"/>
      <c r="B6" s="38"/>
      <c r="C6" s="38"/>
      <c r="D6" s="38"/>
      <c r="E6" s="38"/>
      <c r="F6" s="38"/>
      <c r="G6" s="38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0">
      <c r="A7" s="38"/>
      <c r="B7" s="38"/>
      <c r="C7" s="38"/>
      <c r="D7" s="38"/>
      <c r="E7" s="38"/>
      <c r="F7" s="38"/>
      <c r="G7" s="38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1:20">
      <c r="A8" s="38"/>
      <c r="B8" s="127" t="s">
        <v>496</v>
      </c>
      <c r="C8" s="125"/>
      <c r="D8" s="38"/>
      <c r="E8" s="38"/>
      <c r="F8" s="39" t="s">
        <v>497</v>
      </c>
      <c r="G8" s="38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</row>
    <row r="9" spans="1:20">
      <c r="A9" s="125"/>
      <c r="B9" s="40" t="s">
        <v>498</v>
      </c>
      <c r="C9" s="126">
        <f>Nomina!$C$10</f>
        <v>9340000</v>
      </c>
      <c r="D9" s="125"/>
      <c r="E9" s="38"/>
      <c r="F9" s="40" t="s">
        <v>499</v>
      </c>
      <c r="G9" s="121">
        <f>Compras!E28</f>
        <v>11172900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</row>
    <row r="10" spans="1:20">
      <c r="A10" s="125"/>
      <c r="B10" s="44" t="s">
        <v>197</v>
      </c>
      <c r="C10" s="118">
        <f>Gastos!$C$8</f>
        <v>25000</v>
      </c>
      <c r="D10" s="125"/>
      <c r="E10" s="38"/>
      <c r="F10" s="41" t="s">
        <v>500</v>
      </c>
      <c r="G10" s="122">
        <f>(Nomina!$J$9)</f>
        <v>1726409.63644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0">
      <c r="A11" s="125"/>
      <c r="B11" s="44" t="s">
        <v>198</v>
      </c>
      <c r="C11" s="118">
        <f>Gastos!$C$9</f>
        <v>50000</v>
      </c>
      <c r="D11" s="125"/>
      <c r="E11" s="38"/>
      <c r="F11" s="38" t="s">
        <v>51</v>
      </c>
      <c r="G11" s="123">
        <f>SUM($G$9:$G$10)</f>
        <v>12899309.63644</v>
      </c>
      <c r="H11" s="13"/>
      <c r="I11" s="51">
        <v>1237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</row>
    <row r="12" spans="1:20">
      <c r="A12" s="125"/>
      <c r="B12" s="44" t="s">
        <v>200</v>
      </c>
      <c r="C12" s="118">
        <f>Gastos!$C$14</f>
        <v>350000</v>
      </c>
      <c r="D12" s="125"/>
      <c r="E12" s="38"/>
      <c r="F12" s="38"/>
      <c r="G12" s="36"/>
      <c r="H12" s="13"/>
      <c r="I12" s="13">
        <v>825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1:20">
      <c r="A13" s="125"/>
      <c r="B13" s="44" t="s">
        <v>501</v>
      </c>
      <c r="C13" s="118">
        <f>Gastos!$C$19+Compras!$G$64</f>
        <v>1000833.3333333334</v>
      </c>
      <c r="D13" s="125"/>
      <c r="E13" s="38"/>
      <c r="F13" s="39" t="s">
        <v>502</v>
      </c>
      <c r="G13" s="36">
        <f>PRECIOS!F13</f>
        <v>31841.739701045397</v>
      </c>
      <c r="H13" s="27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</row>
    <row r="14" spans="1:20">
      <c r="A14" s="125"/>
      <c r="B14" s="44" t="s">
        <v>203</v>
      </c>
      <c r="C14" s="118">
        <f>Gastos!$C$20</f>
        <v>40000</v>
      </c>
      <c r="D14" s="125"/>
      <c r="E14" s="38"/>
      <c r="F14" s="38" t="s">
        <v>503</v>
      </c>
      <c r="G14" s="36">
        <f>PRECIOS!F10</f>
        <v>14865.424697033333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1:20">
      <c r="A15" s="125"/>
      <c r="B15" s="44" t="s">
        <v>204</v>
      </c>
      <c r="C15" s="118">
        <f>Gastos!C21</f>
        <v>226800</v>
      </c>
      <c r="D15" s="125"/>
      <c r="E15" s="38"/>
      <c r="F15" s="411" t="s">
        <v>504</v>
      </c>
      <c r="G15" s="412">
        <f>(C21+G11)/(G13-G17)</f>
        <v>889.77993117367384</v>
      </c>
      <c r="H15" s="27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</row>
    <row r="16" spans="1:20">
      <c r="A16" s="125"/>
      <c r="B16" s="44" t="s">
        <v>205</v>
      </c>
      <c r="C16" s="118">
        <f>Gastos!C22</f>
        <v>120000</v>
      </c>
      <c r="D16" s="125"/>
      <c r="E16" s="38"/>
      <c r="F16" s="38"/>
      <c r="G16" s="38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1:20">
      <c r="A17" s="125"/>
      <c r="B17" s="44" t="s">
        <v>505</v>
      </c>
      <c r="C17" s="118">
        <f>Gastos!$C$23</f>
        <v>50000</v>
      </c>
      <c r="D17" s="125"/>
      <c r="E17" s="38"/>
      <c r="F17" s="42" t="s">
        <v>506</v>
      </c>
      <c r="G17" s="43">
        <f>VentasMes!M2</f>
        <v>1200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</row>
    <row r="18" spans="1:20">
      <c r="A18" s="125"/>
      <c r="B18" s="44" t="s">
        <v>507</v>
      </c>
      <c r="C18" s="118">
        <f>ER!C22/12</f>
        <v>2778962.0724644721</v>
      </c>
      <c r="D18" s="125"/>
      <c r="E18" s="38"/>
      <c r="F18" s="25"/>
      <c r="G18" s="25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1:20" ht="15.75" customHeight="1">
      <c r="A19" s="125"/>
      <c r="B19" s="44" t="s">
        <v>337</v>
      </c>
      <c r="C19" s="118">
        <f>Amorti!$C$8</f>
        <v>24000</v>
      </c>
      <c r="D19" s="125"/>
      <c r="E19" s="125"/>
      <c r="F19" s="25"/>
      <c r="G19" s="124"/>
      <c r="H19" s="50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</row>
    <row r="20" spans="1:20" ht="15.75" customHeight="1">
      <c r="A20" s="125"/>
      <c r="B20" s="41" t="s">
        <v>508</v>
      </c>
      <c r="C20" s="119">
        <f>Compras!$G$39+Compras!$G$52</f>
        <v>359500</v>
      </c>
      <c r="D20" s="125"/>
      <c r="E20" s="38"/>
      <c r="F20" s="25"/>
      <c r="G20" s="124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</row>
    <row r="21" spans="1:20" ht="15.75" customHeight="1">
      <c r="A21" s="38"/>
      <c r="B21" s="125" t="s">
        <v>51</v>
      </c>
      <c r="C21" s="128">
        <f>SUM(C9:C20)</f>
        <v>14365095.405797806</v>
      </c>
      <c r="D21" s="38"/>
      <c r="E21" s="38"/>
      <c r="F21" s="38"/>
      <c r="G21" s="38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</row>
    <row r="22" spans="1:20" ht="15.7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</row>
    <row r="23" spans="1:20" ht="15.75" customHeight="1">
      <c r="A23" s="13"/>
      <c r="B23" s="13"/>
      <c r="C23" s="13"/>
      <c r="D23" s="13"/>
      <c r="E23" s="13"/>
      <c r="F23" s="50"/>
      <c r="G23" s="50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</row>
    <row r="24" spans="1:20" ht="15.75" customHeight="1">
      <c r="A24" s="13"/>
      <c r="B24" s="127" t="s">
        <v>496</v>
      </c>
      <c r="C24" s="125"/>
      <c r="D24" s="13"/>
      <c r="E24" s="50"/>
      <c r="F24" s="51" t="s">
        <v>497</v>
      </c>
      <c r="G24" s="50"/>
      <c r="H24" s="50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</row>
    <row r="25" spans="1:20" ht="15.75" customHeight="1">
      <c r="A25" s="13"/>
      <c r="B25" s="40" t="s">
        <v>498</v>
      </c>
      <c r="C25" s="126">
        <f>Nomina!$C$10</f>
        <v>9340000</v>
      </c>
      <c r="D25" s="13"/>
      <c r="E25" s="50"/>
      <c r="F25" s="403" t="s">
        <v>509</v>
      </c>
      <c r="G25" s="406">
        <f>Compras!G28</f>
        <v>3031200</v>
      </c>
      <c r="H25" s="50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</row>
    <row r="26" spans="1:20" ht="15.75" customHeight="1">
      <c r="A26" s="13"/>
      <c r="B26" s="44" t="s">
        <v>197</v>
      </c>
      <c r="C26" s="118">
        <f>Gastos!$C$8</f>
        <v>25000</v>
      </c>
      <c r="D26" s="13"/>
      <c r="E26" s="50"/>
      <c r="F26" s="404" t="s">
        <v>500</v>
      </c>
      <c r="G26" s="405">
        <f>Nomina!J9</f>
        <v>1726409.63644</v>
      </c>
      <c r="H26" s="5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</row>
    <row r="27" spans="1:20" ht="15.75" customHeight="1">
      <c r="A27" s="13"/>
      <c r="B27" s="44" t="s">
        <v>198</v>
      </c>
      <c r="C27" s="118">
        <f>Gastos!$C$9</f>
        <v>50000</v>
      </c>
      <c r="D27" s="13"/>
      <c r="E27" s="13"/>
      <c r="F27" s="50"/>
      <c r="G27" s="407">
        <f>G25+G26</f>
        <v>4757609.6364399996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</row>
    <row r="28" spans="1:20" ht="15.75" customHeight="1">
      <c r="A28" s="13"/>
      <c r="B28" s="44" t="s">
        <v>200</v>
      </c>
      <c r="C28" s="118">
        <f>Gastos!$C$14</f>
        <v>350000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</row>
    <row r="29" spans="1:20" ht="15.75" customHeight="1">
      <c r="A29" s="13"/>
      <c r="B29" s="44" t="s">
        <v>501</v>
      </c>
      <c r="C29" s="118">
        <f>Gastos!$C$19+Compras!$G$64</f>
        <v>1000833.3333333334</v>
      </c>
      <c r="D29" s="13"/>
      <c r="E29" s="13"/>
      <c r="F29" s="13" t="s">
        <v>510</v>
      </c>
      <c r="G29" s="408">
        <f>PRECIOS!F24</f>
        <v>22237.945778939331</v>
      </c>
      <c r="H29" s="408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</row>
    <row r="30" spans="1:20" ht="15.75" customHeight="1">
      <c r="A30" s="13"/>
      <c r="B30" s="44" t="s">
        <v>203</v>
      </c>
      <c r="C30" s="118">
        <f>Gastos!$C$20</f>
        <v>40000</v>
      </c>
      <c r="D30" s="13"/>
      <c r="E30" s="13"/>
      <c r="F30" s="13" t="s">
        <v>511</v>
      </c>
      <c r="G30" s="408">
        <f>PRECIOS!F21</f>
        <v>9343.6746970333334</v>
      </c>
      <c r="H30" s="408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</row>
    <row r="31" spans="1:20" ht="15.75" customHeight="1">
      <c r="A31" s="13"/>
      <c r="B31" s="44" t="s">
        <v>204</v>
      </c>
      <c r="C31" s="118">
        <f>Gastos!C21</f>
        <v>226800</v>
      </c>
      <c r="D31" s="13"/>
      <c r="E31" s="13"/>
      <c r="F31" s="409" t="s">
        <v>504</v>
      </c>
      <c r="G31" s="410">
        <f>(C37+G27)/(G29-G33)</f>
        <v>892.00267784164168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1:20" ht="15.75" customHeight="1">
      <c r="A32" s="13"/>
      <c r="B32" s="44" t="s">
        <v>205</v>
      </c>
      <c r="C32" s="118">
        <f>Gastos!C22</f>
        <v>120000</v>
      </c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</row>
    <row r="33" spans="1:20" ht="15.75" customHeight="1">
      <c r="A33" s="13"/>
      <c r="B33" s="44" t="s">
        <v>505</v>
      </c>
      <c r="C33" s="118">
        <f>Gastos!$C$23</f>
        <v>50000</v>
      </c>
      <c r="D33" s="13"/>
      <c r="E33" s="13"/>
      <c r="F33" s="42" t="s">
        <v>506</v>
      </c>
      <c r="G33" s="415">
        <f>VentasMes!M3</f>
        <v>800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0" ht="15.75" customHeight="1">
      <c r="A34" s="13"/>
      <c r="B34" s="44" t="s">
        <v>507</v>
      </c>
      <c r="C34" s="118">
        <f>ER!C22/12</f>
        <v>2778962.0724644721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0" ht="15.75" customHeight="1">
      <c r="A35" s="13"/>
      <c r="B35" s="44" t="s">
        <v>337</v>
      </c>
      <c r="C35" s="118">
        <f>Amorti!$C$8</f>
        <v>24000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0" ht="15.75" customHeight="1">
      <c r="A36" s="13"/>
      <c r="B36" s="41" t="s">
        <v>508</v>
      </c>
      <c r="C36" s="119">
        <f>Compras!$G$39+Compras!$G$52</f>
        <v>359500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0" ht="15.75" customHeight="1">
      <c r="A37" s="13"/>
      <c r="B37" s="125" t="s">
        <v>51</v>
      </c>
      <c r="C37" s="128">
        <f>SUM(C25:C36)</f>
        <v>14365095.405797806</v>
      </c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0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0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0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0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0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0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0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0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0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0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0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1:20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1:20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1:20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1:20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1:20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1:20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1:20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1:20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  <row r="64" spans="1:20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</row>
    <row r="65" spans="1:20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</row>
    <row r="66" spans="1:20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</row>
    <row r="67" spans="1:20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</row>
    <row r="68" spans="1:20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1:20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1:20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1:20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</row>
    <row r="72" spans="1:20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</row>
    <row r="73" spans="1:20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</row>
    <row r="74" spans="1:20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</row>
    <row r="75" spans="1:20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1:20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</row>
    <row r="78" spans="1:20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</row>
    <row r="79" spans="1:20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0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0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0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0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0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0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0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0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</row>
    <row r="600" spans="1:20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</row>
    <row r="601" spans="1:20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</row>
    <row r="602" spans="1:20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</row>
    <row r="603" spans="1:20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</row>
    <row r="604" spans="1:20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</row>
    <row r="605" spans="1:20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</row>
    <row r="606" spans="1:20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</row>
    <row r="607" spans="1:20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</row>
    <row r="608" spans="1:20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</row>
    <row r="609" spans="1:20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</row>
    <row r="610" spans="1:20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</row>
    <row r="611" spans="1:20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</row>
    <row r="612" spans="1:20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</row>
    <row r="613" spans="1:20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0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0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0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0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0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0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0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0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0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0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0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</sheetData>
  <pageMargins left="0.7" right="0.7" top="0.75" bottom="0.75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450D5-5858-4B50-967C-EC28B1D87C4D}">
  <sheetPr>
    <tabColor rgb="FF00B050"/>
  </sheetPr>
  <dimension ref="A2:I29"/>
  <sheetViews>
    <sheetView topLeftCell="A15" workbookViewId="0">
      <selection activeCell="F24" sqref="F24"/>
    </sheetView>
  </sheetViews>
  <sheetFormatPr defaultColWidth="11.42578125" defaultRowHeight="15"/>
  <cols>
    <col min="2" max="2" width="15.85546875" customWidth="1"/>
    <col min="3" max="3" width="19.28515625" customWidth="1"/>
    <col min="4" max="4" width="8.140625" customWidth="1"/>
    <col min="5" max="5" width="46" customWidth="1"/>
    <col min="6" max="6" width="20.42578125" customWidth="1"/>
  </cols>
  <sheetData>
    <row r="2" spans="1:8">
      <c r="B2" s="138"/>
      <c r="C2" s="138"/>
      <c r="D2" s="138"/>
    </row>
    <row r="3" spans="1:8">
      <c r="A3" s="138"/>
      <c r="B3" s="150"/>
      <c r="C3" s="151"/>
      <c r="D3" s="150"/>
      <c r="E3" s="138"/>
      <c r="F3" s="138"/>
      <c r="G3" s="138"/>
    </row>
    <row r="4" spans="1:8">
      <c r="A4" s="138"/>
      <c r="B4" s="138"/>
      <c r="C4" s="152"/>
      <c r="D4" s="147" t="s">
        <v>512</v>
      </c>
      <c r="E4" s="149" t="s">
        <v>512</v>
      </c>
      <c r="F4" s="149" t="s">
        <v>512</v>
      </c>
      <c r="G4" s="147" t="s">
        <v>512</v>
      </c>
      <c r="H4" s="138"/>
    </row>
    <row r="5" spans="1:8">
      <c r="A5" s="138"/>
      <c r="B5" s="138"/>
      <c r="C5" s="152"/>
      <c r="D5" s="147" t="s">
        <v>512</v>
      </c>
      <c r="E5" s="149"/>
      <c r="F5" s="149" t="s">
        <v>512</v>
      </c>
      <c r="G5" s="147" t="s">
        <v>512</v>
      </c>
      <c r="H5" s="138"/>
    </row>
    <row r="6" spans="1:8">
      <c r="A6" s="138"/>
      <c r="B6" s="138"/>
      <c r="C6" s="152"/>
      <c r="D6" s="147" t="s">
        <v>512</v>
      </c>
      <c r="E6" s="148" t="s">
        <v>513</v>
      </c>
      <c r="F6" s="148" t="s">
        <v>512</v>
      </c>
      <c r="G6" s="147" t="s">
        <v>512</v>
      </c>
      <c r="H6" s="138"/>
    </row>
    <row r="7" spans="1:8">
      <c r="B7" s="138"/>
      <c r="C7" s="138"/>
      <c r="D7" s="147" t="s">
        <v>512</v>
      </c>
      <c r="E7" s="377" t="s">
        <v>514</v>
      </c>
      <c r="F7" s="378">
        <v>0.8</v>
      </c>
      <c r="G7" s="147" t="s">
        <v>512</v>
      </c>
      <c r="H7" s="138"/>
    </row>
    <row r="8" spans="1:8">
      <c r="C8" s="138"/>
      <c r="D8" s="147" t="s">
        <v>512</v>
      </c>
      <c r="E8" s="377" t="s">
        <v>515</v>
      </c>
      <c r="F8" s="378">
        <v>0.19</v>
      </c>
      <c r="G8" s="147" t="s">
        <v>512</v>
      </c>
      <c r="H8" s="138"/>
    </row>
    <row r="9" spans="1:8">
      <c r="C9" s="138"/>
      <c r="D9" s="147" t="s">
        <v>512</v>
      </c>
      <c r="E9" s="148" t="s">
        <v>512</v>
      </c>
      <c r="F9" s="148" t="s">
        <v>512</v>
      </c>
      <c r="G9" s="147" t="s">
        <v>512</v>
      </c>
      <c r="H9" s="138"/>
    </row>
    <row r="10" spans="1:8">
      <c r="C10" s="138"/>
      <c r="D10" s="147" t="s">
        <v>512</v>
      </c>
      <c r="E10" s="379" t="s">
        <v>516</v>
      </c>
      <c r="F10" s="380">
        <f>Compras!D27+Compras!F66</f>
        <v>14865.424697033333</v>
      </c>
      <c r="G10" s="147" t="s">
        <v>512</v>
      </c>
      <c r="H10" s="138"/>
    </row>
    <row r="11" spans="1:8">
      <c r="C11" s="138"/>
      <c r="D11" s="147" t="s">
        <v>512</v>
      </c>
      <c r="E11" s="379" t="s">
        <v>517</v>
      </c>
      <c r="F11" s="380">
        <f>F10*F7</f>
        <v>11892.339757626667</v>
      </c>
      <c r="G11" s="147" t="s">
        <v>512</v>
      </c>
      <c r="H11" s="138"/>
    </row>
    <row r="12" spans="1:8">
      <c r="C12" s="138"/>
      <c r="D12" s="147" t="s">
        <v>512</v>
      </c>
      <c r="E12" s="379" t="s">
        <v>518</v>
      </c>
      <c r="F12" s="380">
        <f>F10+F11</f>
        <v>26757.764454659999</v>
      </c>
      <c r="G12" s="147" t="s">
        <v>512</v>
      </c>
      <c r="H12" s="138"/>
    </row>
    <row r="13" spans="1:8" ht="19.5" customHeight="1">
      <c r="C13" s="138"/>
      <c r="D13" s="147" t="s">
        <v>512</v>
      </c>
      <c r="E13" s="379" t="s">
        <v>519</v>
      </c>
      <c r="F13" s="380">
        <f>F12*(1+F8)</f>
        <v>31841.739701045397</v>
      </c>
      <c r="G13" s="147"/>
      <c r="H13" s="138"/>
    </row>
    <row r="14" spans="1:8" ht="18.75" customHeight="1">
      <c r="C14" s="138"/>
      <c r="D14" s="147" t="s">
        <v>512</v>
      </c>
      <c r="E14" s="149" t="s">
        <v>512</v>
      </c>
      <c r="F14" s="149" t="s">
        <v>512</v>
      </c>
      <c r="G14" s="147" t="s">
        <v>512</v>
      </c>
      <c r="H14" s="138"/>
    </row>
    <row r="15" spans="1:8" ht="18.75" customHeight="1">
      <c r="C15" s="138"/>
      <c r="D15" s="147" t="s">
        <v>512</v>
      </c>
      <c r="E15" s="149" t="s">
        <v>512</v>
      </c>
      <c r="F15" s="149" t="s">
        <v>512</v>
      </c>
      <c r="G15" s="147" t="s">
        <v>512</v>
      </c>
      <c r="H15" s="138"/>
    </row>
    <row r="16" spans="1:8" ht="15.75" customHeight="1">
      <c r="C16" s="138"/>
      <c r="D16" s="147" t="s">
        <v>512</v>
      </c>
      <c r="E16" s="149"/>
      <c r="F16" s="149" t="s">
        <v>512</v>
      </c>
      <c r="G16" s="147" t="s">
        <v>512</v>
      </c>
      <c r="H16" s="138"/>
    </row>
    <row r="17" spans="3:9">
      <c r="C17" s="138"/>
      <c r="D17" s="147" t="s">
        <v>512</v>
      </c>
      <c r="E17" s="148" t="s">
        <v>520</v>
      </c>
      <c r="F17" s="148" t="s">
        <v>512</v>
      </c>
      <c r="G17" s="147" t="s">
        <v>512</v>
      </c>
      <c r="H17" s="138"/>
    </row>
    <row r="18" spans="3:9">
      <c r="C18" s="138"/>
      <c r="D18" s="147" t="s">
        <v>512</v>
      </c>
      <c r="E18" s="377" t="s">
        <v>514</v>
      </c>
      <c r="F18" s="378">
        <v>1</v>
      </c>
      <c r="G18" s="147" t="s">
        <v>512</v>
      </c>
      <c r="H18" s="138"/>
    </row>
    <row r="19" spans="3:9">
      <c r="C19" s="138"/>
      <c r="D19" s="147" t="s">
        <v>512</v>
      </c>
      <c r="E19" s="377" t="s">
        <v>515</v>
      </c>
      <c r="F19" s="378">
        <v>0.19</v>
      </c>
      <c r="G19" s="147" t="s">
        <v>512</v>
      </c>
      <c r="H19" s="138"/>
    </row>
    <row r="20" spans="3:9">
      <c r="C20" s="138"/>
      <c r="D20" s="147" t="s">
        <v>512</v>
      </c>
      <c r="E20" s="148" t="s">
        <v>512</v>
      </c>
      <c r="F20" s="148"/>
      <c r="G20" s="147" t="s">
        <v>512</v>
      </c>
      <c r="H20" s="138"/>
    </row>
    <row r="21" spans="3:9">
      <c r="C21" s="138"/>
      <c r="D21" s="147" t="s">
        <v>512</v>
      </c>
      <c r="E21" s="379" t="s">
        <v>516</v>
      </c>
      <c r="F21" s="380">
        <f>Compras!F27+Compras!F66</f>
        <v>9343.6746970333334</v>
      </c>
      <c r="G21" s="147" t="s">
        <v>512</v>
      </c>
      <c r="H21" s="138"/>
    </row>
    <row r="22" spans="3:9">
      <c r="C22" s="138"/>
      <c r="D22" s="147" t="s">
        <v>512</v>
      </c>
      <c r="E22" s="379" t="s">
        <v>521</v>
      </c>
      <c r="F22" s="380">
        <f>F21*F18</f>
        <v>9343.6746970333334</v>
      </c>
      <c r="G22" s="147" t="s">
        <v>512</v>
      </c>
      <c r="H22" s="138"/>
    </row>
    <row r="23" spans="3:9">
      <c r="C23" s="138"/>
      <c r="D23" s="147" t="s">
        <v>512</v>
      </c>
      <c r="E23" s="379" t="s">
        <v>518</v>
      </c>
      <c r="F23" s="380">
        <f>F21+F22</f>
        <v>18687.349394066667</v>
      </c>
      <c r="G23" s="147" t="s">
        <v>512</v>
      </c>
      <c r="H23" s="138"/>
    </row>
    <row r="24" spans="3:9">
      <c r="C24" s="138"/>
      <c r="D24" s="147" t="s">
        <v>512</v>
      </c>
      <c r="E24" s="379" t="s">
        <v>519</v>
      </c>
      <c r="F24" s="381">
        <f>F23*(1+F19)</f>
        <v>22237.945778939331</v>
      </c>
      <c r="G24" s="147" t="s">
        <v>512</v>
      </c>
      <c r="H24" s="138"/>
      <c r="I24" s="117"/>
    </row>
    <row r="25" spans="3:9">
      <c r="C25" s="138"/>
      <c r="D25" s="147" t="s">
        <v>512</v>
      </c>
      <c r="E25" s="149" t="s">
        <v>512</v>
      </c>
      <c r="F25" s="149" t="s">
        <v>512</v>
      </c>
      <c r="G25" s="147" t="s">
        <v>512</v>
      </c>
      <c r="H25" s="138"/>
    </row>
    <row r="26" spans="3:9">
      <c r="C26" s="138"/>
      <c r="D26" s="147" t="s">
        <v>512</v>
      </c>
      <c r="E26" s="147" t="s">
        <v>512</v>
      </c>
      <c r="F26" s="147" t="s">
        <v>512</v>
      </c>
      <c r="G26" s="147" t="s">
        <v>512</v>
      </c>
      <c r="H26" s="382"/>
    </row>
    <row r="27" spans="3:9">
      <c r="C27" s="138"/>
      <c r="D27" s="147" t="s">
        <v>512</v>
      </c>
      <c r="E27" s="147" t="s">
        <v>512</v>
      </c>
      <c r="F27" s="147" t="s">
        <v>512</v>
      </c>
      <c r="G27" s="147" t="s">
        <v>512</v>
      </c>
      <c r="H27" s="138"/>
    </row>
    <row r="28" spans="3:9">
      <c r="C28" s="138"/>
      <c r="D28" s="147" t="s">
        <v>512</v>
      </c>
      <c r="E28" s="147" t="s">
        <v>512</v>
      </c>
      <c r="F28" s="147" t="s">
        <v>512</v>
      </c>
      <c r="G28" s="147" t="s">
        <v>512</v>
      </c>
      <c r="H28" s="138"/>
    </row>
    <row r="29" spans="3:9">
      <c r="D29" s="138"/>
      <c r="E29" s="138"/>
      <c r="F29" s="138"/>
      <c r="G29" s="13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I1000"/>
  <sheetViews>
    <sheetView workbookViewId="0">
      <selection activeCell="B11" sqref="B11"/>
    </sheetView>
  </sheetViews>
  <sheetFormatPr defaultColWidth="14.42578125" defaultRowHeight="15" customHeight="1"/>
  <cols>
    <col min="1" max="1" width="15.28515625" customWidth="1"/>
    <col min="2" max="2" width="10.7109375" customWidth="1"/>
    <col min="3" max="3" width="17" customWidth="1"/>
    <col min="4" max="4" width="11.42578125" customWidth="1"/>
    <col min="5" max="8" width="10.7109375" customWidth="1"/>
    <col min="9" max="9" width="11.140625" customWidth="1"/>
    <col min="10" max="26" width="10.7109375" customWidth="1"/>
  </cols>
  <sheetData>
    <row r="1" spans="1:9" ht="15.75">
      <c r="A1" s="416" t="s">
        <v>17</v>
      </c>
      <c r="B1" s="439"/>
      <c r="C1" s="439"/>
      <c r="D1" s="439"/>
      <c r="E1" s="440"/>
    </row>
    <row r="2" spans="1:9" ht="15.75">
      <c r="A2" s="417" t="s">
        <v>18</v>
      </c>
      <c r="B2" s="439"/>
      <c r="C2" s="440"/>
      <c r="D2" s="10" t="s">
        <v>19</v>
      </c>
      <c r="E2" s="11">
        <f>E3*(1+E4)^E5</f>
        <v>32092.400845618857</v>
      </c>
    </row>
    <row r="3" spans="1:9" ht="15.75">
      <c r="A3" s="418" t="s">
        <v>20</v>
      </c>
      <c r="B3" s="439"/>
      <c r="C3" s="440"/>
      <c r="D3" s="10" t="s">
        <v>21</v>
      </c>
      <c r="E3" s="11">
        <f>'Estimacion de la demanda'!H10</f>
        <v>21841.548768000001</v>
      </c>
    </row>
    <row r="4" spans="1:9" ht="15.75">
      <c r="A4" s="418" t="s">
        <v>22</v>
      </c>
      <c r="B4" s="439"/>
      <c r="C4" s="440"/>
      <c r="D4" s="10" t="s">
        <v>23</v>
      </c>
      <c r="E4" s="12">
        <v>0.08</v>
      </c>
    </row>
    <row r="5" spans="1:9" ht="15.75">
      <c r="A5" s="418" t="s">
        <v>24</v>
      </c>
      <c r="B5" s="439"/>
      <c r="C5" s="440"/>
      <c r="D5" s="10" t="s">
        <v>25</v>
      </c>
      <c r="E5" s="10">
        <v>5</v>
      </c>
    </row>
    <row r="7" spans="1:9" ht="15.75">
      <c r="A7" s="416" t="s">
        <v>26</v>
      </c>
      <c r="B7" s="439"/>
      <c r="C7" s="439"/>
      <c r="D7" s="439"/>
      <c r="E7" s="439"/>
      <c r="F7" s="440"/>
    </row>
    <row r="8" spans="1:9" ht="15.75">
      <c r="A8" s="386"/>
      <c r="B8" s="387" t="s">
        <v>27</v>
      </c>
      <c r="C8" s="387" t="s">
        <v>28</v>
      </c>
      <c r="D8" s="387" t="s">
        <v>29</v>
      </c>
      <c r="E8" s="387" t="s">
        <v>30</v>
      </c>
      <c r="F8" s="387" t="s">
        <v>31</v>
      </c>
    </row>
    <row r="9" spans="1:9" ht="31.5">
      <c r="A9" s="388" t="s">
        <v>32</v>
      </c>
      <c r="B9" s="389">
        <f>$E$2</f>
        <v>32092.400845618857</v>
      </c>
      <c r="C9" s="389">
        <f t="shared" ref="C9:F9" si="0">$E$2</f>
        <v>32092.400845618857</v>
      </c>
      <c r="D9" s="389">
        <f t="shared" si="0"/>
        <v>32092.400845618857</v>
      </c>
      <c r="E9" s="389">
        <f t="shared" si="0"/>
        <v>32092.400845618857</v>
      </c>
      <c r="F9" s="389">
        <f t="shared" si="0"/>
        <v>32092.400845618857</v>
      </c>
    </row>
    <row r="10" spans="1:9" ht="31.5">
      <c r="A10" s="390" t="s">
        <v>33</v>
      </c>
      <c r="B10" s="391">
        <f>B9*0.95</f>
        <v>30487.780803337911</v>
      </c>
      <c r="C10" s="391">
        <f>C9*0.95</f>
        <v>30487.780803337911</v>
      </c>
      <c r="D10" s="391">
        <f t="shared" ref="D10:F10" si="1">D9*0.95</f>
        <v>30487.780803337911</v>
      </c>
      <c r="E10" s="391">
        <f t="shared" si="1"/>
        <v>30487.780803337911</v>
      </c>
      <c r="F10" s="391">
        <f t="shared" si="1"/>
        <v>30487.780803337911</v>
      </c>
      <c r="G10" s="153" t="s">
        <v>34</v>
      </c>
      <c r="H10" s="45"/>
      <c r="I10" s="45"/>
    </row>
    <row r="11" spans="1:9" ht="15.75">
      <c r="A11" s="388" t="s">
        <v>35</v>
      </c>
      <c r="B11" s="392">
        <f ca="1">(B10*B12)</f>
        <v>24739.3572241984</v>
      </c>
      <c r="C11" s="392">
        <f t="shared" ref="C11:F11" ca="1" si="2">(C10*C12)</f>
        <v>25277.169337767955</v>
      </c>
      <c r="D11" s="392">
        <f t="shared" ca="1" si="2"/>
        <v>25814.981451337488</v>
      </c>
      <c r="E11" s="392">
        <f t="shared" ca="1" si="2"/>
        <v>26352.793564907017</v>
      </c>
      <c r="F11" s="392">
        <f t="shared" ca="1" si="2"/>
        <v>26890.60567847655</v>
      </c>
      <c r="G11" s="153" t="s">
        <v>36</v>
      </c>
      <c r="H11" s="45"/>
      <c r="I11" s="45"/>
    </row>
    <row r="12" spans="1:9" ht="15.75">
      <c r="A12" s="393" t="s">
        <v>37</v>
      </c>
      <c r="B12" s="394">
        <f ca="1">B11/B5</f>
        <v>0.81145155771684918</v>
      </c>
      <c r="C12" s="394">
        <f ca="1">C11/C5</f>
        <v>0.82909180897156409</v>
      </c>
      <c r="D12" s="394">
        <f t="shared" ref="D12" ca="1" si="3">D11/D5</f>
        <v>0.84673206022627834</v>
      </c>
      <c r="E12" s="394">
        <f t="shared" ref="E12" ca="1" si="4">E11/E5</f>
        <v>0.86437231148099236</v>
      </c>
      <c r="F12" s="394">
        <f t="shared" ref="F12" ca="1" si="5">F11/F5</f>
        <v>0.88201256273570661</v>
      </c>
      <c r="G12" s="153" t="s">
        <v>38</v>
      </c>
      <c r="H12" s="45"/>
      <c r="I12" s="45"/>
    </row>
    <row r="13" spans="1:9" ht="15" customHeight="1">
      <c r="B13" s="138"/>
      <c r="C13" s="138"/>
      <c r="D13" s="138"/>
      <c r="E13" s="138"/>
      <c r="F13" s="138"/>
    </row>
    <row r="14" spans="1:9" ht="15" customHeight="1">
      <c r="B14" s="384">
        <f>24739/28183</f>
        <v>0.87779867295887593</v>
      </c>
    </row>
    <row r="16" spans="1:9" ht="15" customHeight="1">
      <c r="B16" s="385">
        <v>24739.3572241984</v>
      </c>
      <c r="C16" s="385">
        <v>25277.169337767955</v>
      </c>
      <c r="D16" s="385">
        <v>25814.981451337488</v>
      </c>
      <c r="E16" s="385">
        <v>26352.793564907017</v>
      </c>
      <c r="F16" s="385">
        <v>26890.60567847655</v>
      </c>
    </row>
    <row r="17" spans="2:6" ht="15" customHeight="1">
      <c r="B17" s="383">
        <f>B16/B10</f>
        <v>0.81145155771684918</v>
      </c>
      <c r="C17" s="383">
        <f>C16/C10</f>
        <v>0.82909180897156409</v>
      </c>
      <c r="D17" s="383">
        <f t="shared" ref="D17:F17" si="6">D16/D10</f>
        <v>0.84673206022627834</v>
      </c>
      <c r="E17" s="383">
        <f t="shared" si="6"/>
        <v>0.86437231148099236</v>
      </c>
      <c r="F17" s="383">
        <f t="shared" si="6"/>
        <v>0.88201256273570661</v>
      </c>
    </row>
    <row r="21" spans="2:6" ht="15.75" customHeight="1"/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:F7"/>
    <mergeCell ref="A1:E1"/>
    <mergeCell ref="A2:C2"/>
    <mergeCell ref="A3:C3"/>
    <mergeCell ref="A4:C4"/>
    <mergeCell ref="A5:C5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Z986"/>
  <sheetViews>
    <sheetView showGridLines="0" topLeftCell="C1" workbookViewId="0">
      <selection activeCell="F45" sqref="F45"/>
    </sheetView>
  </sheetViews>
  <sheetFormatPr defaultColWidth="14.42578125" defaultRowHeight="15" customHeight="1"/>
  <cols>
    <col min="1" max="1" width="29.140625" customWidth="1"/>
    <col min="2" max="2" width="28.140625" customWidth="1"/>
    <col min="3" max="3" width="15.5703125" customWidth="1"/>
    <col min="4" max="4" width="11.7109375" customWidth="1"/>
    <col min="5" max="5" width="21.85546875" customWidth="1"/>
    <col min="6" max="6" width="23.140625" customWidth="1"/>
    <col min="7" max="7" width="12.85546875" customWidth="1"/>
    <col min="8" max="8" width="22.85546875" customWidth="1"/>
    <col min="9" max="9" width="9.140625" customWidth="1"/>
    <col min="10" max="10" width="19.7109375" customWidth="1"/>
    <col min="11" max="11" width="14.140625" bestFit="1" customWidth="1"/>
    <col min="12" max="12" width="13.28515625" customWidth="1"/>
    <col min="13" max="13" width="15.42578125" customWidth="1"/>
    <col min="14" max="26" width="9.140625" customWidth="1"/>
  </cols>
  <sheetData>
    <row r="1" spans="1:26" ht="15.75">
      <c r="A1" s="140"/>
      <c r="B1" s="140"/>
      <c r="C1" s="419" t="s">
        <v>17</v>
      </c>
      <c r="D1" s="441"/>
      <c r="E1" s="441"/>
      <c r="F1" s="441"/>
      <c r="G1" s="442"/>
      <c r="H1" s="140"/>
      <c r="I1" s="420" t="s">
        <v>39</v>
      </c>
      <c r="J1" s="443"/>
      <c r="K1" s="156" t="s">
        <v>40</v>
      </c>
      <c r="L1" s="156" t="s">
        <v>41</v>
      </c>
      <c r="M1" s="156" t="s">
        <v>42</v>
      </c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57"/>
      <c r="B2" s="158" t="s">
        <v>43</v>
      </c>
      <c r="C2" s="159" t="s">
        <v>18</v>
      </c>
      <c r="D2" s="160"/>
      <c r="E2" s="160"/>
      <c r="F2" s="160" t="s">
        <v>19</v>
      </c>
      <c r="G2" s="413">
        <v>24000</v>
      </c>
      <c r="H2" s="140"/>
      <c r="I2" s="161">
        <v>0.6</v>
      </c>
      <c r="J2" s="162" t="s">
        <v>44</v>
      </c>
      <c r="K2" s="163">
        <f>+PRECIOS!F13</f>
        <v>31841.739701045397</v>
      </c>
      <c r="L2" s="164">
        <f>G2*I2</f>
        <v>14400</v>
      </c>
      <c r="M2" s="164">
        <f>(L2/12)</f>
        <v>1200</v>
      </c>
      <c r="N2" s="13"/>
      <c r="O2" s="51">
        <v>1237</v>
      </c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40"/>
      <c r="B3" s="158"/>
      <c r="C3" s="159" t="s">
        <v>20</v>
      </c>
      <c r="D3" s="160"/>
      <c r="E3" s="160"/>
      <c r="F3" s="160" t="s">
        <v>21</v>
      </c>
      <c r="G3" s="165">
        <f>'Estimacion de la demanda'!H10</f>
        <v>21841.548768000001</v>
      </c>
      <c r="H3" s="140"/>
      <c r="I3" s="166">
        <v>0.4</v>
      </c>
      <c r="J3" s="167" t="s">
        <v>45</v>
      </c>
      <c r="K3" s="168">
        <f>+PRECIOS!F24/12</f>
        <v>1853.1621482449443</v>
      </c>
      <c r="L3" s="169">
        <f>G2*I3</f>
        <v>9600</v>
      </c>
      <c r="M3" s="169">
        <f>(L3/12)</f>
        <v>800</v>
      </c>
      <c r="N3" s="13"/>
      <c r="O3" s="13">
        <v>825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40"/>
      <c r="B4" s="140"/>
      <c r="C4" s="159" t="s">
        <v>22</v>
      </c>
      <c r="D4" s="160"/>
      <c r="E4" s="160"/>
      <c r="F4" s="160" t="s">
        <v>23</v>
      </c>
      <c r="G4" s="170">
        <v>0.08</v>
      </c>
      <c r="H4" s="140"/>
      <c r="I4" s="171"/>
      <c r="J4" s="172"/>
      <c r="K4" s="173"/>
      <c r="L4" s="174"/>
      <c r="M4" s="174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>
      <c r="A5" s="140"/>
      <c r="B5" s="140" t="s">
        <v>46</v>
      </c>
      <c r="C5" s="159" t="s">
        <v>24</v>
      </c>
      <c r="D5" s="160"/>
      <c r="E5" s="160"/>
      <c r="F5" s="160" t="s">
        <v>25</v>
      </c>
      <c r="G5" s="175">
        <v>5</v>
      </c>
      <c r="H5" s="140"/>
      <c r="I5" s="140"/>
      <c r="J5" s="140"/>
      <c r="K5" s="140"/>
      <c r="L5" s="140"/>
      <c r="M5" s="140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40"/>
      <c r="B6" s="140"/>
      <c r="C6" s="140"/>
      <c r="D6" s="140"/>
      <c r="E6" s="140"/>
      <c r="F6" s="140"/>
      <c r="G6" s="140"/>
      <c r="H6" s="176"/>
      <c r="I6" s="140"/>
      <c r="J6" s="140"/>
      <c r="K6" s="140"/>
      <c r="L6" s="140"/>
      <c r="M6" s="140"/>
      <c r="N6" s="50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>
      <c r="A7" s="158"/>
      <c r="B7" s="162" t="s">
        <v>44</v>
      </c>
      <c r="C7" s="144">
        <f>+M2</f>
        <v>1200</v>
      </c>
      <c r="D7" s="158"/>
      <c r="E7" s="158"/>
      <c r="F7" s="158"/>
      <c r="G7" s="158"/>
      <c r="H7" s="177"/>
      <c r="I7" s="140"/>
      <c r="J7" s="140"/>
      <c r="K7" s="140"/>
      <c r="L7" s="140"/>
      <c r="M7" s="140"/>
      <c r="N7" s="51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31.5" customHeight="1">
      <c r="A8" s="68" t="s">
        <v>47</v>
      </c>
      <c r="B8" s="140" t="s">
        <v>48</v>
      </c>
      <c r="C8" s="178" t="s">
        <v>49</v>
      </c>
      <c r="D8" s="154" t="s">
        <v>50</v>
      </c>
      <c r="E8" s="154" t="s">
        <v>40</v>
      </c>
      <c r="F8" s="154" t="s">
        <v>51</v>
      </c>
      <c r="G8" s="140"/>
      <c r="H8" s="140"/>
      <c r="I8" s="176"/>
      <c r="J8" s="176"/>
      <c r="K8" s="176"/>
      <c r="L8" s="176"/>
      <c r="M8" s="17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79" t="s">
        <v>52</v>
      </c>
      <c r="B9" s="140" t="s">
        <v>53</v>
      </c>
      <c r="C9" s="180">
        <v>0.64212691636632602</v>
      </c>
      <c r="D9" s="188">
        <f>C$7*Table_1[[#This Row],[Ocupación]]</f>
        <v>770.55229963959118</v>
      </c>
      <c r="E9" s="181">
        <f>K$2</f>
        <v>31841.739701045397</v>
      </c>
      <c r="F9" s="181">
        <f t="shared" ref="F9:F19" si="0">D9*E9</f>
        <v>24535725.7511658</v>
      </c>
      <c r="G9" s="276">
        <f>3000000/17000000</f>
        <v>0.17647058823529413</v>
      </c>
      <c r="H9" s="140"/>
      <c r="I9" s="140"/>
      <c r="J9" s="140"/>
      <c r="K9" s="140"/>
      <c r="L9" s="140"/>
      <c r="M9" s="140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79" t="s">
        <v>54</v>
      </c>
      <c r="B10" s="140" t="s">
        <v>55</v>
      </c>
      <c r="C10" s="180">
        <v>0.82110459927918256</v>
      </c>
      <c r="D10" s="188">
        <f>C$7*Table_1[[#This Row],[Ocupación]]</f>
        <v>985.32551913501902</v>
      </c>
      <c r="E10" s="181">
        <f t="shared" ref="E10:E20" si="1">K$2</f>
        <v>31841.739701045397</v>
      </c>
      <c r="F10" s="181">
        <f t="shared" si="0"/>
        <v>31374478.701094702</v>
      </c>
      <c r="G10" s="140"/>
      <c r="H10" s="140"/>
      <c r="I10" s="182" t="s">
        <v>54</v>
      </c>
      <c r="J10" s="183" t="s">
        <v>56</v>
      </c>
      <c r="K10" s="140"/>
      <c r="L10" s="140"/>
      <c r="M10" s="140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79" t="s">
        <v>54</v>
      </c>
      <c r="B11" s="140" t="s">
        <v>57</v>
      </c>
      <c r="C11" s="180">
        <v>0.92952998255244801</v>
      </c>
      <c r="D11" s="188">
        <f>C$7*Table_1[[#This Row],[Ocupación]]</f>
        <v>1115.4359790629376</v>
      </c>
      <c r="E11" s="181">
        <f t="shared" si="1"/>
        <v>31841.739701045397</v>
      </c>
      <c r="F11" s="181">
        <f t="shared" si="0"/>
        <v>35517422.098502785</v>
      </c>
      <c r="G11" s="140"/>
      <c r="H11" s="140"/>
      <c r="I11" s="182" t="s">
        <v>58</v>
      </c>
      <c r="J11" s="184" t="s">
        <v>59</v>
      </c>
      <c r="K11" s="140"/>
      <c r="L11" s="140"/>
      <c r="M11" s="140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79" t="s">
        <v>54</v>
      </c>
      <c r="B12" s="140" t="s">
        <v>60</v>
      </c>
      <c r="C12" s="180">
        <v>0.90321505920710088</v>
      </c>
      <c r="D12" s="188">
        <f>C$7*Table_1[[#This Row],[Ocupación]]</f>
        <v>1083.858071048521</v>
      </c>
      <c r="E12" s="181">
        <f t="shared" si="1"/>
        <v>31841.739701045397</v>
      </c>
      <c r="F12" s="181">
        <f t="shared" si="0"/>
        <v>34511926.571204171</v>
      </c>
      <c r="G12" s="140"/>
      <c r="H12" s="140"/>
      <c r="I12" s="182" t="s">
        <v>61</v>
      </c>
      <c r="J12" s="185" t="s">
        <v>62</v>
      </c>
      <c r="K12" s="140"/>
      <c r="L12" s="140"/>
      <c r="M12" s="140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79" t="s">
        <v>54</v>
      </c>
      <c r="B13" s="140" t="s">
        <v>63</v>
      </c>
      <c r="C13" s="180">
        <v>0.95795536582571295</v>
      </c>
      <c r="D13" s="188">
        <f>C$7*Table_1[[#This Row],[Ocupación]]</f>
        <v>1149.5464389908554</v>
      </c>
      <c r="E13" s="181">
        <f t="shared" si="1"/>
        <v>31841.739701045397</v>
      </c>
      <c r="F13" s="181">
        <f t="shared" si="0"/>
        <v>36603558.484610483</v>
      </c>
      <c r="G13" s="140"/>
      <c r="H13" s="140"/>
      <c r="I13" s="140"/>
      <c r="J13" s="140"/>
      <c r="K13" s="140"/>
      <c r="L13" s="140"/>
      <c r="M13" s="140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79" t="s">
        <v>52</v>
      </c>
      <c r="B14" s="140" t="s">
        <v>64</v>
      </c>
      <c r="C14" s="180">
        <v>0.756883679423346</v>
      </c>
      <c r="D14" s="188">
        <f>C$7*Table_1[[#This Row],[Ocupación]]</f>
        <v>908.26041530801524</v>
      </c>
      <c r="E14" s="181">
        <f t="shared" si="1"/>
        <v>31841.739701045397</v>
      </c>
      <c r="F14" s="181">
        <f t="shared" si="0"/>
        <v>28920591.725001208</v>
      </c>
      <c r="G14" s="140"/>
      <c r="H14" s="140"/>
      <c r="I14" s="140"/>
      <c r="J14" s="140"/>
      <c r="K14" s="140"/>
      <c r="L14" s="140"/>
      <c r="M14" s="140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79" t="s">
        <v>52</v>
      </c>
      <c r="B15" s="140" t="s">
        <v>65</v>
      </c>
      <c r="C15" s="180">
        <v>0.80898591113205998</v>
      </c>
      <c r="D15" s="188">
        <f>C$7*Table_1[[#This Row],[Ocupación]]</f>
        <v>970.783093358472</v>
      </c>
      <c r="E15" s="181">
        <f t="shared" si="1"/>
        <v>31841.739701045397</v>
      </c>
      <c r="F15" s="181">
        <f t="shared" si="0"/>
        <v>30911422.564896118</v>
      </c>
      <c r="G15" s="140"/>
      <c r="H15" s="140"/>
      <c r="I15" s="140"/>
      <c r="J15" s="140"/>
      <c r="K15" s="140"/>
      <c r="L15" s="140"/>
      <c r="M15" s="140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79" t="s">
        <v>52</v>
      </c>
      <c r="B16" s="140" t="s">
        <v>66</v>
      </c>
      <c r="C16" s="180">
        <v>0.86108814284077495</v>
      </c>
      <c r="D16" s="188">
        <f>C$7*Table_1[[#This Row],[Ocupación]]</f>
        <v>1033.30577140893</v>
      </c>
      <c r="E16" s="181">
        <f t="shared" si="1"/>
        <v>31841.739701045397</v>
      </c>
      <c r="F16" s="181">
        <f t="shared" si="0"/>
        <v>32902253.404791068</v>
      </c>
      <c r="G16" s="140"/>
      <c r="H16" s="140"/>
      <c r="I16" s="140"/>
      <c r="J16" s="140"/>
      <c r="K16" s="140"/>
      <c r="L16" s="140"/>
      <c r="M16" s="140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79" t="s">
        <v>54</v>
      </c>
      <c r="B17" s="140" t="s">
        <v>67</v>
      </c>
      <c r="C17" s="180">
        <v>0.95952998255244804</v>
      </c>
      <c r="D17" s="188">
        <f>C$7*Table_1[[#This Row],[Ocupación]]</f>
        <v>1151.4359790629376</v>
      </c>
      <c r="E17" s="181">
        <f t="shared" si="1"/>
        <v>31841.739701045397</v>
      </c>
      <c r="F17" s="181">
        <f t="shared" si="0"/>
        <v>36663724.727740414</v>
      </c>
      <c r="G17" s="140"/>
      <c r="H17" s="140"/>
      <c r="I17" s="140"/>
      <c r="J17" s="140"/>
      <c r="K17" s="140"/>
      <c r="L17" s="140"/>
      <c r="M17" s="140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79" t="s">
        <v>54</v>
      </c>
      <c r="B18" s="140" t="s">
        <v>68</v>
      </c>
      <c r="C18" s="180">
        <v>0.83478967593383557</v>
      </c>
      <c r="D18" s="188">
        <f>C$7*Table_1[[#This Row],[Ocupación]]</f>
        <v>1001.7476111206026</v>
      </c>
      <c r="E18" s="181">
        <f t="shared" si="1"/>
        <v>31841.739701045397</v>
      </c>
      <c r="F18" s="181">
        <f t="shared" si="0"/>
        <v>31897386.67944628</v>
      </c>
      <c r="G18" s="140"/>
      <c r="H18" s="140"/>
      <c r="I18" s="140"/>
      <c r="J18" s="140"/>
      <c r="K18" s="140"/>
      <c r="L18" s="140"/>
      <c r="M18" s="140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>
      <c r="A19" s="179" t="s">
        <v>54</v>
      </c>
      <c r="B19" s="140" t="s">
        <v>69</v>
      </c>
      <c r="C19" s="180">
        <v>0.95795536582571295</v>
      </c>
      <c r="D19" s="188">
        <f>C$7*Table_1[[#This Row],[Ocupación]]</f>
        <v>1149.5464389908554</v>
      </c>
      <c r="E19" s="181">
        <f t="shared" si="1"/>
        <v>31841.739701045397</v>
      </c>
      <c r="F19" s="181">
        <f t="shared" si="0"/>
        <v>36603558.484610483</v>
      </c>
      <c r="G19" s="140"/>
      <c r="H19" s="140"/>
      <c r="I19" s="140"/>
      <c r="J19" s="140"/>
      <c r="K19" s="140"/>
      <c r="L19" s="140"/>
      <c r="M19" s="140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>
      <c r="A20" s="179" t="s">
        <v>54</v>
      </c>
      <c r="B20" s="140" t="s">
        <v>70</v>
      </c>
      <c r="C20" s="186">
        <v>0.99969484962240474</v>
      </c>
      <c r="D20" s="188">
        <f>C$7*Table_1[[#This Row],[Ocupación]]</f>
        <v>1199.6338195468857</v>
      </c>
      <c r="E20" s="181">
        <f t="shared" si="1"/>
        <v>31841.739701045397</v>
      </c>
      <c r="F20" s="181">
        <f>Table_1[[#This Row],[Precio]]*Table_1[[#This Row],[Unidades]]</f>
        <v>38198427.818582796</v>
      </c>
      <c r="G20" s="140"/>
      <c r="H20" s="140"/>
      <c r="I20" s="140"/>
      <c r="J20" s="140"/>
      <c r="K20" s="140"/>
      <c r="L20" s="140"/>
      <c r="M20" s="140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40"/>
      <c r="B21" s="140" t="s">
        <v>51</v>
      </c>
      <c r="C21" s="143"/>
      <c r="D21" s="143"/>
      <c r="E21" s="143"/>
      <c r="F21" s="181">
        <f>SUM(F9:F20)</f>
        <v>398640477.01164627</v>
      </c>
      <c r="G21" s="140"/>
      <c r="H21" s="140"/>
      <c r="I21" s="140"/>
      <c r="J21" s="140"/>
      <c r="K21" s="140"/>
      <c r="L21" s="140"/>
      <c r="M21" s="140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40"/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40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58"/>
      <c r="B24" s="159" t="s">
        <v>45</v>
      </c>
      <c r="C24" s="144">
        <f>+M3</f>
        <v>800</v>
      </c>
      <c r="D24" s="158"/>
      <c r="E24" s="158"/>
      <c r="F24" s="158"/>
      <c r="G24" s="140"/>
      <c r="H24" s="140"/>
      <c r="I24" s="140"/>
      <c r="J24" s="140"/>
      <c r="K24" s="140"/>
      <c r="L24" s="140"/>
      <c r="M24" s="140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68" t="s">
        <v>71</v>
      </c>
      <c r="B25" s="140" t="s">
        <v>48</v>
      </c>
      <c r="C25" s="178" t="s">
        <v>49</v>
      </c>
      <c r="D25" s="154" t="s">
        <v>50</v>
      </c>
      <c r="E25" s="154" t="s">
        <v>40</v>
      </c>
      <c r="F25" s="154" t="s">
        <v>51</v>
      </c>
      <c r="G25" s="140"/>
      <c r="H25" s="140"/>
      <c r="I25" s="140"/>
      <c r="J25" s="140"/>
      <c r="K25" s="140"/>
      <c r="L25" s="140"/>
      <c r="M25" s="140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79" t="s">
        <v>54</v>
      </c>
      <c r="B26" s="140" t="s">
        <v>53</v>
      </c>
      <c r="C26" s="187">
        <v>0.61580000000000001</v>
      </c>
      <c r="D26" s="188">
        <f t="shared" ref="D26:D37" si="2">C$24*C26</f>
        <v>492.64</v>
      </c>
      <c r="E26" s="181">
        <f>+K3</f>
        <v>1853.1621482449443</v>
      </c>
      <c r="F26" s="181">
        <f>D26*E26</f>
        <v>912941.8007113894</v>
      </c>
      <c r="G26" s="140"/>
      <c r="H26" s="187"/>
      <c r="I26" s="140"/>
      <c r="J26" s="140"/>
      <c r="K26" s="140"/>
      <c r="L26" s="140"/>
      <c r="M26" s="18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79" t="s">
        <v>54</v>
      </c>
      <c r="B27" s="140" t="s">
        <v>55</v>
      </c>
      <c r="C27" s="187">
        <v>0.82110000000000005</v>
      </c>
      <c r="D27" s="188">
        <f t="shared" si="2"/>
        <v>656.88</v>
      </c>
      <c r="E27" s="181">
        <f>+E26</f>
        <v>1853.1621482449443</v>
      </c>
      <c r="F27" s="181">
        <f t="shared" ref="F27:F37" si="3">D27*E27</f>
        <v>1217305.151939139</v>
      </c>
      <c r="G27" s="140"/>
      <c r="H27" s="187"/>
      <c r="I27" s="140"/>
      <c r="J27" s="140"/>
      <c r="K27" s="140"/>
      <c r="L27" s="140"/>
      <c r="M27" s="189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79" t="s">
        <v>54</v>
      </c>
      <c r="B28" s="140" t="s">
        <v>57</v>
      </c>
      <c r="C28" s="187">
        <v>0.9032</v>
      </c>
      <c r="D28" s="188">
        <f t="shared" si="2"/>
        <v>722.56</v>
      </c>
      <c r="E28" s="181">
        <f t="shared" ref="E28:E37" si="4">+E27</f>
        <v>1853.1621482449443</v>
      </c>
      <c r="F28" s="181">
        <f t="shared" si="3"/>
        <v>1339020.8418358669</v>
      </c>
      <c r="G28" s="140"/>
      <c r="H28" s="187"/>
      <c r="I28" s="182" t="s">
        <v>54</v>
      </c>
      <c r="J28" s="183" t="s">
        <v>56</v>
      </c>
      <c r="K28" s="140"/>
      <c r="L28" s="140"/>
      <c r="M28" s="140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79" t="s">
        <v>54</v>
      </c>
      <c r="B29" s="140" t="s">
        <v>60</v>
      </c>
      <c r="C29" s="187">
        <v>1</v>
      </c>
      <c r="D29" s="188">
        <f t="shared" si="2"/>
        <v>800</v>
      </c>
      <c r="E29" s="181">
        <f t="shared" si="4"/>
        <v>1853.1621482449443</v>
      </c>
      <c r="F29" s="181">
        <f t="shared" si="3"/>
        <v>1482529.7185959555</v>
      </c>
      <c r="G29" s="140"/>
      <c r="H29" s="187"/>
      <c r="I29" s="182" t="s">
        <v>58</v>
      </c>
      <c r="J29" s="184" t="s">
        <v>59</v>
      </c>
      <c r="K29" s="140"/>
      <c r="L29" s="140"/>
      <c r="M29" s="140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79" t="s">
        <v>52</v>
      </c>
      <c r="B30" s="140" t="s">
        <v>63</v>
      </c>
      <c r="C30" s="187">
        <v>0.76980000000000004</v>
      </c>
      <c r="D30" s="188">
        <f t="shared" si="2"/>
        <v>615.84</v>
      </c>
      <c r="E30" s="181">
        <f t="shared" si="4"/>
        <v>1853.1621482449443</v>
      </c>
      <c r="F30" s="181">
        <f t="shared" si="3"/>
        <v>1141251.3773751666</v>
      </c>
      <c r="G30" s="140"/>
      <c r="H30" s="187"/>
      <c r="I30" s="182" t="s">
        <v>61</v>
      </c>
      <c r="J30" s="185" t="s">
        <v>62</v>
      </c>
      <c r="K30" s="140"/>
      <c r="L30" s="140"/>
      <c r="M30" s="140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79" t="s">
        <v>52</v>
      </c>
      <c r="B31" s="140" t="s">
        <v>64</v>
      </c>
      <c r="C31" s="187">
        <v>0.78</v>
      </c>
      <c r="D31" s="188">
        <f t="shared" si="2"/>
        <v>624</v>
      </c>
      <c r="E31" s="181">
        <f t="shared" si="4"/>
        <v>1853.1621482449443</v>
      </c>
      <c r="F31" s="181">
        <f t="shared" si="3"/>
        <v>1156373.1805048452</v>
      </c>
      <c r="G31" s="140"/>
      <c r="H31" s="187"/>
      <c r="I31" s="140"/>
      <c r="J31" s="140"/>
      <c r="K31" s="140"/>
      <c r="L31" s="140"/>
      <c r="M31" s="140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79" t="s">
        <v>52</v>
      </c>
      <c r="B32" s="140" t="s">
        <v>65</v>
      </c>
      <c r="C32" s="187">
        <v>0.79530000000000001</v>
      </c>
      <c r="D32" s="188">
        <f t="shared" si="2"/>
        <v>636.24</v>
      </c>
      <c r="E32" s="181">
        <f t="shared" si="4"/>
        <v>1853.1621482449443</v>
      </c>
      <c r="F32" s="181">
        <f t="shared" si="3"/>
        <v>1179055.8851993633</v>
      </c>
      <c r="G32" s="140"/>
      <c r="H32" s="187"/>
      <c r="I32" s="140"/>
      <c r="J32" s="140"/>
      <c r="K32" s="140"/>
      <c r="L32" s="140"/>
      <c r="M32" s="140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79" t="s">
        <v>52</v>
      </c>
      <c r="B33" s="140" t="s">
        <v>66</v>
      </c>
      <c r="C33" s="187">
        <v>0.76449999999999996</v>
      </c>
      <c r="D33" s="188">
        <f t="shared" si="2"/>
        <v>611.59999999999991</v>
      </c>
      <c r="E33" s="181">
        <f t="shared" si="4"/>
        <v>1853.1621482449443</v>
      </c>
      <c r="F33" s="181">
        <f t="shared" si="3"/>
        <v>1133393.9698666078</v>
      </c>
      <c r="G33" s="140"/>
      <c r="H33" s="187"/>
      <c r="I33" s="140"/>
      <c r="J33" s="140"/>
      <c r="K33" s="140"/>
      <c r="L33" s="140"/>
      <c r="M33" s="140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79" t="s">
        <v>54</v>
      </c>
      <c r="B34" s="140" t="s">
        <v>67</v>
      </c>
      <c r="C34" s="187">
        <v>0.93400000000000005</v>
      </c>
      <c r="D34" s="188">
        <f t="shared" si="2"/>
        <v>747.2</v>
      </c>
      <c r="E34" s="181">
        <f t="shared" si="4"/>
        <v>1853.1621482449443</v>
      </c>
      <c r="F34" s="181">
        <f t="shared" si="3"/>
        <v>1384682.7571686225</v>
      </c>
      <c r="G34" s="140"/>
      <c r="H34" s="187"/>
      <c r="I34" s="140"/>
      <c r="J34" s="140"/>
      <c r="K34" s="140"/>
      <c r="L34" s="140"/>
      <c r="M34" s="140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79" t="s">
        <v>54</v>
      </c>
      <c r="B35" s="140" t="s">
        <v>68</v>
      </c>
      <c r="C35" s="187">
        <v>0.87239999999999995</v>
      </c>
      <c r="D35" s="188">
        <f t="shared" si="2"/>
        <v>697.92</v>
      </c>
      <c r="E35" s="181">
        <f t="shared" si="4"/>
        <v>1853.1621482449443</v>
      </c>
      <c r="F35" s="181">
        <f t="shared" si="3"/>
        <v>1293358.9265031114</v>
      </c>
      <c r="G35" s="140"/>
      <c r="H35" s="187"/>
      <c r="I35" s="140"/>
      <c r="J35" s="140"/>
      <c r="K35" s="140"/>
      <c r="L35" s="140"/>
      <c r="M35" s="140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79" t="s">
        <v>54</v>
      </c>
      <c r="B36" s="140" t="s">
        <v>69</v>
      </c>
      <c r="C36" s="187">
        <v>0.82110000000000005</v>
      </c>
      <c r="D36" s="188">
        <f t="shared" si="2"/>
        <v>656.88</v>
      </c>
      <c r="E36" s="181">
        <f t="shared" si="4"/>
        <v>1853.1621482449443</v>
      </c>
      <c r="F36" s="181">
        <f t="shared" si="3"/>
        <v>1217305.151939139</v>
      </c>
      <c r="G36" s="140"/>
      <c r="H36" s="187"/>
      <c r="I36" s="140"/>
      <c r="J36" s="140"/>
      <c r="K36" s="140"/>
      <c r="L36" s="140"/>
      <c r="M36" s="140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79" t="s">
        <v>54</v>
      </c>
      <c r="B37" s="140" t="s">
        <v>70</v>
      </c>
      <c r="C37" s="187">
        <v>1</v>
      </c>
      <c r="D37" s="188">
        <f t="shared" si="2"/>
        <v>800</v>
      </c>
      <c r="E37" s="181">
        <f t="shared" si="4"/>
        <v>1853.1621482449443</v>
      </c>
      <c r="F37" s="181">
        <f t="shared" si="3"/>
        <v>1482529.7185959555</v>
      </c>
      <c r="G37" s="140"/>
      <c r="H37" s="187"/>
      <c r="I37" s="140"/>
      <c r="J37" s="140"/>
      <c r="K37" s="140"/>
      <c r="L37" s="140"/>
      <c r="M37" s="140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40"/>
      <c r="B38" s="140" t="s">
        <v>51</v>
      </c>
      <c r="C38" s="155"/>
      <c r="D38" s="155"/>
      <c r="E38" s="155"/>
      <c r="F38" s="181">
        <f>SUM(F26:F37)</f>
        <v>14939748.480235161</v>
      </c>
      <c r="G38" s="140"/>
      <c r="H38" s="140"/>
      <c r="I38" s="140"/>
      <c r="J38" s="140"/>
      <c r="K38" s="140"/>
      <c r="L38" s="140"/>
      <c r="M38" s="140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58"/>
      <c r="B41" s="158"/>
      <c r="C41" s="158"/>
      <c r="D41" s="158"/>
      <c r="E41" s="158"/>
      <c r="F41" s="158"/>
      <c r="G41" s="140"/>
      <c r="H41" s="140"/>
      <c r="I41" s="140"/>
      <c r="J41" s="140"/>
      <c r="K41" s="140"/>
      <c r="L41" s="140"/>
      <c r="M41" s="140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40"/>
      <c r="B45" s="140"/>
      <c r="C45" s="140"/>
      <c r="D45" s="140"/>
      <c r="E45" s="69" t="s">
        <v>72</v>
      </c>
      <c r="F45" s="190">
        <f>(F21+F38)</f>
        <v>413580225.49188143</v>
      </c>
      <c r="G45" s="140"/>
      <c r="H45" s="140"/>
      <c r="I45" s="140"/>
      <c r="J45" s="140"/>
      <c r="K45" s="140"/>
      <c r="L45" s="140"/>
      <c r="M45" s="140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</sheetData>
  <mergeCells count="2">
    <mergeCell ref="C1:G1"/>
    <mergeCell ref="I1:J1"/>
  </mergeCells>
  <pageMargins left="0.7" right="0.7" top="0.75" bottom="0.75" header="0" footer="0"/>
  <pageSetup paperSize="9" orientation="portrait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B2:G1000"/>
  <sheetViews>
    <sheetView showGridLines="0" workbookViewId="0">
      <selection activeCell="C6" sqref="C6"/>
    </sheetView>
  </sheetViews>
  <sheetFormatPr defaultColWidth="14.42578125" defaultRowHeight="15" customHeight="1"/>
  <cols>
    <col min="1" max="1" width="9.140625" customWidth="1"/>
    <col min="2" max="2" width="44.140625" customWidth="1"/>
    <col min="3" max="3" width="18.85546875" customWidth="1"/>
    <col min="4" max="4" width="17.85546875" customWidth="1"/>
    <col min="5" max="5" width="16.7109375" customWidth="1"/>
    <col min="6" max="6" width="23" customWidth="1"/>
    <col min="7" max="7" width="26" customWidth="1"/>
    <col min="8" max="26" width="9.140625" customWidth="1"/>
  </cols>
  <sheetData>
    <row r="2" spans="2:7" ht="15.75">
      <c r="B2" s="191" t="s">
        <v>73</v>
      </c>
      <c r="C2" s="155"/>
      <c r="D2" s="155"/>
      <c r="E2" s="155"/>
      <c r="F2" s="155"/>
      <c r="G2" s="155"/>
    </row>
    <row r="3" spans="2:7" ht="15.75">
      <c r="B3" s="191"/>
      <c r="C3" s="155"/>
      <c r="D3" s="155"/>
      <c r="E3" s="155"/>
      <c r="F3" s="155"/>
      <c r="G3" s="155"/>
    </row>
    <row r="4" spans="2:7" ht="15.75">
      <c r="B4" s="155"/>
      <c r="C4" s="192">
        <v>2024</v>
      </c>
      <c r="D4" s="192">
        <v>2025</v>
      </c>
      <c r="E4" s="192">
        <v>2026</v>
      </c>
      <c r="F4" s="192">
        <v>2027</v>
      </c>
      <c r="G4" s="192">
        <v>2028</v>
      </c>
    </row>
    <row r="5" spans="2:7" ht="15.75">
      <c r="B5" s="191" t="s">
        <v>9</v>
      </c>
      <c r="C5" s="192" t="s">
        <v>27</v>
      </c>
      <c r="D5" s="192" t="s">
        <v>28</v>
      </c>
      <c r="E5" s="192" t="s">
        <v>29</v>
      </c>
      <c r="F5" s="192" t="s">
        <v>30</v>
      </c>
      <c r="G5" s="192" t="s">
        <v>31</v>
      </c>
    </row>
    <row r="6" spans="2:7" ht="27" customHeight="1">
      <c r="B6" s="191" t="s">
        <v>74</v>
      </c>
      <c r="C6" s="181">
        <f>(VentasMes!F45*G11)+VentasMes!F45</f>
        <v>462878988.37051368</v>
      </c>
      <c r="D6" s="181">
        <f>(C6*G12)+C6</f>
        <v>519998255.53543508</v>
      </c>
      <c r="E6" s="181">
        <f>(D6*G13)+D6</f>
        <v>589106023.69609439</v>
      </c>
      <c r="F6" s="181">
        <f>(E6*G14)+E6</f>
        <v>669342264.12350249</v>
      </c>
      <c r="G6" s="181">
        <f>(F6*G15)+F6</f>
        <v>753143915.59176493</v>
      </c>
    </row>
    <row r="7" spans="2:7" ht="15" customHeight="1">
      <c r="B7" s="155"/>
      <c r="C7" s="155"/>
      <c r="D7" s="155"/>
      <c r="E7" s="155"/>
      <c r="F7" s="155"/>
      <c r="G7" s="155"/>
    </row>
    <row r="8" spans="2:7" ht="15" customHeight="1">
      <c r="B8" s="155"/>
      <c r="C8" s="155"/>
      <c r="D8" s="155"/>
      <c r="E8" s="155"/>
      <c r="F8" s="155"/>
      <c r="G8" s="155"/>
    </row>
    <row r="9" spans="2:7" ht="15" customHeight="1">
      <c r="B9" s="155"/>
      <c r="C9" s="155"/>
      <c r="D9" s="155"/>
      <c r="E9" s="155"/>
      <c r="F9" s="155"/>
      <c r="G9" s="155"/>
    </row>
    <row r="10" spans="2:7" ht="15.75">
      <c r="B10" s="193" t="s">
        <v>75</v>
      </c>
      <c r="C10" s="194" t="s">
        <v>76</v>
      </c>
      <c r="D10" s="194" t="s">
        <v>77</v>
      </c>
      <c r="E10" s="194" t="s">
        <v>78</v>
      </c>
      <c r="F10" s="195" t="s">
        <v>79</v>
      </c>
      <c r="G10" s="196" t="s">
        <v>80</v>
      </c>
    </row>
    <row r="11" spans="2:7" ht="15.75">
      <c r="B11" s="197" t="s">
        <v>81</v>
      </c>
      <c r="C11" s="198" cm="1">
        <f t="array" ref="C11">Table_3[Año 1]</f>
        <v>462878988.37051368</v>
      </c>
      <c r="D11" s="199">
        <v>2024</v>
      </c>
      <c r="E11" s="200">
        <f>592%/100</f>
        <v>5.9200000000000003E-2</v>
      </c>
      <c r="F11" s="201">
        <f t="shared" ref="F11:F15" si="0">600%/100</f>
        <v>0.06</v>
      </c>
      <c r="G11" s="202">
        <f t="shared" ref="G11:G15" si="1">(E11+F11)</f>
        <v>0.1192</v>
      </c>
    </row>
    <row r="12" spans="2:7" ht="15.75">
      <c r="B12" s="197" t="s">
        <v>82</v>
      </c>
      <c r="C12" s="198" cm="1">
        <f t="array" ref="C12">Table_3[Año 2]</f>
        <v>519998255.53543508</v>
      </c>
      <c r="D12" s="199">
        <v>2025</v>
      </c>
      <c r="E12" s="200">
        <f>634%/100</f>
        <v>6.3399999999999998E-2</v>
      </c>
      <c r="F12" s="201">
        <f t="shared" si="0"/>
        <v>0.06</v>
      </c>
      <c r="G12" s="202">
        <f t="shared" si="1"/>
        <v>0.1234</v>
      </c>
    </row>
    <row r="13" spans="2:7" ht="15.75">
      <c r="B13" s="197" t="s">
        <v>83</v>
      </c>
      <c r="C13" s="198" cm="1">
        <f t="array" ref="C13">Table_3[Año 3]</f>
        <v>589106023.69609439</v>
      </c>
      <c r="D13" s="199">
        <v>2026</v>
      </c>
      <c r="E13" s="200">
        <f>729%/100</f>
        <v>7.2900000000000006E-2</v>
      </c>
      <c r="F13" s="201">
        <f t="shared" si="0"/>
        <v>0.06</v>
      </c>
      <c r="G13" s="202">
        <f t="shared" si="1"/>
        <v>0.13290000000000002</v>
      </c>
    </row>
    <row r="14" spans="2:7" ht="15.75">
      <c r="B14" s="197" t="s">
        <v>84</v>
      </c>
      <c r="C14" s="198" cm="1">
        <f t="array" ref="C14">Table_3[Año 4]</f>
        <v>669342264.12350249</v>
      </c>
      <c r="D14" s="199">
        <v>2027</v>
      </c>
      <c r="E14" s="200">
        <f>762%/100</f>
        <v>7.6200000000000004E-2</v>
      </c>
      <c r="F14" s="201">
        <f t="shared" si="0"/>
        <v>0.06</v>
      </c>
      <c r="G14" s="202">
        <f t="shared" si="1"/>
        <v>0.13619999999999999</v>
      </c>
    </row>
    <row r="15" spans="2:7" ht="15.75">
      <c r="B15" s="203" t="s">
        <v>85</v>
      </c>
      <c r="C15" s="204" cm="1">
        <f t="array" ref="C15">Table_3[Año 5]</f>
        <v>753143915.59176493</v>
      </c>
      <c r="D15" s="199">
        <v>2028</v>
      </c>
      <c r="E15" s="200">
        <f>652%/100</f>
        <v>6.5199999999999994E-2</v>
      </c>
      <c r="F15" s="201">
        <f t="shared" si="0"/>
        <v>0.06</v>
      </c>
      <c r="G15" s="202">
        <f t="shared" si="1"/>
        <v>0.12519999999999998</v>
      </c>
    </row>
    <row r="18" spans="3:3" ht="15" customHeight="1">
      <c r="C18" s="433"/>
    </row>
    <row r="21" spans="3:3" ht="15.75" customHeight="1"/>
    <row r="22" spans="3:3" ht="15.75" customHeight="1"/>
    <row r="23" spans="3:3" ht="15.75" customHeight="1"/>
    <row r="24" spans="3:3" ht="15.75" customHeight="1"/>
    <row r="25" spans="3:3" ht="15.75" customHeight="1"/>
    <row r="26" spans="3:3" ht="15.75" customHeight="1"/>
    <row r="27" spans="3:3" ht="15.75" customHeight="1"/>
    <row r="28" spans="3:3" ht="15.75" customHeight="1"/>
    <row r="29" spans="3:3" ht="15.75" customHeight="1"/>
    <row r="30" spans="3:3" ht="15.75" customHeight="1"/>
    <row r="31" spans="3:3" ht="15.75" customHeight="1"/>
    <row r="32" spans="3: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drawing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A1000"/>
  <sheetViews>
    <sheetView showGridLines="0" topLeftCell="E11" workbookViewId="0">
      <selection activeCell="J22" sqref="J22"/>
    </sheetView>
  </sheetViews>
  <sheetFormatPr defaultColWidth="14.42578125" defaultRowHeight="15" customHeight="1"/>
  <cols>
    <col min="1" max="1" width="21.28515625" customWidth="1"/>
    <col min="2" max="2" width="20.28515625" customWidth="1"/>
    <col min="3" max="3" width="15.5703125" customWidth="1"/>
    <col min="4" max="4" width="13.85546875" customWidth="1"/>
    <col min="5" max="5" width="15.5703125" customWidth="1"/>
    <col min="6" max="6" width="17.5703125" customWidth="1"/>
    <col min="7" max="7" width="15.5703125" customWidth="1"/>
    <col min="8" max="8" width="15" customWidth="1"/>
    <col min="9" max="9" width="23" customWidth="1"/>
    <col min="10" max="10" width="18.42578125" bestFit="1" customWidth="1"/>
    <col min="11" max="11" width="17" customWidth="1"/>
    <col min="12" max="12" width="11.7109375" customWidth="1"/>
    <col min="13" max="13" width="17" customWidth="1"/>
    <col min="14" max="26" width="9.140625" customWidth="1"/>
  </cols>
  <sheetData>
    <row r="1" spans="1:27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7" ht="15.75">
      <c r="A2" s="140"/>
      <c r="B2" s="158" t="s">
        <v>86</v>
      </c>
      <c r="C2" s="140"/>
      <c r="D2" s="140"/>
      <c r="E2" s="140"/>
      <c r="F2" s="140"/>
      <c r="G2" s="140"/>
      <c r="H2" s="140"/>
      <c r="I2" s="140"/>
      <c r="J2" s="140"/>
      <c r="K2" s="140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7" ht="15.75">
      <c r="A3" s="140"/>
      <c r="B3" s="158" t="s">
        <v>87</v>
      </c>
      <c r="C3" s="140" t="s">
        <v>39</v>
      </c>
      <c r="D3" s="140"/>
      <c r="E3" s="140"/>
      <c r="F3" s="140"/>
      <c r="G3" s="140"/>
      <c r="H3" s="140"/>
      <c r="I3" s="140"/>
      <c r="J3" s="140"/>
      <c r="K3" s="140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7" ht="15.75">
      <c r="A4" s="140"/>
      <c r="B4" s="158"/>
      <c r="C4" s="140"/>
      <c r="D4" s="140"/>
      <c r="E4" s="140"/>
      <c r="F4" s="140"/>
      <c r="G4" s="140"/>
      <c r="H4" s="140"/>
      <c r="I4" s="140"/>
      <c r="J4" s="140"/>
      <c r="K4" s="140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7" ht="31.5">
      <c r="A5" s="140"/>
      <c r="B5" s="154" t="s">
        <v>88</v>
      </c>
      <c r="C5" s="178" t="s">
        <v>89</v>
      </c>
      <c r="D5" s="178" t="s">
        <v>90</v>
      </c>
      <c r="E5" s="178" t="s">
        <v>91</v>
      </c>
      <c r="F5" s="178" t="s">
        <v>92</v>
      </c>
      <c r="G5" s="178" t="s">
        <v>93</v>
      </c>
      <c r="H5" s="178" t="s">
        <v>94</v>
      </c>
      <c r="I5" s="178" t="s">
        <v>95</v>
      </c>
      <c r="J5" s="154" t="s">
        <v>96</v>
      </c>
      <c r="K5" s="140"/>
      <c r="L5" s="27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7" ht="15.75">
      <c r="A6" s="140"/>
      <c r="B6" s="155" t="s">
        <v>97</v>
      </c>
      <c r="C6" s="181">
        <v>2000000</v>
      </c>
      <c r="D6" s="181">
        <v>140606</v>
      </c>
      <c r="E6" s="181">
        <f t="shared" ref="E6:E8" si="0">C6+D6</f>
        <v>2140606</v>
      </c>
      <c r="F6" s="181">
        <f t="shared" ref="F6:F8" si="1">(C6*8%)</f>
        <v>160000</v>
      </c>
      <c r="G6" s="181">
        <f t="shared" ref="G6:G8" si="2">E6-F6</f>
        <v>1980606</v>
      </c>
      <c r="H6" s="190">
        <f t="shared" ref="H6:H8" si="3">(SUM(B17:G17))</f>
        <v>745573.06980000006</v>
      </c>
      <c r="I6" s="181">
        <f t="shared" ref="I6:I8" si="4">(H17+I17)</f>
        <v>96798.203320000001</v>
      </c>
      <c r="J6" s="190">
        <f>Table_5[[#This Row],[Total
Nómina]]+Table_5[[#This Row],[Componente
Prestacional]]+Table_5[[#This Row],[(ARL y CCF)]]</f>
        <v>2822977.27312</v>
      </c>
      <c r="K6" s="140"/>
      <c r="L6" s="27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7" ht="15.75">
      <c r="A7" s="291"/>
      <c r="B7" s="155" t="s">
        <v>98</v>
      </c>
      <c r="C7" s="181">
        <v>1500000</v>
      </c>
      <c r="D7" s="181">
        <v>140606</v>
      </c>
      <c r="E7" s="181">
        <f t="shared" si="0"/>
        <v>1640606</v>
      </c>
      <c r="F7" s="181">
        <f t="shared" si="1"/>
        <v>120000</v>
      </c>
      <c r="G7" s="181">
        <f t="shared" si="2"/>
        <v>1520606</v>
      </c>
      <c r="H7" s="190">
        <f t="shared" si="3"/>
        <v>571423.06980000006</v>
      </c>
      <c r="I7" s="181">
        <f t="shared" si="4"/>
        <v>74188.203320000001</v>
      </c>
      <c r="J7" s="190">
        <f>Table_5[[#This Row],[Total
Nómina]]+Table_5[[#This Row],[Componente
Prestacional]]+Table_5[[#This Row],[(ARL y CCF)]]</f>
        <v>2166217.27312</v>
      </c>
      <c r="K7" s="140"/>
      <c r="L7" s="13"/>
      <c r="M7" s="27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7" ht="15.75">
      <c r="A8" s="140"/>
      <c r="B8" s="155" t="s">
        <v>99</v>
      </c>
      <c r="C8" s="181">
        <v>1200000</v>
      </c>
      <c r="D8" s="181">
        <v>140606</v>
      </c>
      <c r="E8" s="181">
        <f t="shared" si="0"/>
        <v>1340606</v>
      </c>
      <c r="F8" s="181">
        <f t="shared" si="1"/>
        <v>96000</v>
      </c>
      <c r="G8" s="181">
        <f t="shared" si="2"/>
        <v>1244606</v>
      </c>
      <c r="H8" s="190">
        <f t="shared" si="3"/>
        <v>466933.0698</v>
      </c>
      <c r="I8" s="181">
        <f t="shared" si="4"/>
        <v>60622.203320000001</v>
      </c>
      <c r="J8" s="190">
        <f>Table_5[[#This Row],[Total
Nómina]]+Table_5[[#This Row],[Componente
Prestacional]]+Table_5[[#This Row],[(ARL y CCF)]]</f>
        <v>1772161.27312</v>
      </c>
      <c r="K8" s="140"/>
      <c r="L8" s="13"/>
      <c r="M8" s="27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7" ht="15.75">
      <c r="A9" s="140"/>
      <c r="B9" s="155" t="s">
        <v>100</v>
      </c>
      <c r="C9" s="181">
        <v>1160000</v>
      </c>
      <c r="D9" s="181">
        <v>140606</v>
      </c>
      <c r="E9" s="181">
        <f>C9+D9</f>
        <v>1300606</v>
      </c>
      <c r="F9" s="181">
        <f>(C9*8%)</f>
        <v>92800</v>
      </c>
      <c r="G9" s="181">
        <f>E9-F9</f>
        <v>1207806</v>
      </c>
      <c r="H9" s="190">
        <f>(SUM(B20:G20))</f>
        <v>453001.0698</v>
      </c>
      <c r="I9" s="181">
        <f>(H20+J20)</f>
        <v>65602.566640000005</v>
      </c>
      <c r="J9" s="190">
        <f>Table_5[[#This Row],[Total
Nómina]]+Table_5[[#This Row],[Componente
Prestacional]]+Table_5[[#This Row],[(ARL y CCF)]]</f>
        <v>1726409.63644</v>
      </c>
      <c r="K9" s="140"/>
      <c r="L9" s="27"/>
      <c r="M9" s="27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7" ht="15.75">
      <c r="A10" s="140"/>
      <c r="B10" s="140" t="s">
        <v>101</v>
      </c>
      <c r="C10" s="181">
        <f>C6+C7+C8+(C9*4)</f>
        <v>9340000</v>
      </c>
      <c r="D10" s="155"/>
      <c r="E10" s="155"/>
      <c r="F10" s="155"/>
      <c r="G10" s="155"/>
      <c r="H10" s="205"/>
      <c r="I10" s="205"/>
      <c r="J10" s="155"/>
      <c r="K10" s="140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7" ht="15.75">
      <c r="A11" s="140"/>
      <c r="B11" s="421" t="s">
        <v>102</v>
      </c>
      <c r="C11" s="421"/>
      <c r="D11" s="421"/>
      <c r="E11" s="421"/>
      <c r="F11" s="421"/>
      <c r="G11" s="421"/>
      <c r="H11" s="421"/>
      <c r="I11" s="422"/>
      <c r="J11" s="70">
        <f>SUM(J6:J9)</f>
        <v>8487765.4558000006</v>
      </c>
      <c r="K11" s="140"/>
      <c r="L11" s="13"/>
      <c r="M11" s="116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7" ht="15.75">
      <c r="A12" s="140"/>
      <c r="B12" s="423" t="s">
        <v>103</v>
      </c>
      <c r="C12" s="423"/>
      <c r="D12" s="423"/>
      <c r="E12" s="423"/>
      <c r="F12" s="423"/>
      <c r="G12" s="423"/>
      <c r="H12" s="423"/>
      <c r="I12" s="424"/>
      <c r="J12" s="70">
        <f>J11*3</f>
        <v>25463296.367400002</v>
      </c>
      <c r="K12" s="140"/>
      <c r="L12" s="13"/>
      <c r="M12" s="11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7" ht="15.75">
      <c r="A13" s="140"/>
      <c r="B13" s="423" t="s">
        <v>104</v>
      </c>
      <c r="C13" s="423"/>
      <c r="D13" s="423"/>
      <c r="E13" s="423"/>
      <c r="F13" s="423"/>
      <c r="G13" s="423"/>
      <c r="H13" s="423"/>
      <c r="I13" s="424"/>
      <c r="J13" s="70">
        <f>J11*12</f>
        <v>101853185.46960001</v>
      </c>
      <c r="K13" s="140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7" ht="15.75">
      <c r="A14" s="140"/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7" ht="15.75">
      <c r="A15" s="68" t="s">
        <v>88</v>
      </c>
      <c r="B15" s="154" t="s">
        <v>105</v>
      </c>
      <c r="C15" s="154" t="s">
        <v>106</v>
      </c>
      <c r="D15" s="154" t="s">
        <v>107</v>
      </c>
      <c r="E15" s="154" t="s">
        <v>108</v>
      </c>
      <c r="F15" s="154" t="s">
        <v>109</v>
      </c>
      <c r="G15" s="178" t="s">
        <v>110</v>
      </c>
      <c r="H15" s="154" t="s">
        <v>111</v>
      </c>
      <c r="I15" s="154" t="s">
        <v>112</v>
      </c>
      <c r="J15" s="154" t="s">
        <v>113</v>
      </c>
      <c r="K15" s="154" t="s">
        <v>51</v>
      </c>
      <c r="L15" s="140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5.75">
      <c r="A16" s="206"/>
      <c r="B16" s="207">
        <v>0.03</v>
      </c>
      <c r="C16" s="207">
        <v>0.02</v>
      </c>
      <c r="D16" s="207">
        <v>8.5000000000000006E-2</v>
      </c>
      <c r="E16" s="207">
        <v>0.12</v>
      </c>
      <c r="F16" s="207">
        <v>8.3299999999999999E-2</v>
      </c>
      <c r="G16" s="207">
        <v>0.01</v>
      </c>
      <c r="H16" s="207">
        <v>0.04</v>
      </c>
      <c r="I16" s="207">
        <f>(0.522/100)</f>
        <v>5.2199999999999998E-3</v>
      </c>
      <c r="J16" s="207">
        <v>1.044E-2</v>
      </c>
      <c r="K16" s="154"/>
      <c r="L16" s="140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5.75">
      <c r="A17" s="208" t="s">
        <v>114</v>
      </c>
      <c r="B17" s="181">
        <f>(E6*B16)</f>
        <v>64218.18</v>
      </c>
      <c r="C17" s="181">
        <f>(E6*C16)</f>
        <v>42812.12</v>
      </c>
      <c r="D17" s="181">
        <f>(E6*D16)</f>
        <v>181951.51</v>
      </c>
      <c r="E17" s="181">
        <f>(E6*E16)</f>
        <v>256872.72</v>
      </c>
      <c r="F17" s="181">
        <f>(E6*F16)</f>
        <v>178312.4798</v>
      </c>
      <c r="G17" s="181">
        <f>(E6*G16)</f>
        <v>21406.06</v>
      </c>
      <c r="H17" s="181">
        <f>(E6*H16)</f>
        <v>85624.24</v>
      </c>
      <c r="I17" s="181">
        <f>(E6*I16)</f>
        <v>11173.963319999999</v>
      </c>
      <c r="J17" s="181"/>
      <c r="K17" s="190">
        <f t="shared" ref="K17:K18" si="5">(SUM(B17:I17))</f>
        <v>842371.27312000003</v>
      </c>
      <c r="L17" s="140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5.75">
      <c r="A18" s="206" t="s">
        <v>98</v>
      </c>
      <c r="B18" s="181">
        <f>(E7*B16)</f>
        <v>49218.18</v>
      </c>
      <c r="C18" s="181">
        <f>(E7*C16)</f>
        <v>32812.120000000003</v>
      </c>
      <c r="D18" s="181">
        <f>(E7*D16)</f>
        <v>139451.51</v>
      </c>
      <c r="E18" s="181">
        <f>(E7*E16)</f>
        <v>196872.72</v>
      </c>
      <c r="F18" s="181">
        <f>(E7*F16)</f>
        <v>136662.4798</v>
      </c>
      <c r="G18" s="181">
        <f>(E7*G16)</f>
        <v>16406.060000000001</v>
      </c>
      <c r="H18" s="181">
        <f>(E7*H16)</f>
        <v>65624.240000000005</v>
      </c>
      <c r="I18" s="181">
        <f>(E7*I16)</f>
        <v>8563.9633199999989</v>
      </c>
      <c r="J18" s="181"/>
      <c r="K18" s="190">
        <f t="shared" si="5"/>
        <v>645611.27312000003</v>
      </c>
      <c r="L18" s="140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5.75">
      <c r="A19" s="208" t="s">
        <v>99</v>
      </c>
      <c r="B19" s="181">
        <f>(E8*B16)</f>
        <v>40218.18</v>
      </c>
      <c r="C19" s="181">
        <f>(E8*C16)</f>
        <v>26812.12</v>
      </c>
      <c r="D19" s="181">
        <f>(E8*D16)</f>
        <v>113951.51000000001</v>
      </c>
      <c r="E19" s="181">
        <f>(E8*E16)</f>
        <v>160872.72</v>
      </c>
      <c r="F19" s="181">
        <f>(E8*F16)</f>
        <v>111672.4798</v>
      </c>
      <c r="G19" s="181">
        <f>(E8*G16)</f>
        <v>13406.06</v>
      </c>
      <c r="H19" s="181">
        <f>(E8*H16)</f>
        <v>53624.24</v>
      </c>
      <c r="I19" s="181">
        <f>(E8*I16)</f>
        <v>6997.9633199999998</v>
      </c>
      <c r="J19" s="181"/>
      <c r="K19" s="190">
        <f>(SUM(B19:I19))</f>
        <v>527555.27312000003</v>
      </c>
      <c r="L19" s="140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5.75">
      <c r="A20" s="209" t="s">
        <v>115</v>
      </c>
      <c r="B20" s="181">
        <f>(E9*B16)</f>
        <v>39018.18</v>
      </c>
      <c r="C20" s="181">
        <f>(E9*C16)</f>
        <v>26012.12</v>
      </c>
      <c r="D20" s="181">
        <f>(E9*D16)</f>
        <v>110551.51000000001</v>
      </c>
      <c r="E20" s="181">
        <f>(E9*E16)</f>
        <v>156072.72</v>
      </c>
      <c r="F20" s="181">
        <f>(E9*F16)</f>
        <v>108340.4798</v>
      </c>
      <c r="G20" s="181">
        <f>(E9*G16)</f>
        <v>13006.06</v>
      </c>
      <c r="H20" s="181">
        <f>(E9*H16)</f>
        <v>52024.24</v>
      </c>
      <c r="I20" s="181"/>
      <c r="J20" s="181">
        <f>E9*J16</f>
        <v>13578.326639999999</v>
      </c>
      <c r="K20" s="190">
        <f>(SUM(B20:J20))</f>
        <v>518603.63643999997</v>
      </c>
      <c r="L20" s="140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140"/>
      <c r="B21" s="154" t="s">
        <v>51</v>
      </c>
      <c r="C21" s="140"/>
      <c r="D21" s="140"/>
      <c r="E21" s="140"/>
      <c r="F21" s="140"/>
      <c r="G21" s="140"/>
      <c r="H21" s="140"/>
      <c r="I21" s="140"/>
      <c r="J21" s="140"/>
      <c r="K21" s="142">
        <f>SUBTOTAL(109,Nomina!$K$16:$K$20)</f>
        <v>2534141.4558000001</v>
      </c>
      <c r="L21" s="140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140"/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7" ht="15.75" customHeight="1">
      <c r="A23" s="13"/>
      <c r="B23" s="27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7" ht="15.75" customHeight="1">
      <c r="A24" s="13"/>
      <c r="B24" s="13"/>
      <c r="C24" s="13"/>
      <c r="D24" s="27"/>
      <c r="E24" s="27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7" ht="15.75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7" ht="15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7" ht="15.75" customHeight="1">
      <c r="A27" s="13"/>
      <c r="B27" s="13"/>
      <c r="C27" s="13"/>
      <c r="D27" s="27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7" ht="15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7" ht="15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7" ht="15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7" ht="15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7" ht="15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3">
    <mergeCell ref="B11:I11"/>
    <mergeCell ref="B12:I12"/>
    <mergeCell ref="B13:I13"/>
  </mergeCells>
  <pageMargins left="0.7" right="0.7" top="0.75" bottom="0.75" header="0" footer="0"/>
  <pageSetup orientation="landscape"/>
  <drawing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994"/>
  <sheetViews>
    <sheetView showGridLines="0" topLeftCell="A31" workbookViewId="0">
      <selection activeCell="G5" sqref="G5"/>
    </sheetView>
  </sheetViews>
  <sheetFormatPr defaultColWidth="14.42578125" defaultRowHeight="15" customHeight="1"/>
  <cols>
    <col min="1" max="1" width="11.42578125" customWidth="1"/>
    <col min="2" max="2" width="29.140625" customWidth="1"/>
    <col min="3" max="3" width="70" customWidth="1"/>
    <col min="4" max="4" width="12.5703125" customWidth="1"/>
    <col min="5" max="5" width="16.140625" style="49" bestFit="1" customWidth="1"/>
    <col min="6" max="6" width="16" style="49" customWidth="1"/>
    <col min="7" max="7" width="11.42578125" customWidth="1"/>
    <col min="8" max="8" width="17.28515625" customWidth="1"/>
    <col min="9" max="11" width="11.42578125" customWidth="1"/>
    <col min="12" max="12" width="29.5703125" customWidth="1"/>
    <col min="13" max="26" width="11.42578125" customWidth="1"/>
  </cols>
  <sheetData>
    <row r="1" spans="1:26" ht="15.75">
      <c r="A1" s="140"/>
      <c r="B1" s="210"/>
      <c r="C1" s="210"/>
      <c r="D1" s="142"/>
      <c r="E1" s="211"/>
      <c r="F1" s="211"/>
      <c r="G1" s="140"/>
      <c r="H1" s="140"/>
      <c r="I1" s="140"/>
      <c r="J1" s="140"/>
      <c r="K1" s="140"/>
      <c r="L1" s="140"/>
      <c r="M1" s="13"/>
      <c r="N1" s="13"/>
      <c r="O1" s="13"/>
      <c r="P1" s="13"/>
      <c r="Q1" s="13" t="s">
        <v>116</v>
      </c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40"/>
      <c r="B2" s="212" t="s">
        <v>117</v>
      </c>
      <c r="C2" s="210"/>
      <c r="D2" s="142"/>
      <c r="E2" s="211"/>
      <c r="F2" s="211"/>
      <c r="G2" s="140"/>
      <c r="H2" s="140"/>
      <c r="I2" s="140"/>
      <c r="J2" s="140"/>
      <c r="K2" s="140"/>
      <c r="L2" s="140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40"/>
      <c r="B3" s="212" t="s">
        <v>87</v>
      </c>
      <c r="C3" s="210" t="s">
        <v>39</v>
      </c>
      <c r="D3" s="142"/>
      <c r="E3" s="211"/>
      <c r="F3" s="211"/>
      <c r="G3" s="140"/>
      <c r="H3" s="140"/>
      <c r="I3" s="140"/>
      <c r="J3" s="140"/>
      <c r="K3" s="140"/>
      <c r="L3" s="140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40"/>
      <c r="B4" s="210"/>
      <c r="C4" s="210"/>
      <c r="D4" s="142"/>
      <c r="E4" s="211"/>
      <c r="F4" s="211"/>
      <c r="G4" s="140"/>
      <c r="H4" s="140"/>
      <c r="I4" s="140"/>
      <c r="J4" s="140"/>
      <c r="K4" s="140"/>
      <c r="L4" s="140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1.5">
      <c r="A5" s="140"/>
      <c r="B5" s="210" t="s">
        <v>118</v>
      </c>
      <c r="C5" s="210"/>
      <c r="D5" s="142"/>
      <c r="E5" s="211"/>
      <c r="F5" s="211"/>
      <c r="G5" s="140"/>
      <c r="H5" s="140"/>
      <c r="I5" s="140"/>
      <c r="J5" s="140"/>
      <c r="K5" s="140"/>
      <c r="L5" s="140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40"/>
      <c r="B6" s="210" t="s">
        <v>119</v>
      </c>
      <c r="C6" s="210" t="s">
        <v>120</v>
      </c>
      <c r="D6" s="142" t="s">
        <v>121</v>
      </c>
      <c r="E6" s="211" t="s">
        <v>122</v>
      </c>
      <c r="F6" s="211" t="s">
        <v>96</v>
      </c>
      <c r="G6" s="140"/>
      <c r="H6" s="140"/>
      <c r="I6" s="140"/>
      <c r="J6" s="140"/>
      <c r="K6" s="140"/>
      <c r="L6" s="140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49.5" customHeight="1">
      <c r="A7" s="140"/>
      <c r="B7" s="213" t="s">
        <v>123</v>
      </c>
      <c r="C7" s="214" t="s">
        <v>124</v>
      </c>
      <c r="D7" s="143">
        <v>1</v>
      </c>
      <c r="E7" s="181">
        <v>7421400</v>
      </c>
      <c r="F7" s="181">
        <f t="shared" ref="F7:F24" si="0">E7*D7</f>
        <v>7421400</v>
      </c>
      <c r="G7" s="140"/>
      <c r="H7" s="140"/>
      <c r="I7" s="140"/>
      <c r="J7" s="140"/>
      <c r="K7" s="140"/>
      <c r="L7" s="140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 customHeight="1">
      <c r="A8" s="140"/>
      <c r="B8" s="155" t="s">
        <v>125</v>
      </c>
      <c r="C8" s="155" t="s">
        <v>126</v>
      </c>
      <c r="D8" s="143">
        <v>3</v>
      </c>
      <c r="E8" s="215">
        <v>420000</v>
      </c>
      <c r="F8" s="181">
        <f t="shared" si="0"/>
        <v>1260000</v>
      </c>
      <c r="G8" s="140"/>
      <c r="H8" s="140"/>
      <c r="I8" s="140"/>
      <c r="J8" s="140"/>
      <c r="K8" s="140"/>
      <c r="L8" s="140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40"/>
      <c r="B9" s="155" t="s">
        <v>127</v>
      </c>
      <c r="C9" s="155" t="s">
        <v>128</v>
      </c>
      <c r="D9" s="143">
        <v>1</v>
      </c>
      <c r="E9" s="181">
        <v>3000000</v>
      </c>
      <c r="F9" s="181">
        <f t="shared" si="0"/>
        <v>3000000</v>
      </c>
      <c r="G9" s="140"/>
      <c r="H9" s="140"/>
      <c r="I9" s="140"/>
      <c r="J9" s="140"/>
      <c r="K9" s="140"/>
      <c r="L9" s="140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40"/>
      <c r="B10" s="153" t="s">
        <v>129</v>
      </c>
      <c r="C10" s="153" t="s">
        <v>130</v>
      </c>
      <c r="D10" s="216">
        <v>5</v>
      </c>
      <c r="E10" s="217">
        <v>8000</v>
      </c>
      <c r="F10" s="181">
        <f t="shared" si="0"/>
        <v>40000</v>
      </c>
      <c r="G10" s="140"/>
      <c r="H10" s="140"/>
      <c r="I10" s="140"/>
      <c r="J10" s="140"/>
      <c r="K10" s="140"/>
      <c r="L10" s="140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76"/>
      <c r="B11" s="153" t="s">
        <v>131</v>
      </c>
      <c r="C11" s="153" t="s">
        <v>132</v>
      </c>
      <c r="D11" s="218">
        <v>3</v>
      </c>
      <c r="E11" s="219">
        <v>39900</v>
      </c>
      <c r="F11" s="181">
        <f t="shared" si="0"/>
        <v>119700</v>
      </c>
      <c r="G11" s="140"/>
      <c r="H11" s="140"/>
      <c r="I11" s="140"/>
      <c r="J11" s="140"/>
      <c r="K11" s="140"/>
      <c r="L11" s="140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76"/>
      <c r="B12" s="153" t="s">
        <v>133</v>
      </c>
      <c r="C12" s="153" t="s">
        <v>134</v>
      </c>
      <c r="D12" s="218">
        <v>3</v>
      </c>
      <c r="E12" s="219">
        <v>21900</v>
      </c>
      <c r="F12" s="181">
        <f t="shared" si="0"/>
        <v>65700</v>
      </c>
      <c r="G12" s="140"/>
      <c r="H12" s="140"/>
      <c r="I12" s="140"/>
      <c r="J12" s="140"/>
      <c r="K12" s="140"/>
      <c r="L12" s="140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76"/>
      <c r="B13" s="153" t="s">
        <v>135</v>
      </c>
      <c r="C13" s="153" t="s">
        <v>136</v>
      </c>
      <c r="D13" s="218">
        <v>1</v>
      </c>
      <c r="E13" s="219">
        <v>60000</v>
      </c>
      <c r="F13" s="181">
        <f t="shared" si="0"/>
        <v>60000</v>
      </c>
      <c r="G13" s="140"/>
      <c r="H13" s="140"/>
      <c r="I13" s="140"/>
      <c r="J13" s="140"/>
      <c r="K13" s="140"/>
      <c r="L13" s="140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76"/>
      <c r="B14" s="153" t="s">
        <v>137</v>
      </c>
      <c r="C14" s="153" t="s">
        <v>138</v>
      </c>
      <c r="D14" s="218">
        <v>2</v>
      </c>
      <c r="E14" s="219">
        <v>119900</v>
      </c>
      <c r="F14" s="181">
        <f t="shared" si="0"/>
        <v>239800</v>
      </c>
      <c r="G14" s="140"/>
      <c r="H14" s="140"/>
      <c r="I14" s="140"/>
      <c r="J14" s="140"/>
      <c r="K14" s="140"/>
      <c r="L14" s="140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76"/>
      <c r="B15" s="153" t="s">
        <v>139</v>
      </c>
      <c r="C15" s="153" t="s">
        <v>140</v>
      </c>
      <c r="D15" s="218">
        <v>2</v>
      </c>
      <c r="E15" s="219">
        <v>16900</v>
      </c>
      <c r="F15" s="181">
        <f t="shared" si="0"/>
        <v>33800</v>
      </c>
      <c r="G15" s="140"/>
      <c r="H15" s="140"/>
      <c r="I15" s="140"/>
      <c r="J15" s="140"/>
      <c r="K15" s="140"/>
      <c r="L15" s="140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76"/>
      <c r="B16" s="153" t="s">
        <v>141</v>
      </c>
      <c r="C16" s="153" t="s">
        <v>142</v>
      </c>
      <c r="D16" s="218">
        <v>1</v>
      </c>
      <c r="E16" s="220">
        <v>153000</v>
      </c>
      <c r="F16" s="181">
        <f t="shared" si="0"/>
        <v>153000</v>
      </c>
      <c r="G16" s="140"/>
      <c r="H16" s="140"/>
      <c r="I16" s="140"/>
      <c r="J16" s="140"/>
      <c r="K16" s="140"/>
      <c r="L16" s="140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76"/>
      <c r="B17" s="153" t="s">
        <v>143</v>
      </c>
      <c r="C17" s="153" t="s">
        <v>144</v>
      </c>
      <c r="D17" s="218">
        <v>1</v>
      </c>
      <c r="E17" s="220">
        <v>350000</v>
      </c>
      <c r="F17" s="181">
        <f t="shared" si="0"/>
        <v>350000</v>
      </c>
      <c r="G17" s="140"/>
      <c r="H17" s="140"/>
      <c r="I17" s="140"/>
      <c r="J17" s="140"/>
      <c r="K17" s="140"/>
      <c r="L17" s="140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76"/>
      <c r="B18" s="153" t="s">
        <v>145</v>
      </c>
      <c r="C18" s="153" t="s">
        <v>146</v>
      </c>
      <c r="D18" s="218">
        <v>1</v>
      </c>
      <c r="E18" s="220">
        <v>87900</v>
      </c>
      <c r="F18" s="181">
        <f t="shared" si="0"/>
        <v>87900</v>
      </c>
      <c r="G18" s="140"/>
      <c r="H18" s="140"/>
      <c r="I18" s="140"/>
      <c r="J18" s="140"/>
      <c r="K18" s="140"/>
      <c r="L18" s="140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>
      <c r="A19" s="176"/>
      <c r="B19" s="153" t="s">
        <v>147</v>
      </c>
      <c r="C19" s="153" t="s">
        <v>148</v>
      </c>
      <c r="D19" s="218">
        <v>1</v>
      </c>
      <c r="E19" s="220">
        <v>15990</v>
      </c>
      <c r="F19" s="181">
        <f t="shared" si="0"/>
        <v>15990</v>
      </c>
      <c r="G19" s="140"/>
      <c r="H19" s="140"/>
      <c r="I19" s="140"/>
      <c r="J19" s="140"/>
      <c r="K19" s="140"/>
      <c r="L19" s="140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>
      <c r="A20" s="176"/>
      <c r="B20" s="153" t="s">
        <v>149</v>
      </c>
      <c r="C20" s="153" t="s">
        <v>150</v>
      </c>
      <c r="D20" s="218">
        <v>1</v>
      </c>
      <c r="E20" s="220">
        <v>37000</v>
      </c>
      <c r="F20" s="181">
        <f t="shared" si="0"/>
        <v>37000</v>
      </c>
      <c r="G20" s="140"/>
      <c r="H20" s="140"/>
      <c r="I20" s="140"/>
      <c r="J20" s="140"/>
      <c r="K20" s="140"/>
      <c r="L20" s="140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>
      <c r="A21" s="176"/>
      <c r="B21" s="153" t="s">
        <v>151</v>
      </c>
      <c r="C21" s="153" t="s">
        <v>152</v>
      </c>
      <c r="D21" s="218">
        <v>1</v>
      </c>
      <c r="E21" s="220">
        <v>4000000</v>
      </c>
      <c r="F21" s="181">
        <f t="shared" si="0"/>
        <v>4000000</v>
      </c>
      <c r="G21" s="140"/>
      <c r="H21" s="140"/>
      <c r="I21" s="140"/>
      <c r="J21" s="140"/>
      <c r="K21" s="140"/>
      <c r="L21" s="140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7.25" customHeight="1">
      <c r="A22" s="176"/>
      <c r="B22" s="153" t="s">
        <v>153</v>
      </c>
      <c r="C22" s="153" t="s">
        <v>154</v>
      </c>
      <c r="D22" s="218">
        <v>1</v>
      </c>
      <c r="E22" s="220">
        <v>816000</v>
      </c>
      <c r="F22" s="181">
        <f t="shared" si="0"/>
        <v>816000</v>
      </c>
      <c r="G22" s="140"/>
      <c r="H22" s="140"/>
      <c r="I22" s="140"/>
      <c r="J22" s="140"/>
      <c r="K22" s="221"/>
      <c r="L22" s="71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7.25" customHeight="1">
      <c r="A23" s="176"/>
      <c r="B23" s="155" t="s">
        <v>155</v>
      </c>
      <c r="C23" s="155" t="s">
        <v>156</v>
      </c>
      <c r="D23" s="155">
        <v>1</v>
      </c>
      <c r="E23" s="181">
        <v>791200</v>
      </c>
      <c r="F23" s="181">
        <f t="shared" ref="F23" si="1">D23*E23</f>
        <v>791200</v>
      </c>
      <c r="G23" s="140"/>
      <c r="H23" s="140"/>
      <c r="I23" s="140"/>
      <c r="J23" s="140"/>
      <c r="K23" s="221"/>
      <c r="L23" s="71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>
      <c r="A24" s="140"/>
      <c r="B24" s="153" t="s">
        <v>157</v>
      </c>
      <c r="C24" s="155" t="s">
        <v>158</v>
      </c>
      <c r="D24" s="143">
        <v>2</v>
      </c>
      <c r="E24" s="215">
        <v>74300</v>
      </c>
      <c r="F24" s="181">
        <f t="shared" si="0"/>
        <v>148600</v>
      </c>
      <c r="G24" s="140"/>
      <c r="H24" s="140"/>
      <c r="I24" s="140"/>
      <c r="J24" s="140"/>
      <c r="K24" s="140"/>
      <c r="L24" s="140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>
      <c r="A25" s="140"/>
      <c r="B25" s="210" t="s">
        <v>51</v>
      </c>
      <c r="C25" s="210"/>
      <c r="D25" s="142"/>
      <c r="E25" s="211"/>
      <c r="F25" s="222">
        <f>SUM(Maquinas!$F$7:$F$24)</f>
        <v>18640090</v>
      </c>
      <c r="G25" s="140"/>
      <c r="H25" s="140"/>
      <c r="I25" s="140"/>
      <c r="J25" s="140"/>
      <c r="K25" s="140"/>
      <c r="L25" s="140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>
      <c r="A26" s="140"/>
      <c r="B26" s="210"/>
      <c r="C26" s="210"/>
      <c r="D26" s="142"/>
      <c r="E26" s="211"/>
      <c r="F26" s="211"/>
      <c r="G26" s="140"/>
      <c r="H26" s="140"/>
      <c r="I26" s="140"/>
      <c r="J26" s="140"/>
      <c r="K26" s="140"/>
      <c r="L26" s="140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>
      <c r="A27" s="140"/>
      <c r="B27" s="140" t="s">
        <v>159</v>
      </c>
      <c r="C27" s="140"/>
      <c r="D27" s="142"/>
      <c r="E27" s="211"/>
      <c r="F27" s="211"/>
      <c r="G27" s="140"/>
      <c r="H27" s="140"/>
      <c r="I27" s="140"/>
      <c r="J27" s="140"/>
      <c r="K27" s="140"/>
      <c r="L27" s="140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>
      <c r="A28" s="140"/>
      <c r="B28" s="210" t="s">
        <v>119</v>
      </c>
      <c r="C28" s="210" t="s">
        <v>120</v>
      </c>
      <c r="D28" s="142" t="s">
        <v>121</v>
      </c>
      <c r="E28" s="211" t="s">
        <v>122</v>
      </c>
      <c r="F28" s="211" t="s">
        <v>96</v>
      </c>
      <c r="G28" s="140"/>
      <c r="H28" s="140"/>
      <c r="I28" s="140"/>
      <c r="J28" s="140"/>
      <c r="K28" s="140"/>
      <c r="L28" s="140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>
      <c r="A29" s="140"/>
      <c r="B29" s="155" t="s">
        <v>160</v>
      </c>
      <c r="C29" s="155" t="s">
        <v>161</v>
      </c>
      <c r="D29" s="143">
        <v>2</v>
      </c>
      <c r="E29" s="215">
        <v>149900</v>
      </c>
      <c r="F29" s="215">
        <f t="shared" ref="F29:F35" si="2">D29*E29</f>
        <v>299800</v>
      </c>
      <c r="G29" s="140"/>
      <c r="H29" s="140"/>
      <c r="I29" s="140"/>
      <c r="J29" s="140"/>
      <c r="K29" s="140"/>
      <c r="L29" s="140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>
      <c r="A30" s="140"/>
      <c r="B30" s="155" t="s">
        <v>162</v>
      </c>
      <c r="C30" s="155" t="s">
        <v>163</v>
      </c>
      <c r="D30" s="143">
        <v>4</v>
      </c>
      <c r="E30" s="215">
        <v>29250</v>
      </c>
      <c r="F30" s="215">
        <f t="shared" si="2"/>
        <v>117000</v>
      </c>
      <c r="G30" s="140"/>
      <c r="H30" s="140"/>
      <c r="I30" s="140"/>
      <c r="J30" s="140"/>
      <c r="K30" s="140"/>
      <c r="L30" s="140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>
      <c r="A31" s="140"/>
      <c r="B31" s="155" t="s">
        <v>164</v>
      </c>
      <c r="C31" s="155" t="s">
        <v>165</v>
      </c>
      <c r="D31" s="143">
        <v>2</v>
      </c>
      <c r="E31" s="215">
        <v>580000</v>
      </c>
      <c r="F31" s="215">
        <f t="shared" si="2"/>
        <v>1160000</v>
      </c>
      <c r="G31" s="140"/>
      <c r="H31" s="140"/>
      <c r="I31" s="140"/>
      <c r="J31" s="140"/>
      <c r="K31" s="140"/>
      <c r="L31" s="140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>
      <c r="A32" s="140"/>
      <c r="B32" s="155" t="s">
        <v>166</v>
      </c>
      <c r="C32" s="155" t="s">
        <v>167</v>
      </c>
      <c r="D32" s="143">
        <v>4</v>
      </c>
      <c r="E32" s="215">
        <v>140000</v>
      </c>
      <c r="F32" s="215">
        <f t="shared" si="2"/>
        <v>560000</v>
      </c>
      <c r="G32" s="140"/>
      <c r="H32" s="140"/>
      <c r="I32" s="140"/>
      <c r="J32" s="140"/>
      <c r="K32" s="140"/>
      <c r="L32" s="140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>
      <c r="A33" s="140"/>
      <c r="B33" s="155" t="s">
        <v>168</v>
      </c>
      <c r="C33" s="155" t="s">
        <v>169</v>
      </c>
      <c r="D33" s="143">
        <v>2</v>
      </c>
      <c r="E33" s="215">
        <v>185900</v>
      </c>
      <c r="F33" s="215">
        <f t="shared" si="2"/>
        <v>371800</v>
      </c>
      <c r="G33" s="140"/>
      <c r="H33" s="140"/>
      <c r="I33" s="140"/>
      <c r="J33" s="140"/>
      <c r="K33" s="140"/>
      <c r="L33" s="140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40"/>
      <c r="B34" s="155" t="s">
        <v>170</v>
      </c>
      <c r="C34" s="155" t="s">
        <v>171</v>
      </c>
      <c r="D34" s="143">
        <v>2</v>
      </c>
      <c r="E34" s="215">
        <v>98900</v>
      </c>
      <c r="F34" s="215">
        <f t="shared" si="2"/>
        <v>197800</v>
      </c>
      <c r="G34" s="140"/>
      <c r="H34" s="72" t="s">
        <v>172</v>
      </c>
      <c r="I34" s="140"/>
      <c r="J34" s="140"/>
      <c r="K34" s="140"/>
      <c r="L34" s="140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40"/>
      <c r="B35" s="210" t="s">
        <v>173</v>
      </c>
      <c r="C35" s="210" t="s">
        <v>174</v>
      </c>
      <c r="D35" s="143">
        <v>3</v>
      </c>
      <c r="E35" s="215">
        <v>205000</v>
      </c>
      <c r="F35" s="215">
        <f t="shared" si="2"/>
        <v>615000</v>
      </c>
      <c r="G35" s="140"/>
      <c r="H35" s="72" t="s">
        <v>175</v>
      </c>
      <c r="I35" s="140"/>
      <c r="J35" s="140"/>
      <c r="K35" s="140"/>
      <c r="L35" s="140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40"/>
      <c r="B36" s="210" t="s">
        <v>51</v>
      </c>
      <c r="C36" s="210"/>
      <c r="D36" s="142"/>
      <c r="E36" s="211"/>
      <c r="F36" s="222">
        <f>SUM(Maquinas!$F$29:$F$35)</f>
        <v>3321400</v>
      </c>
      <c r="G36" s="140"/>
      <c r="H36" s="140"/>
      <c r="I36" s="140"/>
      <c r="J36" s="140"/>
      <c r="K36" s="140"/>
      <c r="L36" s="140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40"/>
      <c r="B37" s="140" t="s">
        <v>176</v>
      </c>
      <c r="C37" s="140"/>
      <c r="D37" s="142"/>
      <c r="E37" s="211"/>
      <c r="F37" s="211"/>
      <c r="G37" s="140"/>
      <c r="H37" s="140"/>
      <c r="I37" s="140"/>
      <c r="J37" s="140"/>
      <c r="K37" s="140"/>
      <c r="L37" s="140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40"/>
      <c r="B38" s="210" t="s">
        <v>119</v>
      </c>
      <c r="C38" s="155" t="s">
        <v>120</v>
      </c>
      <c r="D38" s="142" t="s">
        <v>121</v>
      </c>
      <c r="E38" s="211" t="s">
        <v>122</v>
      </c>
      <c r="F38" s="211" t="s">
        <v>96</v>
      </c>
      <c r="G38" s="140"/>
      <c r="H38" s="140"/>
      <c r="I38" s="140"/>
      <c r="J38" s="140"/>
      <c r="K38" s="140"/>
      <c r="L38" s="140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40"/>
      <c r="B39" s="155" t="s">
        <v>177</v>
      </c>
      <c r="C39" s="155" t="s">
        <v>178</v>
      </c>
      <c r="D39" s="223">
        <v>1</v>
      </c>
      <c r="E39" s="224">
        <v>732094</v>
      </c>
      <c r="F39" s="181">
        <f>D39*E39</f>
        <v>732094</v>
      </c>
      <c r="G39" s="140"/>
      <c r="H39" s="140"/>
      <c r="I39" s="140"/>
      <c r="J39" s="140"/>
      <c r="K39" s="140"/>
      <c r="L39" s="140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9.5" customHeight="1">
      <c r="A40" s="140"/>
      <c r="B40" s="155" t="s">
        <v>179</v>
      </c>
      <c r="C40" s="155" t="s">
        <v>180</v>
      </c>
      <c r="D40" s="223">
        <v>1</v>
      </c>
      <c r="E40" s="224">
        <v>1899000</v>
      </c>
      <c r="F40" s="181">
        <f t="shared" ref="F40" si="3">D40*E40</f>
        <v>1899000</v>
      </c>
      <c r="G40" s="140"/>
      <c r="H40" s="140"/>
      <c r="I40" s="140"/>
      <c r="J40" s="140"/>
      <c r="K40" s="140"/>
      <c r="L40" s="140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40"/>
      <c r="B41" s="210" t="s">
        <v>181</v>
      </c>
      <c r="C41" s="210" t="s">
        <v>182</v>
      </c>
      <c r="D41" s="225">
        <v>1</v>
      </c>
      <c r="E41" s="226">
        <v>760500</v>
      </c>
      <c r="F41" s="181">
        <f>D41*E41</f>
        <v>760500</v>
      </c>
      <c r="G41" s="140"/>
      <c r="H41" s="140"/>
      <c r="I41" s="140"/>
      <c r="J41" s="140"/>
      <c r="K41" s="140"/>
      <c r="L41" s="140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40"/>
      <c r="B42" s="210" t="s">
        <v>51</v>
      </c>
      <c r="C42" s="210"/>
      <c r="D42" s="142"/>
      <c r="E42" s="227"/>
      <c r="F42" s="228">
        <f>SUM(Maquinas!$F$39:$F$41)</f>
        <v>3391594</v>
      </c>
      <c r="G42" s="140"/>
      <c r="H42" s="140"/>
      <c r="I42" s="140"/>
      <c r="J42" s="140"/>
      <c r="K42" s="140"/>
      <c r="L42" s="140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40"/>
      <c r="B43" s="73" t="s">
        <v>183</v>
      </c>
      <c r="C43" s="74"/>
      <c r="D43" s="75"/>
      <c r="E43" s="76"/>
      <c r="F43" s="77">
        <f>F25+F36+F42</f>
        <v>25353084</v>
      </c>
      <c r="G43" s="140"/>
      <c r="H43" s="140"/>
      <c r="I43" s="140"/>
      <c r="J43" s="140"/>
      <c r="K43" s="140"/>
      <c r="L43" s="140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40"/>
      <c r="B44" s="210"/>
      <c r="C44" s="210"/>
      <c r="D44" s="142"/>
      <c r="E44" s="211"/>
      <c r="F44" s="211"/>
      <c r="G44" s="140"/>
      <c r="H44" s="140"/>
      <c r="I44" s="140"/>
      <c r="J44" s="140"/>
      <c r="K44" s="140"/>
      <c r="L44" s="140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40"/>
      <c r="B45" s="210"/>
      <c r="C45" s="210"/>
      <c r="D45" s="142"/>
      <c r="E45" s="211"/>
      <c r="F45" s="211"/>
      <c r="G45" s="140"/>
      <c r="H45" s="140"/>
      <c r="I45" s="140"/>
      <c r="J45" s="140"/>
      <c r="K45" s="140"/>
      <c r="L45" s="140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45"/>
      <c r="C46" s="45"/>
      <c r="D46" s="45"/>
      <c r="E46" s="48"/>
      <c r="F46" s="48"/>
      <c r="G46" s="46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45"/>
      <c r="C47" s="45"/>
      <c r="D47" s="45"/>
      <c r="E47" s="48"/>
      <c r="F47" s="48"/>
      <c r="G47" s="47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45"/>
      <c r="C48" s="45"/>
      <c r="D48" s="45"/>
      <c r="E48" s="48"/>
      <c r="F48" s="48"/>
      <c r="G48" s="47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45"/>
      <c r="C49" s="45"/>
      <c r="D49" s="45"/>
      <c r="E49" s="48"/>
      <c r="F49" s="48"/>
      <c r="G49" s="47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20"/>
      <c r="C50" s="20"/>
      <c r="D50" s="19"/>
      <c r="E50" s="23"/>
      <c r="F50" s="2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20"/>
      <c r="C51" s="20"/>
      <c r="D51" s="19"/>
      <c r="E51" s="23"/>
      <c r="F51" s="2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20"/>
      <c r="C52" s="20"/>
      <c r="D52" s="19"/>
      <c r="E52" s="23"/>
      <c r="F52" s="2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20"/>
      <c r="C53" s="20"/>
      <c r="D53" s="19"/>
      <c r="E53" s="23"/>
      <c r="F53" s="2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20"/>
      <c r="C54" s="20"/>
      <c r="D54" s="19"/>
      <c r="E54" s="23"/>
      <c r="F54" s="2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20"/>
      <c r="C55" s="20"/>
      <c r="D55" s="19"/>
      <c r="E55" s="23"/>
      <c r="F55" s="2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20"/>
      <c r="C56" s="20"/>
      <c r="D56" s="19"/>
      <c r="E56" s="23"/>
      <c r="F56" s="2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20"/>
      <c r="C57" s="20"/>
      <c r="D57" s="19"/>
      <c r="E57" s="23"/>
      <c r="F57" s="2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20"/>
      <c r="C58" s="20"/>
      <c r="D58" s="19"/>
      <c r="E58" s="23"/>
      <c r="F58" s="2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20"/>
      <c r="C59" s="20"/>
      <c r="D59" s="19"/>
      <c r="E59" s="23"/>
      <c r="F59" s="2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20"/>
      <c r="C60" s="20"/>
      <c r="D60" s="19"/>
      <c r="E60" s="23"/>
      <c r="F60" s="2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20"/>
      <c r="C61" s="20"/>
      <c r="D61" s="19"/>
      <c r="E61" s="23"/>
      <c r="F61" s="2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20"/>
      <c r="C62" s="20"/>
      <c r="D62" s="19"/>
      <c r="E62" s="23"/>
      <c r="F62" s="2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20"/>
      <c r="C63" s="20"/>
      <c r="D63" s="19"/>
      <c r="E63" s="23"/>
      <c r="F63" s="2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20"/>
      <c r="C64" s="20"/>
      <c r="D64" s="19"/>
      <c r="E64" s="23"/>
      <c r="F64" s="2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20"/>
      <c r="C65" s="20"/>
      <c r="D65" s="19"/>
      <c r="E65" s="23"/>
      <c r="F65" s="2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20"/>
      <c r="C66" s="20"/>
      <c r="D66" s="19"/>
      <c r="E66" s="23"/>
      <c r="F66" s="2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20"/>
      <c r="C67" s="20"/>
      <c r="D67" s="19"/>
      <c r="E67" s="23"/>
      <c r="F67" s="2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20"/>
      <c r="C68" s="20"/>
      <c r="D68" s="19"/>
      <c r="E68" s="23"/>
      <c r="F68" s="2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20"/>
      <c r="C69" s="20"/>
      <c r="D69" s="19"/>
      <c r="E69" s="23"/>
      <c r="F69" s="2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20"/>
      <c r="C70" s="20"/>
      <c r="D70" s="19"/>
      <c r="E70" s="23"/>
      <c r="F70" s="2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20"/>
      <c r="C71" s="20"/>
      <c r="D71" s="19"/>
      <c r="E71" s="23"/>
      <c r="F71" s="2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20"/>
      <c r="C72" s="20"/>
      <c r="D72" s="19"/>
      <c r="E72" s="23"/>
      <c r="F72" s="2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20"/>
      <c r="C73" s="20"/>
      <c r="D73" s="19"/>
      <c r="E73" s="23"/>
      <c r="F73" s="2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20"/>
      <c r="C74" s="20"/>
      <c r="D74" s="19"/>
      <c r="E74" s="23"/>
      <c r="F74" s="2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20"/>
      <c r="C75" s="20"/>
      <c r="D75" s="19"/>
      <c r="E75" s="23"/>
      <c r="F75" s="2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20"/>
      <c r="C76" s="20"/>
      <c r="D76" s="19"/>
      <c r="E76" s="23"/>
      <c r="F76" s="2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20"/>
      <c r="C77" s="20"/>
      <c r="D77" s="19"/>
      <c r="E77" s="23"/>
      <c r="F77" s="2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20"/>
      <c r="C78" s="20"/>
      <c r="D78" s="19"/>
      <c r="E78" s="23"/>
      <c r="F78" s="2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20"/>
      <c r="C79" s="20"/>
      <c r="D79" s="19"/>
      <c r="E79" s="23"/>
      <c r="F79" s="2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20"/>
      <c r="C80" s="20"/>
      <c r="D80" s="19"/>
      <c r="E80" s="23"/>
      <c r="F80" s="2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20"/>
      <c r="C81" s="20"/>
      <c r="D81" s="19"/>
      <c r="E81" s="23"/>
      <c r="F81" s="2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20"/>
      <c r="C82" s="20"/>
      <c r="D82" s="19"/>
      <c r="E82" s="23"/>
      <c r="F82" s="2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20"/>
      <c r="C83" s="20"/>
      <c r="D83" s="19"/>
      <c r="E83" s="23"/>
      <c r="F83" s="2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20"/>
      <c r="C84" s="20"/>
      <c r="D84" s="19"/>
      <c r="E84" s="23"/>
      <c r="F84" s="2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20"/>
      <c r="C85" s="20"/>
      <c r="D85" s="19"/>
      <c r="E85" s="23"/>
      <c r="F85" s="2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20"/>
      <c r="C86" s="20"/>
      <c r="D86" s="19"/>
      <c r="E86" s="23"/>
      <c r="F86" s="2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20"/>
      <c r="C87" s="20"/>
      <c r="D87" s="19"/>
      <c r="E87" s="23"/>
      <c r="F87" s="2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20"/>
      <c r="C88" s="20"/>
      <c r="D88" s="19"/>
      <c r="E88" s="23"/>
      <c r="F88" s="2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20"/>
      <c r="C89" s="20"/>
      <c r="D89" s="19"/>
      <c r="E89" s="23"/>
      <c r="F89" s="2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20"/>
      <c r="C90" s="20"/>
      <c r="D90" s="19"/>
      <c r="E90" s="23"/>
      <c r="F90" s="2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20"/>
      <c r="C91" s="20"/>
      <c r="D91" s="19"/>
      <c r="E91" s="23"/>
      <c r="F91" s="2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20"/>
      <c r="C92" s="20"/>
      <c r="D92" s="19"/>
      <c r="E92" s="23"/>
      <c r="F92" s="2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20"/>
      <c r="C93" s="20"/>
      <c r="D93" s="19"/>
      <c r="E93" s="23"/>
      <c r="F93" s="2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20"/>
      <c r="C94" s="20"/>
      <c r="D94" s="19"/>
      <c r="E94" s="23"/>
      <c r="F94" s="2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20"/>
      <c r="C95" s="20"/>
      <c r="D95" s="19"/>
      <c r="E95" s="23"/>
      <c r="F95" s="2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20"/>
      <c r="C96" s="20"/>
      <c r="D96" s="19"/>
      <c r="E96" s="23"/>
      <c r="F96" s="2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20"/>
      <c r="C97" s="20"/>
      <c r="D97" s="19"/>
      <c r="E97" s="23"/>
      <c r="F97" s="2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20"/>
      <c r="C98" s="20"/>
      <c r="D98" s="19"/>
      <c r="E98" s="23"/>
      <c r="F98" s="2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20"/>
      <c r="C99" s="20"/>
      <c r="D99" s="19"/>
      <c r="E99" s="23"/>
      <c r="F99" s="2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20"/>
      <c r="C100" s="20"/>
      <c r="D100" s="19"/>
      <c r="E100" s="23"/>
      <c r="F100" s="2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20"/>
      <c r="C101" s="20"/>
      <c r="D101" s="19"/>
      <c r="E101" s="23"/>
      <c r="F101" s="2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20"/>
      <c r="C102" s="20"/>
      <c r="D102" s="19"/>
      <c r="E102" s="23"/>
      <c r="F102" s="2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20"/>
      <c r="C103" s="20"/>
      <c r="D103" s="19"/>
      <c r="E103" s="23"/>
      <c r="F103" s="2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20"/>
      <c r="C104" s="20"/>
      <c r="D104" s="19"/>
      <c r="E104" s="23"/>
      <c r="F104" s="2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20"/>
      <c r="C105" s="20"/>
      <c r="D105" s="19"/>
      <c r="E105" s="23"/>
      <c r="F105" s="2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20"/>
      <c r="C106" s="20"/>
      <c r="D106" s="19"/>
      <c r="E106" s="23"/>
      <c r="F106" s="2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20"/>
      <c r="C107" s="20"/>
      <c r="D107" s="19"/>
      <c r="E107" s="23"/>
      <c r="F107" s="2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20"/>
      <c r="C108" s="20"/>
      <c r="D108" s="19"/>
      <c r="E108" s="23"/>
      <c r="F108" s="2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20"/>
      <c r="C109" s="20"/>
      <c r="D109" s="19"/>
      <c r="E109" s="23"/>
      <c r="F109" s="2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20"/>
      <c r="C110" s="20"/>
      <c r="D110" s="19"/>
      <c r="E110" s="23"/>
      <c r="F110" s="2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20"/>
      <c r="C111" s="20"/>
      <c r="D111" s="19"/>
      <c r="E111" s="23"/>
      <c r="F111" s="2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20"/>
      <c r="C112" s="20"/>
      <c r="D112" s="19"/>
      <c r="E112" s="23"/>
      <c r="F112" s="2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20"/>
      <c r="C113" s="20"/>
      <c r="D113" s="19"/>
      <c r="E113" s="23"/>
      <c r="F113" s="2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20"/>
      <c r="C114" s="20"/>
      <c r="D114" s="19"/>
      <c r="E114" s="23"/>
      <c r="F114" s="2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20"/>
      <c r="C115" s="20"/>
      <c r="D115" s="19"/>
      <c r="E115" s="23"/>
      <c r="F115" s="2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20"/>
      <c r="C116" s="20"/>
      <c r="D116" s="19"/>
      <c r="E116" s="23"/>
      <c r="F116" s="2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20"/>
      <c r="C117" s="20"/>
      <c r="D117" s="19"/>
      <c r="E117" s="23"/>
      <c r="F117" s="2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20"/>
      <c r="C118" s="20"/>
      <c r="D118" s="19"/>
      <c r="E118" s="23"/>
      <c r="F118" s="2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20"/>
      <c r="C119" s="20"/>
      <c r="D119" s="19"/>
      <c r="E119" s="23"/>
      <c r="F119" s="2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20"/>
      <c r="C120" s="20"/>
      <c r="D120" s="19"/>
      <c r="E120" s="23"/>
      <c r="F120" s="2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20"/>
      <c r="C121" s="20"/>
      <c r="D121" s="19"/>
      <c r="E121" s="23"/>
      <c r="F121" s="2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20"/>
      <c r="C122" s="20"/>
      <c r="D122" s="19"/>
      <c r="E122" s="23"/>
      <c r="F122" s="2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20"/>
      <c r="C123" s="20"/>
      <c r="D123" s="19"/>
      <c r="E123" s="23"/>
      <c r="F123" s="2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20"/>
      <c r="C124" s="20"/>
      <c r="D124" s="19"/>
      <c r="E124" s="23"/>
      <c r="F124" s="2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20"/>
      <c r="C125" s="20"/>
      <c r="D125" s="19"/>
      <c r="E125" s="23"/>
      <c r="F125" s="2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20"/>
      <c r="C126" s="20"/>
      <c r="D126" s="19"/>
      <c r="E126" s="23"/>
      <c r="F126" s="2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20"/>
      <c r="C127" s="20"/>
      <c r="D127" s="19"/>
      <c r="E127" s="23"/>
      <c r="F127" s="2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20"/>
      <c r="C128" s="20"/>
      <c r="D128" s="19"/>
      <c r="E128" s="23"/>
      <c r="F128" s="2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20"/>
      <c r="C129" s="20"/>
      <c r="D129" s="19"/>
      <c r="E129" s="23"/>
      <c r="F129" s="2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20"/>
      <c r="C130" s="20"/>
      <c r="D130" s="19"/>
      <c r="E130" s="23"/>
      <c r="F130" s="2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20"/>
      <c r="C131" s="20"/>
      <c r="D131" s="19"/>
      <c r="E131" s="23"/>
      <c r="F131" s="2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20"/>
      <c r="C132" s="20"/>
      <c r="D132" s="19"/>
      <c r="E132" s="23"/>
      <c r="F132" s="2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20"/>
      <c r="C133" s="20"/>
      <c r="D133" s="19"/>
      <c r="E133" s="23"/>
      <c r="F133" s="2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20"/>
      <c r="C134" s="20"/>
      <c r="D134" s="19"/>
      <c r="E134" s="23"/>
      <c r="F134" s="2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20"/>
      <c r="C135" s="20"/>
      <c r="D135" s="19"/>
      <c r="E135" s="23"/>
      <c r="F135" s="2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20"/>
      <c r="C136" s="20"/>
      <c r="D136" s="19"/>
      <c r="E136" s="23"/>
      <c r="F136" s="2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20"/>
      <c r="C137" s="20"/>
      <c r="D137" s="19"/>
      <c r="E137" s="23"/>
      <c r="F137" s="2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20"/>
      <c r="C138" s="20"/>
      <c r="D138" s="19"/>
      <c r="E138" s="23"/>
      <c r="F138" s="2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20"/>
      <c r="C139" s="20"/>
      <c r="D139" s="19"/>
      <c r="E139" s="23"/>
      <c r="F139" s="2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20"/>
      <c r="C140" s="20"/>
      <c r="D140" s="19"/>
      <c r="E140" s="23"/>
      <c r="F140" s="2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20"/>
      <c r="C141" s="20"/>
      <c r="D141" s="19"/>
      <c r="E141" s="23"/>
      <c r="F141" s="2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20"/>
      <c r="C142" s="20"/>
      <c r="D142" s="19"/>
      <c r="E142" s="23"/>
      <c r="F142" s="2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20"/>
      <c r="C143" s="20"/>
      <c r="D143" s="19"/>
      <c r="E143" s="23"/>
      <c r="F143" s="2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20"/>
      <c r="C144" s="20"/>
      <c r="D144" s="19"/>
      <c r="E144" s="23"/>
      <c r="F144" s="2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20"/>
      <c r="C145" s="20"/>
      <c r="D145" s="19"/>
      <c r="E145" s="23"/>
      <c r="F145" s="2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20"/>
      <c r="C146" s="20"/>
      <c r="D146" s="19"/>
      <c r="E146" s="23"/>
      <c r="F146" s="2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20"/>
      <c r="C147" s="20"/>
      <c r="D147" s="19"/>
      <c r="E147" s="23"/>
      <c r="F147" s="2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20"/>
      <c r="C148" s="20"/>
      <c r="D148" s="19"/>
      <c r="E148" s="23"/>
      <c r="F148" s="2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20"/>
      <c r="C149" s="20"/>
      <c r="D149" s="19"/>
      <c r="E149" s="23"/>
      <c r="F149" s="2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20"/>
      <c r="C150" s="20"/>
      <c r="D150" s="19"/>
      <c r="E150" s="23"/>
      <c r="F150" s="2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20"/>
      <c r="C151" s="20"/>
      <c r="D151" s="19"/>
      <c r="E151" s="23"/>
      <c r="F151" s="2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20"/>
      <c r="C152" s="20"/>
      <c r="D152" s="19"/>
      <c r="E152" s="23"/>
      <c r="F152" s="2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20"/>
      <c r="C153" s="20"/>
      <c r="D153" s="19"/>
      <c r="E153" s="23"/>
      <c r="F153" s="2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20"/>
      <c r="C154" s="20"/>
      <c r="D154" s="19"/>
      <c r="E154" s="23"/>
      <c r="F154" s="2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20"/>
      <c r="C155" s="20"/>
      <c r="D155" s="19"/>
      <c r="E155" s="23"/>
      <c r="F155" s="2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20"/>
      <c r="C156" s="20"/>
      <c r="D156" s="19"/>
      <c r="E156" s="23"/>
      <c r="F156" s="2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20"/>
      <c r="C157" s="20"/>
      <c r="D157" s="19"/>
      <c r="E157" s="23"/>
      <c r="F157" s="2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20"/>
      <c r="C158" s="20"/>
      <c r="D158" s="19"/>
      <c r="E158" s="23"/>
      <c r="F158" s="2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20"/>
      <c r="C159" s="20"/>
      <c r="D159" s="19"/>
      <c r="E159" s="23"/>
      <c r="F159" s="2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20"/>
      <c r="C160" s="20"/>
      <c r="D160" s="19"/>
      <c r="E160" s="23"/>
      <c r="F160" s="2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20"/>
      <c r="C161" s="20"/>
      <c r="D161" s="19"/>
      <c r="E161" s="23"/>
      <c r="F161" s="2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20"/>
      <c r="C162" s="20"/>
      <c r="D162" s="19"/>
      <c r="E162" s="23"/>
      <c r="F162" s="2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20"/>
      <c r="C163" s="20"/>
      <c r="D163" s="19"/>
      <c r="E163" s="23"/>
      <c r="F163" s="2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20"/>
      <c r="C164" s="20"/>
      <c r="D164" s="19"/>
      <c r="E164" s="23"/>
      <c r="F164" s="2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20"/>
      <c r="C165" s="20"/>
      <c r="D165" s="19"/>
      <c r="E165" s="23"/>
      <c r="F165" s="2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20"/>
      <c r="C166" s="20"/>
      <c r="D166" s="19"/>
      <c r="E166" s="23"/>
      <c r="F166" s="2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20"/>
      <c r="C167" s="20"/>
      <c r="D167" s="19"/>
      <c r="E167" s="23"/>
      <c r="F167" s="2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20"/>
      <c r="C168" s="20"/>
      <c r="D168" s="19"/>
      <c r="E168" s="23"/>
      <c r="F168" s="2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20"/>
      <c r="C169" s="20"/>
      <c r="D169" s="19"/>
      <c r="E169" s="23"/>
      <c r="F169" s="2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20"/>
      <c r="C170" s="20"/>
      <c r="D170" s="19"/>
      <c r="E170" s="23"/>
      <c r="F170" s="2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20"/>
      <c r="C171" s="20"/>
      <c r="D171" s="19"/>
      <c r="E171" s="23"/>
      <c r="F171" s="2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20"/>
      <c r="C172" s="20"/>
      <c r="D172" s="19"/>
      <c r="E172" s="23"/>
      <c r="F172" s="2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20"/>
      <c r="C173" s="20"/>
      <c r="D173" s="19"/>
      <c r="E173" s="23"/>
      <c r="F173" s="2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20"/>
      <c r="C174" s="20"/>
      <c r="D174" s="19"/>
      <c r="E174" s="23"/>
      <c r="F174" s="2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20"/>
      <c r="C175" s="20"/>
      <c r="D175" s="19"/>
      <c r="E175" s="23"/>
      <c r="F175" s="2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20"/>
      <c r="C176" s="20"/>
      <c r="D176" s="19"/>
      <c r="E176" s="23"/>
      <c r="F176" s="2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20"/>
      <c r="C177" s="20"/>
      <c r="D177" s="19"/>
      <c r="E177" s="23"/>
      <c r="F177" s="2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20"/>
      <c r="C178" s="20"/>
      <c r="D178" s="19"/>
      <c r="E178" s="23"/>
      <c r="F178" s="2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20"/>
      <c r="C179" s="20"/>
      <c r="D179" s="19"/>
      <c r="E179" s="23"/>
      <c r="F179" s="2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20"/>
      <c r="C180" s="20"/>
      <c r="D180" s="19"/>
      <c r="E180" s="23"/>
      <c r="F180" s="2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20"/>
      <c r="C181" s="20"/>
      <c r="D181" s="19"/>
      <c r="E181" s="23"/>
      <c r="F181" s="2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20"/>
      <c r="C182" s="20"/>
      <c r="D182" s="19"/>
      <c r="E182" s="23"/>
      <c r="F182" s="2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20"/>
      <c r="C183" s="20"/>
      <c r="D183" s="19"/>
      <c r="E183" s="23"/>
      <c r="F183" s="2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20"/>
      <c r="C184" s="20"/>
      <c r="D184" s="19"/>
      <c r="E184" s="23"/>
      <c r="F184" s="2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20"/>
      <c r="C185" s="20"/>
      <c r="D185" s="19"/>
      <c r="E185" s="23"/>
      <c r="F185" s="2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20"/>
      <c r="C186" s="20"/>
      <c r="D186" s="19"/>
      <c r="E186" s="23"/>
      <c r="F186" s="2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20"/>
      <c r="C187" s="20"/>
      <c r="D187" s="19"/>
      <c r="E187" s="23"/>
      <c r="F187" s="2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20"/>
      <c r="C188" s="20"/>
      <c r="D188" s="19"/>
      <c r="E188" s="23"/>
      <c r="F188" s="2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20"/>
      <c r="C189" s="20"/>
      <c r="D189" s="19"/>
      <c r="E189" s="23"/>
      <c r="F189" s="2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20"/>
      <c r="C190" s="20"/>
      <c r="D190" s="19"/>
      <c r="E190" s="23"/>
      <c r="F190" s="2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20"/>
      <c r="C191" s="20"/>
      <c r="D191" s="19"/>
      <c r="E191" s="23"/>
      <c r="F191" s="2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20"/>
      <c r="C192" s="20"/>
      <c r="D192" s="19"/>
      <c r="E192" s="23"/>
      <c r="F192" s="2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20"/>
      <c r="C193" s="20"/>
      <c r="D193" s="19"/>
      <c r="E193" s="23"/>
      <c r="F193" s="2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20"/>
      <c r="C194" s="20"/>
      <c r="D194" s="19"/>
      <c r="E194" s="23"/>
      <c r="F194" s="2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20"/>
      <c r="C195" s="20"/>
      <c r="D195" s="19"/>
      <c r="E195" s="23"/>
      <c r="F195" s="2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20"/>
      <c r="C196" s="20"/>
      <c r="D196" s="19"/>
      <c r="E196" s="23"/>
      <c r="F196" s="2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20"/>
      <c r="C197" s="20"/>
      <c r="D197" s="19"/>
      <c r="E197" s="23"/>
      <c r="F197" s="2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20"/>
      <c r="C198" s="20"/>
      <c r="D198" s="19"/>
      <c r="E198" s="23"/>
      <c r="F198" s="2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20"/>
      <c r="C199" s="20"/>
      <c r="D199" s="19"/>
      <c r="E199" s="23"/>
      <c r="F199" s="2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20"/>
      <c r="C200" s="20"/>
      <c r="D200" s="19"/>
      <c r="E200" s="23"/>
      <c r="F200" s="2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20"/>
      <c r="C201" s="20"/>
      <c r="D201" s="19"/>
      <c r="E201" s="23"/>
      <c r="F201" s="2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20"/>
      <c r="C202" s="20"/>
      <c r="D202" s="19"/>
      <c r="E202" s="23"/>
      <c r="F202" s="2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20"/>
      <c r="C203" s="20"/>
      <c r="D203" s="19"/>
      <c r="E203" s="23"/>
      <c r="F203" s="2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20"/>
      <c r="C204" s="20"/>
      <c r="D204" s="19"/>
      <c r="E204" s="23"/>
      <c r="F204" s="2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20"/>
      <c r="C205" s="20"/>
      <c r="D205" s="19"/>
      <c r="E205" s="23"/>
      <c r="F205" s="2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20"/>
      <c r="C206" s="20"/>
      <c r="D206" s="19"/>
      <c r="E206" s="23"/>
      <c r="F206" s="2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20"/>
      <c r="C207" s="20"/>
      <c r="D207" s="19"/>
      <c r="E207" s="23"/>
      <c r="F207" s="2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20"/>
      <c r="C208" s="20"/>
      <c r="D208" s="19"/>
      <c r="E208" s="23"/>
      <c r="F208" s="2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20"/>
      <c r="C209" s="20"/>
      <c r="D209" s="19"/>
      <c r="E209" s="23"/>
      <c r="F209" s="2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20"/>
      <c r="C210" s="20"/>
      <c r="D210" s="19"/>
      <c r="E210" s="23"/>
      <c r="F210" s="2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20"/>
      <c r="C211" s="20"/>
      <c r="D211" s="19"/>
      <c r="E211" s="23"/>
      <c r="F211" s="2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20"/>
      <c r="C212" s="20"/>
      <c r="D212" s="19"/>
      <c r="E212" s="23"/>
      <c r="F212" s="2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20"/>
      <c r="C213" s="20"/>
      <c r="D213" s="19"/>
      <c r="E213" s="23"/>
      <c r="F213" s="2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20"/>
      <c r="C214" s="20"/>
      <c r="D214" s="19"/>
      <c r="E214" s="23"/>
      <c r="F214" s="2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20"/>
      <c r="C215" s="20"/>
      <c r="D215" s="19"/>
      <c r="E215" s="23"/>
      <c r="F215" s="2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20"/>
      <c r="C216" s="20"/>
      <c r="D216" s="19"/>
      <c r="E216" s="23"/>
      <c r="F216" s="2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20"/>
      <c r="C217" s="20"/>
      <c r="D217" s="19"/>
      <c r="E217" s="23"/>
      <c r="F217" s="2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20"/>
      <c r="C218" s="20"/>
      <c r="D218" s="19"/>
      <c r="E218" s="23"/>
      <c r="F218" s="2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20"/>
      <c r="C219" s="20"/>
      <c r="D219" s="19"/>
      <c r="E219" s="23"/>
      <c r="F219" s="2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20"/>
      <c r="C220" s="20"/>
      <c r="D220" s="19"/>
      <c r="E220" s="23"/>
      <c r="F220" s="2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20"/>
      <c r="C221" s="20"/>
      <c r="D221" s="19"/>
      <c r="E221" s="23"/>
      <c r="F221" s="2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20"/>
      <c r="C222" s="20"/>
      <c r="D222" s="19"/>
      <c r="E222" s="23"/>
      <c r="F222" s="2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20"/>
      <c r="C223" s="20"/>
      <c r="D223" s="19"/>
      <c r="E223" s="23"/>
      <c r="F223" s="2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20"/>
      <c r="C224" s="20"/>
      <c r="D224" s="19"/>
      <c r="E224" s="23"/>
      <c r="F224" s="2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20"/>
      <c r="C225" s="20"/>
      <c r="D225" s="19"/>
      <c r="E225" s="23"/>
      <c r="F225" s="2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20"/>
      <c r="C226" s="20"/>
      <c r="D226" s="19"/>
      <c r="E226" s="23"/>
      <c r="F226" s="2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20"/>
      <c r="C227" s="20"/>
      <c r="D227" s="19"/>
      <c r="E227" s="23"/>
      <c r="F227" s="2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20"/>
      <c r="C228" s="20"/>
      <c r="D228" s="19"/>
      <c r="E228" s="23"/>
      <c r="F228" s="2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20"/>
      <c r="C229" s="20"/>
      <c r="D229" s="19"/>
      <c r="E229" s="23"/>
      <c r="F229" s="2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20"/>
      <c r="C230" s="20"/>
      <c r="D230" s="19"/>
      <c r="E230" s="23"/>
      <c r="F230" s="2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20"/>
      <c r="C231" s="20"/>
      <c r="D231" s="19"/>
      <c r="E231" s="23"/>
      <c r="F231" s="2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20"/>
      <c r="C232" s="20"/>
      <c r="D232" s="19"/>
      <c r="E232" s="23"/>
      <c r="F232" s="2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20"/>
      <c r="C233" s="20"/>
      <c r="D233" s="19"/>
      <c r="E233" s="23"/>
      <c r="F233" s="2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20"/>
      <c r="C234" s="20"/>
      <c r="D234" s="19"/>
      <c r="E234" s="23"/>
      <c r="F234" s="2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20"/>
      <c r="C235" s="20"/>
      <c r="D235" s="19"/>
      <c r="E235" s="23"/>
      <c r="F235" s="2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20"/>
      <c r="C236" s="20"/>
      <c r="D236" s="19"/>
      <c r="E236" s="23"/>
      <c r="F236" s="2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20"/>
      <c r="C237" s="20"/>
      <c r="D237" s="19"/>
      <c r="E237" s="23"/>
      <c r="F237" s="2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20"/>
      <c r="C238" s="20"/>
      <c r="D238" s="19"/>
      <c r="E238" s="23"/>
      <c r="F238" s="2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20"/>
      <c r="C239" s="20"/>
      <c r="D239" s="19"/>
      <c r="E239" s="23"/>
      <c r="F239" s="2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20"/>
      <c r="C240" s="20"/>
      <c r="D240" s="19"/>
      <c r="E240" s="23"/>
      <c r="F240" s="2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20"/>
      <c r="C241" s="20"/>
      <c r="D241" s="19"/>
      <c r="E241" s="23"/>
      <c r="F241" s="2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20"/>
      <c r="C242" s="20"/>
      <c r="D242" s="19"/>
      <c r="E242" s="23"/>
      <c r="F242" s="2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20"/>
      <c r="C243" s="20"/>
      <c r="D243" s="19"/>
      <c r="E243" s="23"/>
      <c r="F243" s="2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20"/>
      <c r="C244" s="20"/>
      <c r="D244" s="19"/>
      <c r="E244" s="23"/>
      <c r="F244" s="2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20"/>
      <c r="C245" s="20"/>
      <c r="D245" s="19"/>
      <c r="E245" s="23"/>
      <c r="F245" s="2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20"/>
      <c r="C246" s="20"/>
      <c r="D246" s="19"/>
      <c r="E246" s="23"/>
      <c r="F246" s="2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20"/>
      <c r="C247" s="20"/>
      <c r="D247" s="19"/>
      <c r="E247" s="23"/>
      <c r="F247" s="2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20"/>
      <c r="C248" s="20"/>
      <c r="D248" s="19"/>
      <c r="E248" s="23"/>
      <c r="F248" s="2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20"/>
      <c r="C249" s="20"/>
      <c r="D249" s="19"/>
      <c r="E249" s="23"/>
      <c r="F249" s="2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20"/>
      <c r="C250" s="20"/>
      <c r="D250" s="19"/>
      <c r="E250" s="23"/>
      <c r="F250" s="2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20"/>
      <c r="C251" s="20"/>
      <c r="D251" s="19"/>
      <c r="E251" s="23"/>
      <c r="F251" s="2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20"/>
      <c r="C252" s="20"/>
      <c r="D252" s="19"/>
      <c r="E252" s="23"/>
      <c r="F252" s="2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20"/>
      <c r="C253" s="20"/>
      <c r="D253" s="19"/>
      <c r="E253" s="23"/>
      <c r="F253" s="2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20"/>
      <c r="C254" s="20"/>
      <c r="D254" s="19"/>
      <c r="E254" s="23"/>
      <c r="F254" s="2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20"/>
      <c r="C255" s="20"/>
      <c r="D255" s="19"/>
      <c r="E255" s="23"/>
      <c r="F255" s="2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20"/>
      <c r="C256" s="20"/>
      <c r="D256" s="19"/>
      <c r="E256" s="23"/>
      <c r="F256" s="2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20"/>
      <c r="C257" s="20"/>
      <c r="D257" s="19"/>
      <c r="E257" s="23"/>
      <c r="F257" s="2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20"/>
      <c r="C258" s="20"/>
      <c r="D258" s="19"/>
      <c r="E258" s="23"/>
      <c r="F258" s="2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20"/>
      <c r="C259" s="20"/>
      <c r="D259" s="19"/>
      <c r="E259" s="23"/>
      <c r="F259" s="2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20"/>
      <c r="C260" s="20"/>
      <c r="D260" s="19"/>
      <c r="E260" s="23"/>
      <c r="F260" s="2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20"/>
      <c r="C261" s="20"/>
      <c r="D261" s="19"/>
      <c r="E261" s="23"/>
      <c r="F261" s="2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20"/>
      <c r="C262" s="20"/>
      <c r="D262" s="19"/>
      <c r="E262" s="23"/>
      <c r="F262" s="2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20"/>
      <c r="C263" s="20"/>
      <c r="D263" s="19"/>
      <c r="E263" s="23"/>
      <c r="F263" s="2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20"/>
      <c r="C264" s="20"/>
      <c r="D264" s="19"/>
      <c r="E264" s="23"/>
      <c r="F264" s="2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20"/>
      <c r="C265" s="20"/>
      <c r="D265" s="19"/>
      <c r="E265" s="23"/>
      <c r="F265" s="2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20"/>
      <c r="C266" s="20"/>
      <c r="D266" s="19"/>
      <c r="E266" s="23"/>
      <c r="F266" s="2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20"/>
      <c r="C267" s="20"/>
      <c r="D267" s="19"/>
      <c r="E267" s="23"/>
      <c r="F267" s="2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20"/>
      <c r="C268" s="20"/>
      <c r="D268" s="19"/>
      <c r="E268" s="23"/>
      <c r="F268" s="2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20"/>
      <c r="C269" s="20"/>
      <c r="D269" s="19"/>
      <c r="E269" s="23"/>
      <c r="F269" s="2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20"/>
      <c r="C270" s="20"/>
      <c r="D270" s="19"/>
      <c r="E270" s="23"/>
      <c r="F270" s="2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20"/>
      <c r="C271" s="20"/>
      <c r="D271" s="19"/>
      <c r="E271" s="23"/>
      <c r="F271" s="2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20"/>
      <c r="C272" s="20"/>
      <c r="D272" s="19"/>
      <c r="E272" s="23"/>
      <c r="F272" s="2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20"/>
      <c r="C273" s="20"/>
      <c r="D273" s="19"/>
      <c r="E273" s="23"/>
      <c r="F273" s="2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20"/>
      <c r="C274" s="20"/>
      <c r="D274" s="19"/>
      <c r="E274" s="23"/>
      <c r="F274" s="2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20"/>
      <c r="C275" s="20"/>
      <c r="D275" s="19"/>
      <c r="E275" s="23"/>
      <c r="F275" s="2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20"/>
      <c r="C276" s="20"/>
      <c r="D276" s="19"/>
      <c r="E276" s="23"/>
      <c r="F276" s="2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20"/>
      <c r="C277" s="20"/>
      <c r="D277" s="19"/>
      <c r="E277" s="23"/>
      <c r="F277" s="2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20"/>
      <c r="C278" s="20"/>
      <c r="D278" s="19"/>
      <c r="E278" s="23"/>
      <c r="F278" s="2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20"/>
      <c r="C279" s="20"/>
      <c r="D279" s="19"/>
      <c r="E279" s="23"/>
      <c r="F279" s="2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20"/>
      <c r="C280" s="20"/>
      <c r="D280" s="19"/>
      <c r="E280" s="23"/>
      <c r="F280" s="2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20"/>
      <c r="C281" s="20"/>
      <c r="D281" s="19"/>
      <c r="E281" s="23"/>
      <c r="F281" s="2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20"/>
      <c r="C282" s="20"/>
      <c r="D282" s="19"/>
      <c r="E282" s="23"/>
      <c r="F282" s="2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20"/>
      <c r="C283" s="20"/>
      <c r="D283" s="19"/>
      <c r="E283" s="23"/>
      <c r="F283" s="2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20"/>
      <c r="C284" s="20"/>
      <c r="D284" s="19"/>
      <c r="E284" s="23"/>
      <c r="F284" s="2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20"/>
      <c r="C285" s="20"/>
      <c r="D285" s="19"/>
      <c r="E285" s="23"/>
      <c r="F285" s="2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20"/>
      <c r="C286" s="20"/>
      <c r="D286" s="19"/>
      <c r="E286" s="23"/>
      <c r="F286" s="2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20"/>
      <c r="C287" s="20"/>
      <c r="D287" s="19"/>
      <c r="E287" s="23"/>
      <c r="F287" s="2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20"/>
      <c r="C288" s="20"/>
      <c r="D288" s="19"/>
      <c r="E288" s="23"/>
      <c r="F288" s="2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20"/>
      <c r="C289" s="20"/>
      <c r="D289" s="19"/>
      <c r="E289" s="23"/>
      <c r="F289" s="2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20"/>
      <c r="C290" s="20"/>
      <c r="D290" s="19"/>
      <c r="E290" s="23"/>
      <c r="F290" s="2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20"/>
      <c r="C291" s="20"/>
      <c r="D291" s="19"/>
      <c r="E291" s="23"/>
      <c r="F291" s="2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20"/>
      <c r="C292" s="20"/>
      <c r="D292" s="19"/>
      <c r="E292" s="23"/>
      <c r="F292" s="2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20"/>
      <c r="C293" s="20"/>
      <c r="D293" s="19"/>
      <c r="E293" s="23"/>
      <c r="F293" s="2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20"/>
      <c r="C294" s="20"/>
      <c r="D294" s="19"/>
      <c r="E294" s="23"/>
      <c r="F294" s="2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20"/>
      <c r="C295" s="20"/>
      <c r="D295" s="19"/>
      <c r="E295" s="23"/>
      <c r="F295" s="2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20"/>
      <c r="C296" s="20"/>
      <c r="D296" s="19"/>
      <c r="E296" s="23"/>
      <c r="F296" s="2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20"/>
      <c r="C297" s="20"/>
      <c r="D297" s="19"/>
      <c r="E297" s="23"/>
      <c r="F297" s="2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20"/>
      <c r="C298" s="20"/>
      <c r="D298" s="19"/>
      <c r="E298" s="23"/>
      <c r="F298" s="2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20"/>
      <c r="C299" s="20"/>
      <c r="D299" s="19"/>
      <c r="E299" s="23"/>
      <c r="F299" s="2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20"/>
      <c r="C300" s="20"/>
      <c r="D300" s="19"/>
      <c r="E300" s="23"/>
      <c r="F300" s="2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20"/>
      <c r="C301" s="20"/>
      <c r="D301" s="19"/>
      <c r="E301" s="23"/>
      <c r="F301" s="2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20"/>
      <c r="C302" s="20"/>
      <c r="D302" s="19"/>
      <c r="E302" s="23"/>
      <c r="F302" s="2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20"/>
      <c r="C303" s="20"/>
      <c r="D303" s="19"/>
      <c r="E303" s="23"/>
      <c r="F303" s="2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20"/>
      <c r="C304" s="20"/>
      <c r="D304" s="19"/>
      <c r="E304" s="23"/>
      <c r="F304" s="2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20"/>
      <c r="C305" s="20"/>
      <c r="D305" s="19"/>
      <c r="E305" s="23"/>
      <c r="F305" s="2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20"/>
      <c r="C306" s="20"/>
      <c r="D306" s="19"/>
      <c r="E306" s="23"/>
      <c r="F306" s="2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20"/>
      <c r="C307" s="20"/>
      <c r="D307" s="19"/>
      <c r="E307" s="23"/>
      <c r="F307" s="2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20"/>
      <c r="C308" s="20"/>
      <c r="D308" s="19"/>
      <c r="E308" s="23"/>
      <c r="F308" s="2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20"/>
      <c r="C309" s="20"/>
      <c r="D309" s="19"/>
      <c r="E309" s="23"/>
      <c r="F309" s="2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20"/>
      <c r="C310" s="20"/>
      <c r="D310" s="19"/>
      <c r="E310" s="23"/>
      <c r="F310" s="2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20"/>
      <c r="C311" s="20"/>
      <c r="D311" s="19"/>
      <c r="E311" s="23"/>
      <c r="F311" s="2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20"/>
      <c r="C312" s="20"/>
      <c r="D312" s="19"/>
      <c r="E312" s="23"/>
      <c r="F312" s="2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20"/>
      <c r="C313" s="20"/>
      <c r="D313" s="19"/>
      <c r="E313" s="23"/>
      <c r="F313" s="2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20"/>
      <c r="C314" s="20"/>
      <c r="D314" s="19"/>
      <c r="E314" s="23"/>
      <c r="F314" s="2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20"/>
      <c r="C315" s="20"/>
      <c r="D315" s="19"/>
      <c r="E315" s="23"/>
      <c r="F315" s="2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20"/>
      <c r="C316" s="20"/>
      <c r="D316" s="19"/>
      <c r="E316" s="23"/>
      <c r="F316" s="2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20"/>
      <c r="C317" s="20"/>
      <c r="D317" s="19"/>
      <c r="E317" s="23"/>
      <c r="F317" s="2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20"/>
      <c r="C318" s="20"/>
      <c r="D318" s="19"/>
      <c r="E318" s="23"/>
      <c r="F318" s="2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20"/>
      <c r="C319" s="20"/>
      <c r="D319" s="19"/>
      <c r="E319" s="23"/>
      <c r="F319" s="2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20"/>
      <c r="C320" s="20"/>
      <c r="D320" s="19"/>
      <c r="E320" s="23"/>
      <c r="F320" s="2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20"/>
      <c r="C321" s="20"/>
      <c r="D321" s="19"/>
      <c r="E321" s="23"/>
      <c r="F321" s="2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20"/>
      <c r="C322" s="20"/>
      <c r="D322" s="19"/>
      <c r="E322" s="23"/>
      <c r="F322" s="2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20"/>
      <c r="C323" s="20"/>
      <c r="D323" s="19"/>
      <c r="E323" s="23"/>
      <c r="F323" s="2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20"/>
      <c r="C324" s="20"/>
      <c r="D324" s="19"/>
      <c r="E324" s="23"/>
      <c r="F324" s="2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20"/>
      <c r="C325" s="20"/>
      <c r="D325" s="19"/>
      <c r="E325" s="23"/>
      <c r="F325" s="2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20"/>
      <c r="C326" s="20"/>
      <c r="D326" s="19"/>
      <c r="E326" s="23"/>
      <c r="F326" s="2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20"/>
      <c r="C327" s="20"/>
      <c r="D327" s="19"/>
      <c r="E327" s="23"/>
      <c r="F327" s="2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20"/>
      <c r="C328" s="20"/>
      <c r="D328" s="19"/>
      <c r="E328" s="23"/>
      <c r="F328" s="2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20"/>
      <c r="C329" s="20"/>
      <c r="D329" s="19"/>
      <c r="E329" s="23"/>
      <c r="F329" s="2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20"/>
      <c r="C330" s="20"/>
      <c r="D330" s="19"/>
      <c r="E330" s="23"/>
      <c r="F330" s="2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20"/>
      <c r="C331" s="20"/>
      <c r="D331" s="19"/>
      <c r="E331" s="23"/>
      <c r="F331" s="2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20"/>
      <c r="C332" s="20"/>
      <c r="D332" s="19"/>
      <c r="E332" s="23"/>
      <c r="F332" s="2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20"/>
      <c r="C333" s="20"/>
      <c r="D333" s="19"/>
      <c r="E333" s="23"/>
      <c r="F333" s="2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20"/>
      <c r="C334" s="20"/>
      <c r="D334" s="19"/>
      <c r="E334" s="23"/>
      <c r="F334" s="2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20"/>
      <c r="C335" s="20"/>
      <c r="D335" s="19"/>
      <c r="E335" s="23"/>
      <c r="F335" s="2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20"/>
      <c r="C336" s="20"/>
      <c r="D336" s="19"/>
      <c r="E336" s="23"/>
      <c r="F336" s="2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20"/>
      <c r="C337" s="20"/>
      <c r="D337" s="19"/>
      <c r="E337" s="23"/>
      <c r="F337" s="2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20"/>
      <c r="C338" s="20"/>
      <c r="D338" s="19"/>
      <c r="E338" s="23"/>
      <c r="F338" s="2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20"/>
      <c r="C339" s="20"/>
      <c r="D339" s="19"/>
      <c r="E339" s="23"/>
      <c r="F339" s="2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20"/>
      <c r="C340" s="20"/>
      <c r="D340" s="19"/>
      <c r="E340" s="23"/>
      <c r="F340" s="2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20"/>
      <c r="C341" s="20"/>
      <c r="D341" s="19"/>
      <c r="E341" s="23"/>
      <c r="F341" s="2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20"/>
      <c r="C342" s="20"/>
      <c r="D342" s="19"/>
      <c r="E342" s="23"/>
      <c r="F342" s="2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20"/>
      <c r="C343" s="20"/>
      <c r="D343" s="19"/>
      <c r="E343" s="23"/>
      <c r="F343" s="2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20"/>
      <c r="C344" s="20"/>
      <c r="D344" s="19"/>
      <c r="E344" s="23"/>
      <c r="F344" s="2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20"/>
      <c r="C345" s="20"/>
      <c r="D345" s="19"/>
      <c r="E345" s="23"/>
      <c r="F345" s="2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20"/>
      <c r="C346" s="20"/>
      <c r="D346" s="19"/>
      <c r="E346" s="23"/>
      <c r="F346" s="2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20"/>
      <c r="C347" s="20"/>
      <c r="D347" s="19"/>
      <c r="E347" s="23"/>
      <c r="F347" s="2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20"/>
      <c r="C348" s="20"/>
      <c r="D348" s="19"/>
      <c r="E348" s="23"/>
      <c r="F348" s="2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20"/>
      <c r="C349" s="20"/>
      <c r="D349" s="19"/>
      <c r="E349" s="23"/>
      <c r="F349" s="2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20"/>
      <c r="C350" s="20"/>
      <c r="D350" s="19"/>
      <c r="E350" s="23"/>
      <c r="F350" s="2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20"/>
      <c r="C351" s="20"/>
      <c r="D351" s="19"/>
      <c r="E351" s="23"/>
      <c r="F351" s="2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20"/>
      <c r="C352" s="20"/>
      <c r="D352" s="19"/>
      <c r="E352" s="23"/>
      <c r="F352" s="2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20"/>
      <c r="C353" s="20"/>
      <c r="D353" s="19"/>
      <c r="E353" s="23"/>
      <c r="F353" s="2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20"/>
      <c r="C354" s="20"/>
      <c r="D354" s="19"/>
      <c r="E354" s="23"/>
      <c r="F354" s="2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20"/>
      <c r="C355" s="20"/>
      <c r="D355" s="19"/>
      <c r="E355" s="23"/>
      <c r="F355" s="2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20"/>
      <c r="C356" s="20"/>
      <c r="D356" s="19"/>
      <c r="E356" s="23"/>
      <c r="F356" s="2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20"/>
      <c r="C357" s="20"/>
      <c r="D357" s="19"/>
      <c r="E357" s="23"/>
      <c r="F357" s="2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20"/>
      <c r="C358" s="20"/>
      <c r="D358" s="19"/>
      <c r="E358" s="23"/>
      <c r="F358" s="2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20"/>
      <c r="C359" s="20"/>
      <c r="D359" s="19"/>
      <c r="E359" s="23"/>
      <c r="F359" s="2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20"/>
      <c r="C360" s="20"/>
      <c r="D360" s="19"/>
      <c r="E360" s="23"/>
      <c r="F360" s="2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20"/>
      <c r="C361" s="20"/>
      <c r="D361" s="19"/>
      <c r="E361" s="23"/>
      <c r="F361" s="2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20"/>
      <c r="C362" s="20"/>
      <c r="D362" s="19"/>
      <c r="E362" s="23"/>
      <c r="F362" s="2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20"/>
      <c r="C363" s="20"/>
      <c r="D363" s="19"/>
      <c r="E363" s="23"/>
      <c r="F363" s="2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20"/>
      <c r="C364" s="20"/>
      <c r="D364" s="19"/>
      <c r="E364" s="23"/>
      <c r="F364" s="2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20"/>
      <c r="C365" s="20"/>
      <c r="D365" s="19"/>
      <c r="E365" s="23"/>
      <c r="F365" s="2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20"/>
      <c r="C366" s="20"/>
      <c r="D366" s="19"/>
      <c r="E366" s="23"/>
      <c r="F366" s="2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20"/>
      <c r="C367" s="20"/>
      <c r="D367" s="19"/>
      <c r="E367" s="23"/>
      <c r="F367" s="2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20"/>
      <c r="C368" s="20"/>
      <c r="D368" s="19"/>
      <c r="E368" s="23"/>
      <c r="F368" s="2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20"/>
      <c r="C369" s="20"/>
      <c r="D369" s="19"/>
      <c r="E369" s="23"/>
      <c r="F369" s="2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20"/>
      <c r="C370" s="20"/>
      <c r="D370" s="19"/>
      <c r="E370" s="23"/>
      <c r="F370" s="2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20"/>
      <c r="C371" s="20"/>
      <c r="D371" s="19"/>
      <c r="E371" s="23"/>
      <c r="F371" s="2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20"/>
      <c r="C372" s="20"/>
      <c r="D372" s="19"/>
      <c r="E372" s="23"/>
      <c r="F372" s="2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20"/>
      <c r="C373" s="20"/>
      <c r="D373" s="19"/>
      <c r="E373" s="23"/>
      <c r="F373" s="2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20"/>
      <c r="C374" s="20"/>
      <c r="D374" s="19"/>
      <c r="E374" s="23"/>
      <c r="F374" s="2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20"/>
      <c r="C375" s="20"/>
      <c r="D375" s="19"/>
      <c r="E375" s="23"/>
      <c r="F375" s="2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20"/>
      <c r="C376" s="20"/>
      <c r="D376" s="19"/>
      <c r="E376" s="23"/>
      <c r="F376" s="2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20"/>
      <c r="C377" s="20"/>
      <c r="D377" s="19"/>
      <c r="E377" s="23"/>
      <c r="F377" s="2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20"/>
      <c r="C378" s="20"/>
      <c r="D378" s="19"/>
      <c r="E378" s="23"/>
      <c r="F378" s="2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20"/>
      <c r="C379" s="20"/>
      <c r="D379" s="19"/>
      <c r="E379" s="23"/>
      <c r="F379" s="2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20"/>
      <c r="C380" s="20"/>
      <c r="D380" s="19"/>
      <c r="E380" s="23"/>
      <c r="F380" s="2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20"/>
      <c r="C381" s="20"/>
      <c r="D381" s="19"/>
      <c r="E381" s="23"/>
      <c r="F381" s="2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20"/>
      <c r="C382" s="20"/>
      <c r="D382" s="19"/>
      <c r="E382" s="23"/>
      <c r="F382" s="2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20"/>
      <c r="C383" s="20"/>
      <c r="D383" s="19"/>
      <c r="E383" s="23"/>
      <c r="F383" s="2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20"/>
      <c r="C384" s="20"/>
      <c r="D384" s="19"/>
      <c r="E384" s="23"/>
      <c r="F384" s="2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20"/>
      <c r="C385" s="20"/>
      <c r="D385" s="19"/>
      <c r="E385" s="23"/>
      <c r="F385" s="2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20"/>
      <c r="C386" s="20"/>
      <c r="D386" s="19"/>
      <c r="E386" s="23"/>
      <c r="F386" s="2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20"/>
      <c r="C387" s="20"/>
      <c r="D387" s="19"/>
      <c r="E387" s="23"/>
      <c r="F387" s="2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20"/>
      <c r="C388" s="20"/>
      <c r="D388" s="19"/>
      <c r="E388" s="23"/>
      <c r="F388" s="2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20"/>
      <c r="C389" s="20"/>
      <c r="D389" s="19"/>
      <c r="E389" s="23"/>
      <c r="F389" s="2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20"/>
      <c r="C390" s="20"/>
      <c r="D390" s="19"/>
      <c r="E390" s="23"/>
      <c r="F390" s="2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20"/>
      <c r="C391" s="20"/>
      <c r="D391" s="19"/>
      <c r="E391" s="23"/>
      <c r="F391" s="2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20"/>
      <c r="C392" s="20"/>
      <c r="D392" s="19"/>
      <c r="E392" s="23"/>
      <c r="F392" s="2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20"/>
      <c r="C393" s="20"/>
      <c r="D393" s="19"/>
      <c r="E393" s="23"/>
      <c r="F393" s="2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20"/>
      <c r="C394" s="20"/>
      <c r="D394" s="19"/>
      <c r="E394" s="23"/>
      <c r="F394" s="2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20"/>
      <c r="C395" s="20"/>
      <c r="D395" s="19"/>
      <c r="E395" s="23"/>
      <c r="F395" s="2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20"/>
      <c r="C396" s="20"/>
      <c r="D396" s="19"/>
      <c r="E396" s="23"/>
      <c r="F396" s="2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20"/>
      <c r="C397" s="20"/>
      <c r="D397" s="19"/>
      <c r="E397" s="23"/>
      <c r="F397" s="2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20"/>
      <c r="C398" s="20"/>
      <c r="D398" s="19"/>
      <c r="E398" s="23"/>
      <c r="F398" s="2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20"/>
      <c r="C399" s="20"/>
      <c r="D399" s="19"/>
      <c r="E399" s="23"/>
      <c r="F399" s="2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20"/>
      <c r="C400" s="20"/>
      <c r="D400" s="19"/>
      <c r="E400" s="23"/>
      <c r="F400" s="2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20"/>
      <c r="C401" s="20"/>
      <c r="D401" s="19"/>
      <c r="E401" s="23"/>
      <c r="F401" s="2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20"/>
      <c r="C402" s="20"/>
      <c r="D402" s="19"/>
      <c r="E402" s="23"/>
      <c r="F402" s="2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20"/>
      <c r="C403" s="20"/>
      <c r="D403" s="19"/>
      <c r="E403" s="23"/>
      <c r="F403" s="2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20"/>
      <c r="C404" s="20"/>
      <c r="D404" s="19"/>
      <c r="E404" s="23"/>
      <c r="F404" s="2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20"/>
      <c r="C405" s="20"/>
      <c r="D405" s="19"/>
      <c r="E405" s="23"/>
      <c r="F405" s="2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20"/>
      <c r="C406" s="20"/>
      <c r="D406" s="19"/>
      <c r="E406" s="23"/>
      <c r="F406" s="2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20"/>
      <c r="C407" s="20"/>
      <c r="D407" s="19"/>
      <c r="E407" s="23"/>
      <c r="F407" s="2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20"/>
      <c r="C408" s="20"/>
      <c r="D408" s="19"/>
      <c r="E408" s="23"/>
      <c r="F408" s="2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20"/>
      <c r="C409" s="20"/>
      <c r="D409" s="19"/>
      <c r="E409" s="23"/>
      <c r="F409" s="2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20"/>
      <c r="C410" s="20"/>
      <c r="D410" s="19"/>
      <c r="E410" s="23"/>
      <c r="F410" s="2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20"/>
      <c r="C411" s="20"/>
      <c r="D411" s="19"/>
      <c r="E411" s="23"/>
      <c r="F411" s="2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20"/>
      <c r="C412" s="20"/>
      <c r="D412" s="19"/>
      <c r="E412" s="23"/>
      <c r="F412" s="2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20"/>
      <c r="C413" s="20"/>
      <c r="D413" s="19"/>
      <c r="E413" s="23"/>
      <c r="F413" s="2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20"/>
      <c r="C414" s="20"/>
      <c r="D414" s="19"/>
      <c r="E414" s="23"/>
      <c r="F414" s="2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20"/>
      <c r="C415" s="20"/>
      <c r="D415" s="19"/>
      <c r="E415" s="23"/>
      <c r="F415" s="2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20"/>
      <c r="C416" s="20"/>
      <c r="D416" s="19"/>
      <c r="E416" s="23"/>
      <c r="F416" s="2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20"/>
      <c r="C417" s="20"/>
      <c r="D417" s="19"/>
      <c r="E417" s="23"/>
      <c r="F417" s="2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20"/>
      <c r="C418" s="20"/>
      <c r="D418" s="19"/>
      <c r="E418" s="23"/>
      <c r="F418" s="2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20"/>
      <c r="C419" s="20"/>
      <c r="D419" s="19"/>
      <c r="E419" s="23"/>
      <c r="F419" s="2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20"/>
      <c r="C420" s="20"/>
      <c r="D420" s="19"/>
      <c r="E420" s="23"/>
      <c r="F420" s="2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20"/>
      <c r="C421" s="20"/>
      <c r="D421" s="19"/>
      <c r="E421" s="23"/>
      <c r="F421" s="2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20"/>
      <c r="C422" s="20"/>
      <c r="D422" s="19"/>
      <c r="E422" s="23"/>
      <c r="F422" s="2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20"/>
      <c r="C423" s="20"/>
      <c r="D423" s="19"/>
      <c r="E423" s="23"/>
      <c r="F423" s="2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20"/>
      <c r="C424" s="20"/>
      <c r="D424" s="19"/>
      <c r="E424" s="23"/>
      <c r="F424" s="2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20"/>
      <c r="C425" s="20"/>
      <c r="D425" s="19"/>
      <c r="E425" s="23"/>
      <c r="F425" s="2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20"/>
      <c r="C426" s="20"/>
      <c r="D426" s="19"/>
      <c r="E426" s="23"/>
      <c r="F426" s="2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20"/>
      <c r="C427" s="20"/>
      <c r="D427" s="19"/>
      <c r="E427" s="23"/>
      <c r="F427" s="2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20"/>
      <c r="C428" s="20"/>
      <c r="D428" s="19"/>
      <c r="E428" s="23"/>
      <c r="F428" s="2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20"/>
      <c r="C429" s="20"/>
      <c r="D429" s="19"/>
      <c r="E429" s="23"/>
      <c r="F429" s="2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20"/>
      <c r="C430" s="20"/>
      <c r="D430" s="19"/>
      <c r="E430" s="23"/>
      <c r="F430" s="2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20"/>
      <c r="C431" s="20"/>
      <c r="D431" s="19"/>
      <c r="E431" s="23"/>
      <c r="F431" s="2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20"/>
      <c r="C432" s="20"/>
      <c r="D432" s="19"/>
      <c r="E432" s="23"/>
      <c r="F432" s="2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20"/>
      <c r="C433" s="20"/>
      <c r="D433" s="19"/>
      <c r="E433" s="23"/>
      <c r="F433" s="2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20"/>
      <c r="C434" s="20"/>
      <c r="D434" s="19"/>
      <c r="E434" s="23"/>
      <c r="F434" s="2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20"/>
      <c r="C435" s="20"/>
      <c r="D435" s="19"/>
      <c r="E435" s="23"/>
      <c r="F435" s="2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20"/>
      <c r="C436" s="20"/>
      <c r="D436" s="19"/>
      <c r="E436" s="23"/>
      <c r="F436" s="2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20"/>
      <c r="C437" s="20"/>
      <c r="D437" s="19"/>
      <c r="E437" s="23"/>
      <c r="F437" s="2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20"/>
      <c r="C438" s="20"/>
      <c r="D438" s="19"/>
      <c r="E438" s="23"/>
      <c r="F438" s="2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20"/>
      <c r="C439" s="20"/>
      <c r="D439" s="19"/>
      <c r="E439" s="23"/>
      <c r="F439" s="2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20"/>
      <c r="C440" s="20"/>
      <c r="D440" s="19"/>
      <c r="E440" s="23"/>
      <c r="F440" s="2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20"/>
      <c r="C441" s="20"/>
      <c r="D441" s="19"/>
      <c r="E441" s="23"/>
      <c r="F441" s="2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20"/>
      <c r="C442" s="20"/>
      <c r="D442" s="19"/>
      <c r="E442" s="23"/>
      <c r="F442" s="2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20"/>
      <c r="C443" s="20"/>
      <c r="D443" s="19"/>
      <c r="E443" s="23"/>
      <c r="F443" s="2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20"/>
      <c r="C444" s="20"/>
      <c r="D444" s="19"/>
      <c r="E444" s="23"/>
      <c r="F444" s="2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20"/>
      <c r="C445" s="20"/>
      <c r="D445" s="19"/>
      <c r="E445" s="23"/>
      <c r="F445" s="2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20"/>
      <c r="C446" s="20"/>
      <c r="D446" s="19"/>
      <c r="E446" s="23"/>
      <c r="F446" s="2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20"/>
      <c r="C447" s="20"/>
      <c r="D447" s="19"/>
      <c r="E447" s="23"/>
      <c r="F447" s="2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20"/>
      <c r="C448" s="20"/>
      <c r="D448" s="19"/>
      <c r="E448" s="23"/>
      <c r="F448" s="2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20"/>
      <c r="C449" s="20"/>
      <c r="D449" s="19"/>
      <c r="E449" s="23"/>
      <c r="F449" s="2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20"/>
      <c r="C450" s="20"/>
      <c r="D450" s="19"/>
      <c r="E450" s="23"/>
      <c r="F450" s="2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20"/>
      <c r="C451" s="20"/>
      <c r="D451" s="19"/>
      <c r="E451" s="23"/>
      <c r="F451" s="2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20"/>
      <c r="C452" s="20"/>
      <c r="D452" s="19"/>
      <c r="E452" s="23"/>
      <c r="F452" s="2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20"/>
      <c r="C453" s="20"/>
      <c r="D453" s="19"/>
      <c r="E453" s="23"/>
      <c r="F453" s="2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20"/>
      <c r="C454" s="20"/>
      <c r="D454" s="19"/>
      <c r="E454" s="23"/>
      <c r="F454" s="2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20"/>
      <c r="C455" s="20"/>
      <c r="D455" s="19"/>
      <c r="E455" s="23"/>
      <c r="F455" s="2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20"/>
      <c r="C456" s="20"/>
      <c r="D456" s="19"/>
      <c r="E456" s="23"/>
      <c r="F456" s="2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20"/>
      <c r="C457" s="20"/>
      <c r="D457" s="19"/>
      <c r="E457" s="23"/>
      <c r="F457" s="2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20"/>
      <c r="C458" s="20"/>
      <c r="D458" s="19"/>
      <c r="E458" s="23"/>
      <c r="F458" s="2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20"/>
      <c r="C459" s="20"/>
      <c r="D459" s="19"/>
      <c r="E459" s="23"/>
      <c r="F459" s="2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20"/>
      <c r="C460" s="20"/>
      <c r="D460" s="19"/>
      <c r="E460" s="23"/>
      <c r="F460" s="2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20"/>
      <c r="C461" s="20"/>
      <c r="D461" s="19"/>
      <c r="E461" s="23"/>
      <c r="F461" s="2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20"/>
      <c r="C462" s="20"/>
      <c r="D462" s="19"/>
      <c r="E462" s="23"/>
      <c r="F462" s="2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20"/>
      <c r="C463" s="20"/>
      <c r="D463" s="19"/>
      <c r="E463" s="23"/>
      <c r="F463" s="2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20"/>
      <c r="C464" s="20"/>
      <c r="D464" s="19"/>
      <c r="E464" s="23"/>
      <c r="F464" s="2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20"/>
      <c r="C465" s="20"/>
      <c r="D465" s="19"/>
      <c r="E465" s="23"/>
      <c r="F465" s="2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20"/>
      <c r="C466" s="20"/>
      <c r="D466" s="19"/>
      <c r="E466" s="23"/>
      <c r="F466" s="2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20"/>
      <c r="C467" s="20"/>
      <c r="D467" s="19"/>
      <c r="E467" s="23"/>
      <c r="F467" s="2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20"/>
      <c r="C468" s="20"/>
      <c r="D468" s="19"/>
      <c r="E468" s="23"/>
      <c r="F468" s="2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20"/>
      <c r="C469" s="20"/>
      <c r="D469" s="19"/>
      <c r="E469" s="23"/>
      <c r="F469" s="2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20"/>
      <c r="C470" s="20"/>
      <c r="D470" s="19"/>
      <c r="E470" s="23"/>
      <c r="F470" s="2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20"/>
      <c r="C471" s="20"/>
      <c r="D471" s="19"/>
      <c r="E471" s="23"/>
      <c r="F471" s="2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20"/>
      <c r="C472" s="20"/>
      <c r="D472" s="19"/>
      <c r="E472" s="23"/>
      <c r="F472" s="2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20"/>
      <c r="C473" s="20"/>
      <c r="D473" s="19"/>
      <c r="E473" s="23"/>
      <c r="F473" s="2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20"/>
      <c r="C474" s="20"/>
      <c r="D474" s="19"/>
      <c r="E474" s="23"/>
      <c r="F474" s="2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20"/>
      <c r="C475" s="20"/>
      <c r="D475" s="19"/>
      <c r="E475" s="23"/>
      <c r="F475" s="2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20"/>
      <c r="C476" s="20"/>
      <c r="D476" s="19"/>
      <c r="E476" s="23"/>
      <c r="F476" s="2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20"/>
      <c r="C477" s="20"/>
      <c r="D477" s="19"/>
      <c r="E477" s="23"/>
      <c r="F477" s="2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20"/>
      <c r="C478" s="20"/>
      <c r="D478" s="19"/>
      <c r="E478" s="23"/>
      <c r="F478" s="2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20"/>
      <c r="C479" s="20"/>
      <c r="D479" s="19"/>
      <c r="E479" s="23"/>
      <c r="F479" s="2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20"/>
      <c r="C480" s="20"/>
      <c r="D480" s="19"/>
      <c r="E480" s="23"/>
      <c r="F480" s="2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20"/>
      <c r="C481" s="20"/>
      <c r="D481" s="19"/>
      <c r="E481" s="23"/>
      <c r="F481" s="2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20"/>
      <c r="C482" s="20"/>
      <c r="D482" s="19"/>
      <c r="E482" s="23"/>
      <c r="F482" s="2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20"/>
      <c r="C483" s="20"/>
      <c r="D483" s="19"/>
      <c r="E483" s="23"/>
      <c r="F483" s="2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20"/>
      <c r="C484" s="20"/>
      <c r="D484" s="19"/>
      <c r="E484" s="23"/>
      <c r="F484" s="2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20"/>
      <c r="C485" s="20"/>
      <c r="D485" s="19"/>
      <c r="E485" s="23"/>
      <c r="F485" s="2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20"/>
      <c r="C486" s="20"/>
      <c r="D486" s="19"/>
      <c r="E486" s="23"/>
      <c r="F486" s="2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20"/>
      <c r="C487" s="20"/>
      <c r="D487" s="19"/>
      <c r="E487" s="23"/>
      <c r="F487" s="2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20"/>
      <c r="C488" s="20"/>
      <c r="D488" s="19"/>
      <c r="E488" s="23"/>
      <c r="F488" s="2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20"/>
      <c r="C489" s="20"/>
      <c r="D489" s="19"/>
      <c r="E489" s="23"/>
      <c r="F489" s="2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20"/>
      <c r="C490" s="20"/>
      <c r="D490" s="19"/>
      <c r="E490" s="23"/>
      <c r="F490" s="2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20"/>
      <c r="C491" s="20"/>
      <c r="D491" s="19"/>
      <c r="E491" s="23"/>
      <c r="F491" s="2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20"/>
      <c r="C492" s="20"/>
      <c r="D492" s="19"/>
      <c r="E492" s="23"/>
      <c r="F492" s="2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20"/>
      <c r="C493" s="20"/>
      <c r="D493" s="19"/>
      <c r="E493" s="23"/>
      <c r="F493" s="2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20"/>
      <c r="C494" s="20"/>
      <c r="D494" s="19"/>
      <c r="E494" s="23"/>
      <c r="F494" s="2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20"/>
      <c r="C495" s="20"/>
      <c r="D495" s="19"/>
      <c r="E495" s="23"/>
      <c r="F495" s="2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20"/>
      <c r="C496" s="20"/>
      <c r="D496" s="19"/>
      <c r="E496" s="23"/>
      <c r="F496" s="2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20"/>
      <c r="C497" s="20"/>
      <c r="D497" s="19"/>
      <c r="E497" s="23"/>
      <c r="F497" s="2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20"/>
      <c r="C498" s="20"/>
      <c r="D498" s="19"/>
      <c r="E498" s="23"/>
      <c r="F498" s="2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20"/>
      <c r="C499" s="20"/>
      <c r="D499" s="19"/>
      <c r="E499" s="23"/>
      <c r="F499" s="2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20"/>
      <c r="C500" s="20"/>
      <c r="D500" s="19"/>
      <c r="E500" s="23"/>
      <c r="F500" s="2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20"/>
      <c r="C501" s="20"/>
      <c r="D501" s="19"/>
      <c r="E501" s="23"/>
      <c r="F501" s="2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20"/>
      <c r="C502" s="20"/>
      <c r="D502" s="19"/>
      <c r="E502" s="23"/>
      <c r="F502" s="2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20"/>
      <c r="C503" s="20"/>
      <c r="D503" s="19"/>
      <c r="E503" s="23"/>
      <c r="F503" s="2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20"/>
      <c r="C504" s="20"/>
      <c r="D504" s="19"/>
      <c r="E504" s="23"/>
      <c r="F504" s="2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20"/>
      <c r="C505" s="20"/>
      <c r="D505" s="19"/>
      <c r="E505" s="23"/>
      <c r="F505" s="2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20"/>
      <c r="C506" s="20"/>
      <c r="D506" s="19"/>
      <c r="E506" s="23"/>
      <c r="F506" s="2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20"/>
      <c r="C507" s="20"/>
      <c r="D507" s="19"/>
      <c r="E507" s="23"/>
      <c r="F507" s="2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20"/>
      <c r="C508" s="20"/>
      <c r="D508" s="19"/>
      <c r="E508" s="23"/>
      <c r="F508" s="2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20"/>
      <c r="C509" s="20"/>
      <c r="D509" s="19"/>
      <c r="E509" s="23"/>
      <c r="F509" s="2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20"/>
      <c r="C510" s="20"/>
      <c r="D510" s="19"/>
      <c r="E510" s="23"/>
      <c r="F510" s="2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20"/>
      <c r="C511" s="20"/>
      <c r="D511" s="19"/>
      <c r="E511" s="23"/>
      <c r="F511" s="2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20"/>
      <c r="C512" s="20"/>
      <c r="D512" s="19"/>
      <c r="E512" s="23"/>
      <c r="F512" s="2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20"/>
      <c r="C513" s="20"/>
      <c r="D513" s="19"/>
      <c r="E513" s="23"/>
      <c r="F513" s="2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20"/>
      <c r="C514" s="20"/>
      <c r="D514" s="19"/>
      <c r="E514" s="23"/>
      <c r="F514" s="2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20"/>
      <c r="C515" s="20"/>
      <c r="D515" s="19"/>
      <c r="E515" s="23"/>
      <c r="F515" s="2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20"/>
      <c r="C516" s="20"/>
      <c r="D516" s="19"/>
      <c r="E516" s="23"/>
      <c r="F516" s="2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20"/>
      <c r="C517" s="20"/>
      <c r="D517" s="19"/>
      <c r="E517" s="23"/>
      <c r="F517" s="2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20"/>
      <c r="C518" s="20"/>
      <c r="D518" s="19"/>
      <c r="E518" s="23"/>
      <c r="F518" s="2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20"/>
      <c r="C519" s="20"/>
      <c r="D519" s="19"/>
      <c r="E519" s="23"/>
      <c r="F519" s="2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20"/>
      <c r="C520" s="20"/>
      <c r="D520" s="19"/>
      <c r="E520" s="23"/>
      <c r="F520" s="2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20"/>
      <c r="C521" s="20"/>
      <c r="D521" s="19"/>
      <c r="E521" s="23"/>
      <c r="F521" s="2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20"/>
      <c r="C522" s="20"/>
      <c r="D522" s="19"/>
      <c r="E522" s="23"/>
      <c r="F522" s="2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20"/>
      <c r="C523" s="20"/>
      <c r="D523" s="19"/>
      <c r="E523" s="23"/>
      <c r="F523" s="2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20"/>
      <c r="C524" s="20"/>
      <c r="D524" s="19"/>
      <c r="E524" s="23"/>
      <c r="F524" s="2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20"/>
      <c r="C525" s="20"/>
      <c r="D525" s="19"/>
      <c r="E525" s="23"/>
      <c r="F525" s="2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20"/>
      <c r="C526" s="20"/>
      <c r="D526" s="19"/>
      <c r="E526" s="23"/>
      <c r="F526" s="2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20"/>
      <c r="C527" s="20"/>
      <c r="D527" s="19"/>
      <c r="E527" s="23"/>
      <c r="F527" s="2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20"/>
      <c r="C528" s="20"/>
      <c r="D528" s="19"/>
      <c r="E528" s="23"/>
      <c r="F528" s="2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20"/>
      <c r="C529" s="20"/>
      <c r="D529" s="19"/>
      <c r="E529" s="23"/>
      <c r="F529" s="2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20"/>
      <c r="C530" s="20"/>
      <c r="D530" s="19"/>
      <c r="E530" s="23"/>
      <c r="F530" s="2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20"/>
      <c r="C531" s="20"/>
      <c r="D531" s="19"/>
      <c r="E531" s="23"/>
      <c r="F531" s="2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20"/>
      <c r="C532" s="20"/>
      <c r="D532" s="19"/>
      <c r="E532" s="23"/>
      <c r="F532" s="2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20"/>
      <c r="C533" s="20"/>
      <c r="D533" s="19"/>
      <c r="E533" s="23"/>
      <c r="F533" s="2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20"/>
      <c r="C534" s="20"/>
      <c r="D534" s="19"/>
      <c r="E534" s="23"/>
      <c r="F534" s="2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20"/>
      <c r="C535" s="20"/>
      <c r="D535" s="19"/>
      <c r="E535" s="23"/>
      <c r="F535" s="2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20"/>
      <c r="C536" s="20"/>
      <c r="D536" s="19"/>
      <c r="E536" s="23"/>
      <c r="F536" s="2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20"/>
      <c r="C537" s="20"/>
      <c r="D537" s="19"/>
      <c r="E537" s="23"/>
      <c r="F537" s="2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20"/>
      <c r="C538" s="20"/>
      <c r="D538" s="19"/>
      <c r="E538" s="23"/>
      <c r="F538" s="2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20"/>
      <c r="C539" s="20"/>
      <c r="D539" s="19"/>
      <c r="E539" s="23"/>
      <c r="F539" s="2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20"/>
      <c r="C540" s="20"/>
      <c r="D540" s="19"/>
      <c r="E540" s="23"/>
      <c r="F540" s="2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20"/>
      <c r="C541" s="20"/>
      <c r="D541" s="19"/>
      <c r="E541" s="23"/>
      <c r="F541" s="2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20"/>
      <c r="C542" s="20"/>
      <c r="D542" s="19"/>
      <c r="E542" s="23"/>
      <c r="F542" s="2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20"/>
      <c r="C543" s="20"/>
      <c r="D543" s="19"/>
      <c r="E543" s="23"/>
      <c r="F543" s="2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20"/>
      <c r="C544" s="20"/>
      <c r="D544" s="19"/>
      <c r="E544" s="23"/>
      <c r="F544" s="2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20"/>
      <c r="C545" s="20"/>
      <c r="D545" s="19"/>
      <c r="E545" s="23"/>
      <c r="F545" s="2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20"/>
      <c r="C546" s="20"/>
      <c r="D546" s="19"/>
      <c r="E546" s="23"/>
      <c r="F546" s="2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20"/>
      <c r="C547" s="20"/>
      <c r="D547" s="19"/>
      <c r="E547" s="23"/>
      <c r="F547" s="2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20"/>
      <c r="C548" s="20"/>
      <c r="D548" s="19"/>
      <c r="E548" s="23"/>
      <c r="F548" s="2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20"/>
      <c r="C549" s="20"/>
      <c r="D549" s="19"/>
      <c r="E549" s="23"/>
      <c r="F549" s="2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20"/>
      <c r="C550" s="20"/>
      <c r="D550" s="19"/>
      <c r="E550" s="23"/>
      <c r="F550" s="2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20"/>
      <c r="C551" s="20"/>
      <c r="D551" s="19"/>
      <c r="E551" s="23"/>
      <c r="F551" s="2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20"/>
      <c r="C552" s="20"/>
      <c r="D552" s="19"/>
      <c r="E552" s="23"/>
      <c r="F552" s="2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20"/>
      <c r="C553" s="20"/>
      <c r="D553" s="19"/>
      <c r="E553" s="23"/>
      <c r="F553" s="2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20"/>
      <c r="C554" s="20"/>
      <c r="D554" s="19"/>
      <c r="E554" s="23"/>
      <c r="F554" s="2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20"/>
      <c r="C555" s="20"/>
      <c r="D555" s="19"/>
      <c r="E555" s="23"/>
      <c r="F555" s="2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20"/>
      <c r="C556" s="20"/>
      <c r="D556" s="19"/>
      <c r="E556" s="23"/>
      <c r="F556" s="2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20"/>
      <c r="C557" s="20"/>
      <c r="D557" s="19"/>
      <c r="E557" s="23"/>
      <c r="F557" s="2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20"/>
      <c r="C558" s="20"/>
      <c r="D558" s="19"/>
      <c r="E558" s="23"/>
      <c r="F558" s="2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20"/>
      <c r="C559" s="20"/>
      <c r="D559" s="19"/>
      <c r="E559" s="23"/>
      <c r="F559" s="2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20"/>
      <c r="C560" s="20"/>
      <c r="D560" s="19"/>
      <c r="E560" s="23"/>
      <c r="F560" s="2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20"/>
      <c r="C561" s="20"/>
      <c r="D561" s="19"/>
      <c r="E561" s="23"/>
      <c r="F561" s="2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20"/>
      <c r="C562" s="20"/>
      <c r="D562" s="19"/>
      <c r="E562" s="23"/>
      <c r="F562" s="2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20"/>
      <c r="C563" s="20"/>
      <c r="D563" s="19"/>
      <c r="E563" s="23"/>
      <c r="F563" s="2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20"/>
      <c r="C564" s="20"/>
      <c r="D564" s="19"/>
      <c r="E564" s="23"/>
      <c r="F564" s="2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20"/>
      <c r="C565" s="20"/>
      <c r="D565" s="19"/>
      <c r="E565" s="23"/>
      <c r="F565" s="2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20"/>
      <c r="C566" s="20"/>
      <c r="D566" s="19"/>
      <c r="E566" s="23"/>
      <c r="F566" s="2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20"/>
      <c r="C567" s="20"/>
      <c r="D567" s="19"/>
      <c r="E567" s="23"/>
      <c r="F567" s="2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20"/>
      <c r="C568" s="20"/>
      <c r="D568" s="19"/>
      <c r="E568" s="23"/>
      <c r="F568" s="2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20"/>
      <c r="C569" s="20"/>
      <c r="D569" s="19"/>
      <c r="E569" s="23"/>
      <c r="F569" s="2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20"/>
      <c r="C570" s="20"/>
      <c r="D570" s="19"/>
      <c r="E570" s="23"/>
      <c r="F570" s="2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20"/>
      <c r="C571" s="20"/>
      <c r="D571" s="19"/>
      <c r="E571" s="23"/>
      <c r="F571" s="2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20"/>
      <c r="C572" s="20"/>
      <c r="D572" s="19"/>
      <c r="E572" s="23"/>
      <c r="F572" s="2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20"/>
      <c r="C573" s="20"/>
      <c r="D573" s="19"/>
      <c r="E573" s="23"/>
      <c r="F573" s="2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20"/>
      <c r="C574" s="20"/>
      <c r="D574" s="19"/>
      <c r="E574" s="23"/>
      <c r="F574" s="2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20"/>
      <c r="C575" s="20"/>
      <c r="D575" s="19"/>
      <c r="E575" s="23"/>
      <c r="F575" s="2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20"/>
      <c r="C576" s="20"/>
      <c r="D576" s="19"/>
      <c r="E576" s="23"/>
      <c r="F576" s="2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20"/>
      <c r="C577" s="20"/>
      <c r="D577" s="19"/>
      <c r="E577" s="23"/>
      <c r="F577" s="2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20"/>
      <c r="C578" s="20"/>
      <c r="D578" s="19"/>
      <c r="E578" s="23"/>
      <c r="F578" s="2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20"/>
      <c r="C579" s="20"/>
      <c r="D579" s="19"/>
      <c r="E579" s="23"/>
      <c r="F579" s="2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20"/>
      <c r="C580" s="20"/>
      <c r="D580" s="19"/>
      <c r="E580" s="23"/>
      <c r="F580" s="2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20"/>
      <c r="C581" s="20"/>
      <c r="D581" s="19"/>
      <c r="E581" s="23"/>
      <c r="F581" s="2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20"/>
      <c r="C582" s="20"/>
      <c r="D582" s="19"/>
      <c r="E582" s="23"/>
      <c r="F582" s="2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20"/>
      <c r="C583" s="20"/>
      <c r="D583" s="19"/>
      <c r="E583" s="23"/>
      <c r="F583" s="2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20"/>
      <c r="C584" s="20"/>
      <c r="D584" s="19"/>
      <c r="E584" s="23"/>
      <c r="F584" s="2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20"/>
      <c r="C585" s="20"/>
      <c r="D585" s="19"/>
      <c r="E585" s="23"/>
      <c r="F585" s="2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20"/>
      <c r="C586" s="20"/>
      <c r="D586" s="19"/>
      <c r="E586" s="23"/>
      <c r="F586" s="2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20"/>
      <c r="C587" s="20"/>
      <c r="D587" s="19"/>
      <c r="E587" s="23"/>
      <c r="F587" s="2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20"/>
      <c r="C588" s="20"/>
      <c r="D588" s="19"/>
      <c r="E588" s="23"/>
      <c r="F588" s="2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20"/>
      <c r="C589" s="20"/>
      <c r="D589" s="19"/>
      <c r="E589" s="23"/>
      <c r="F589" s="2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20"/>
      <c r="C590" s="20"/>
      <c r="D590" s="19"/>
      <c r="E590" s="23"/>
      <c r="F590" s="2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20"/>
      <c r="C591" s="20"/>
      <c r="D591" s="19"/>
      <c r="E591" s="23"/>
      <c r="F591" s="2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20"/>
      <c r="C592" s="20"/>
      <c r="D592" s="19"/>
      <c r="E592" s="23"/>
      <c r="F592" s="2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20"/>
      <c r="C593" s="20"/>
      <c r="D593" s="19"/>
      <c r="E593" s="23"/>
      <c r="F593" s="2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20"/>
      <c r="C594" s="20"/>
      <c r="D594" s="19"/>
      <c r="E594" s="23"/>
      <c r="F594" s="2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20"/>
      <c r="C595" s="20"/>
      <c r="D595" s="19"/>
      <c r="E595" s="23"/>
      <c r="F595" s="2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20"/>
      <c r="C596" s="20"/>
      <c r="D596" s="19"/>
      <c r="E596" s="23"/>
      <c r="F596" s="2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20"/>
      <c r="C597" s="20"/>
      <c r="D597" s="19"/>
      <c r="E597" s="23"/>
      <c r="F597" s="2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20"/>
      <c r="C598" s="20"/>
      <c r="D598" s="19"/>
      <c r="E598" s="23"/>
      <c r="F598" s="2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20"/>
      <c r="C599" s="20"/>
      <c r="D599" s="19"/>
      <c r="E599" s="23"/>
      <c r="F599" s="2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20"/>
      <c r="C600" s="20"/>
      <c r="D600" s="19"/>
      <c r="E600" s="23"/>
      <c r="F600" s="2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20"/>
      <c r="C601" s="20"/>
      <c r="D601" s="19"/>
      <c r="E601" s="23"/>
      <c r="F601" s="2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20"/>
      <c r="C602" s="20"/>
      <c r="D602" s="19"/>
      <c r="E602" s="23"/>
      <c r="F602" s="2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20"/>
      <c r="C603" s="20"/>
      <c r="D603" s="19"/>
      <c r="E603" s="23"/>
      <c r="F603" s="2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20"/>
      <c r="C604" s="20"/>
      <c r="D604" s="19"/>
      <c r="E604" s="23"/>
      <c r="F604" s="2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20"/>
      <c r="C605" s="20"/>
      <c r="D605" s="19"/>
      <c r="E605" s="23"/>
      <c r="F605" s="2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20"/>
      <c r="C606" s="20"/>
      <c r="D606" s="19"/>
      <c r="E606" s="23"/>
      <c r="F606" s="2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20"/>
      <c r="C607" s="20"/>
      <c r="D607" s="19"/>
      <c r="E607" s="23"/>
      <c r="F607" s="2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20"/>
      <c r="C608" s="20"/>
      <c r="D608" s="19"/>
      <c r="E608" s="23"/>
      <c r="F608" s="2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20"/>
      <c r="C609" s="20"/>
      <c r="D609" s="19"/>
      <c r="E609" s="23"/>
      <c r="F609" s="2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20"/>
      <c r="C610" s="20"/>
      <c r="D610" s="19"/>
      <c r="E610" s="23"/>
      <c r="F610" s="2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20"/>
      <c r="C611" s="20"/>
      <c r="D611" s="19"/>
      <c r="E611" s="23"/>
      <c r="F611" s="2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20"/>
      <c r="C612" s="20"/>
      <c r="D612" s="19"/>
      <c r="E612" s="23"/>
      <c r="F612" s="2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20"/>
      <c r="C613" s="20"/>
      <c r="D613" s="19"/>
      <c r="E613" s="23"/>
      <c r="F613" s="2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20"/>
      <c r="C614" s="20"/>
      <c r="D614" s="19"/>
      <c r="E614" s="23"/>
      <c r="F614" s="2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20"/>
      <c r="C615" s="20"/>
      <c r="D615" s="19"/>
      <c r="E615" s="23"/>
      <c r="F615" s="2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20"/>
      <c r="C616" s="20"/>
      <c r="D616" s="19"/>
      <c r="E616" s="23"/>
      <c r="F616" s="2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20"/>
      <c r="C617" s="20"/>
      <c r="D617" s="19"/>
      <c r="E617" s="23"/>
      <c r="F617" s="2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20"/>
      <c r="C618" s="20"/>
      <c r="D618" s="19"/>
      <c r="E618" s="23"/>
      <c r="F618" s="2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20"/>
      <c r="C619" s="20"/>
      <c r="D619" s="19"/>
      <c r="E619" s="23"/>
      <c r="F619" s="2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20"/>
      <c r="C620" s="20"/>
      <c r="D620" s="19"/>
      <c r="E620" s="23"/>
      <c r="F620" s="2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20"/>
      <c r="C621" s="20"/>
      <c r="D621" s="19"/>
      <c r="E621" s="23"/>
      <c r="F621" s="2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20"/>
      <c r="C622" s="20"/>
      <c r="D622" s="19"/>
      <c r="E622" s="23"/>
      <c r="F622" s="2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20"/>
      <c r="C623" s="20"/>
      <c r="D623" s="19"/>
      <c r="E623" s="23"/>
      <c r="F623" s="2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20"/>
      <c r="C624" s="20"/>
      <c r="D624" s="19"/>
      <c r="E624" s="23"/>
      <c r="F624" s="2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20"/>
      <c r="C625" s="20"/>
      <c r="D625" s="19"/>
      <c r="E625" s="23"/>
      <c r="F625" s="2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20"/>
      <c r="C626" s="20"/>
      <c r="D626" s="19"/>
      <c r="E626" s="23"/>
      <c r="F626" s="2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20"/>
      <c r="C627" s="20"/>
      <c r="D627" s="19"/>
      <c r="E627" s="23"/>
      <c r="F627" s="2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20"/>
      <c r="C628" s="20"/>
      <c r="D628" s="19"/>
      <c r="E628" s="23"/>
      <c r="F628" s="2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20"/>
      <c r="C629" s="20"/>
      <c r="D629" s="19"/>
      <c r="E629" s="23"/>
      <c r="F629" s="2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20"/>
      <c r="C630" s="20"/>
      <c r="D630" s="19"/>
      <c r="E630" s="23"/>
      <c r="F630" s="2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20"/>
      <c r="C631" s="20"/>
      <c r="D631" s="19"/>
      <c r="E631" s="23"/>
      <c r="F631" s="2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20"/>
      <c r="C632" s="20"/>
      <c r="D632" s="19"/>
      <c r="E632" s="23"/>
      <c r="F632" s="2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20"/>
      <c r="C633" s="20"/>
      <c r="D633" s="19"/>
      <c r="E633" s="23"/>
      <c r="F633" s="2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20"/>
      <c r="C634" s="20"/>
      <c r="D634" s="19"/>
      <c r="E634" s="23"/>
      <c r="F634" s="2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20"/>
      <c r="C635" s="20"/>
      <c r="D635" s="19"/>
      <c r="E635" s="23"/>
      <c r="F635" s="2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20"/>
      <c r="C636" s="20"/>
      <c r="D636" s="19"/>
      <c r="E636" s="23"/>
      <c r="F636" s="2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20"/>
      <c r="C637" s="20"/>
      <c r="D637" s="19"/>
      <c r="E637" s="23"/>
      <c r="F637" s="2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20"/>
      <c r="C638" s="20"/>
      <c r="D638" s="19"/>
      <c r="E638" s="23"/>
      <c r="F638" s="2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20"/>
      <c r="C639" s="20"/>
      <c r="D639" s="19"/>
      <c r="E639" s="23"/>
      <c r="F639" s="2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20"/>
      <c r="C640" s="20"/>
      <c r="D640" s="19"/>
      <c r="E640" s="23"/>
      <c r="F640" s="2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20"/>
      <c r="C641" s="20"/>
      <c r="D641" s="19"/>
      <c r="E641" s="23"/>
      <c r="F641" s="2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20"/>
      <c r="C642" s="20"/>
      <c r="D642" s="19"/>
      <c r="E642" s="23"/>
      <c r="F642" s="2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20"/>
      <c r="C643" s="20"/>
      <c r="D643" s="19"/>
      <c r="E643" s="23"/>
      <c r="F643" s="2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20"/>
      <c r="C644" s="20"/>
      <c r="D644" s="19"/>
      <c r="E644" s="23"/>
      <c r="F644" s="2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20"/>
      <c r="C645" s="20"/>
      <c r="D645" s="19"/>
      <c r="E645" s="23"/>
      <c r="F645" s="2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20"/>
      <c r="C646" s="20"/>
      <c r="D646" s="19"/>
      <c r="E646" s="23"/>
      <c r="F646" s="2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20"/>
      <c r="C647" s="20"/>
      <c r="D647" s="19"/>
      <c r="E647" s="23"/>
      <c r="F647" s="2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20"/>
      <c r="C648" s="20"/>
      <c r="D648" s="19"/>
      <c r="E648" s="23"/>
      <c r="F648" s="2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20"/>
      <c r="C649" s="20"/>
      <c r="D649" s="19"/>
      <c r="E649" s="23"/>
      <c r="F649" s="2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20"/>
      <c r="C650" s="20"/>
      <c r="D650" s="19"/>
      <c r="E650" s="23"/>
      <c r="F650" s="2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20"/>
      <c r="C651" s="20"/>
      <c r="D651" s="19"/>
      <c r="E651" s="23"/>
      <c r="F651" s="2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20"/>
      <c r="C652" s="20"/>
      <c r="D652" s="19"/>
      <c r="E652" s="23"/>
      <c r="F652" s="2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20"/>
      <c r="C653" s="20"/>
      <c r="D653" s="19"/>
      <c r="E653" s="23"/>
      <c r="F653" s="2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20"/>
      <c r="C654" s="20"/>
      <c r="D654" s="19"/>
      <c r="E654" s="23"/>
      <c r="F654" s="2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20"/>
      <c r="C655" s="20"/>
      <c r="D655" s="19"/>
      <c r="E655" s="23"/>
      <c r="F655" s="2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20"/>
      <c r="C656" s="20"/>
      <c r="D656" s="19"/>
      <c r="E656" s="23"/>
      <c r="F656" s="2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20"/>
      <c r="C657" s="20"/>
      <c r="D657" s="19"/>
      <c r="E657" s="23"/>
      <c r="F657" s="2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20"/>
      <c r="C658" s="20"/>
      <c r="D658" s="19"/>
      <c r="E658" s="23"/>
      <c r="F658" s="2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20"/>
      <c r="C659" s="20"/>
      <c r="D659" s="19"/>
      <c r="E659" s="23"/>
      <c r="F659" s="2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20"/>
      <c r="C660" s="20"/>
      <c r="D660" s="19"/>
      <c r="E660" s="23"/>
      <c r="F660" s="2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20"/>
      <c r="C661" s="20"/>
      <c r="D661" s="19"/>
      <c r="E661" s="23"/>
      <c r="F661" s="2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20"/>
      <c r="C662" s="20"/>
      <c r="D662" s="19"/>
      <c r="E662" s="23"/>
      <c r="F662" s="2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20"/>
      <c r="C663" s="20"/>
      <c r="D663" s="19"/>
      <c r="E663" s="23"/>
      <c r="F663" s="2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20"/>
      <c r="C664" s="20"/>
      <c r="D664" s="19"/>
      <c r="E664" s="23"/>
      <c r="F664" s="2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20"/>
      <c r="C665" s="20"/>
      <c r="D665" s="19"/>
      <c r="E665" s="23"/>
      <c r="F665" s="2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20"/>
      <c r="C666" s="20"/>
      <c r="D666" s="19"/>
      <c r="E666" s="23"/>
      <c r="F666" s="2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20"/>
      <c r="C667" s="20"/>
      <c r="D667" s="19"/>
      <c r="E667" s="23"/>
      <c r="F667" s="2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20"/>
      <c r="C668" s="20"/>
      <c r="D668" s="19"/>
      <c r="E668" s="23"/>
      <c r="F668" s="2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20"/>
      <c r="C669" s="20"/>
      <c r="D669" s="19"/>
      <c r="E669" s="23"/>
      <c r="F669" s="2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20"/>
      <c r="C670" s="20"/>
      <c r="D670" s="19"/>
      <c r="E670" s="23"/>
      <c r="F670" s="2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20"/>
      <c r="C671" s="20"/>
      <c r="D671" s="19"/>
      <c r="E671" s="23"/>
      <c r="F671" s="2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20"/>
      <c r="C672" s="20"/>
      <c r="D672" s="19"/>
      <c r="E672" s="23"/>
      <c r="F672" s="2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20"/>
      <c r="C673" s="20"/>
      <c r="D673" s="19"/>
      <c r="E673" s="23"/>
      <c r="F673" s="2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20"/>
      <c r="C674" s="20"/>
      <c r="D674" s="19"/>
      <c r="E674" s="23"/>
      <c r="F674" s="2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20"/>
      <c r="C675" s="20"/>
      <c r="D675" s="19"/>
      <c r="E675" s="23"/>
      <c r="F675" s="2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20"/>
      <c r="C676" s="20"/>
      <c r="D676" s="19"/>
      <c r="E676" s="23"/>
      <c r="F676" s="2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20"/>
      <c r="C677" s="20"/>
      <c r="D677" s="19"/>
      <c r="E677" s="23"/>
      <c r="F677" s="2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20"/>
      <c r="C678" s="20"/>
      <c r="D678" s="19"/>
      <c r="E678" s="23"/>
      <c r="F678" s="2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20"/>
      <c r="C679" s="20"/>
      <c r="D679" s="19"/>
      <c r="E679" s="23"/>
      <c r="F679" s="2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20"/>
      <c r="C680" s="20"/>
      <c r="D680" s="19"/>
      <c r="E680" s="23"/>
      <c r="F680" s="2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20"/>
      <c r="C681" s="20"/>
      <c r="D681" s="19"/>
      <c r="E681" s="23"/>
      <c r="F681" s="2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20"/>
      <c r="C682" s="20"/>
      <c r="D682" s="19"/>
      <c r="E682" s="23"/>
      <c r="F682" s="2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20"/>
      <c r="C683" s="20"/>
      <c r="D683" s="19"/>
      <c r="E683" s="23"/>
      <c r="F683" s="2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20"/>
      <c r="C684" s="20"/>
      <c r="D684" s="19"/>
      <c r="E684" s="23"/>
      <c r="F684" s="2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20"/>
      <c r="C685" s="20"/>
      <c r="D685" s="19"/>
      <c r="E685" s="23"/>
      <c r="F685" s="2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20"/>
      <c r="C686" s="20"/>
      <c r="D686" s="19"/>
      <c r="E686" s="23"/>
      <c r="F686" s="2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20"/>
      <c r="C687" s="20"/>
      <c r="D687" s="19"/>
      <c r="E687" s="23"/>
      <c r="F687" s="2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20"/>
      <c r="C688" s="20"/>
      <c r="D688" s="19"/>
      <c r="E688" s="23"/>
      <c r="F688" s="2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20"/>
      <c r="C689" s="20"/>
      <c r="D689" s="19"/>
      <c r="E689" s="23"/>
      <c r="F689" s="2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20"/>
      <c r="C690" s="20"/>
      <c r="D690" s="19"/>
      <c r="E690" s="23"/>
      <c r="F690" s="2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20"/>
      <c r="C691" s="20"/>
      <c r="D691" s="19"/>
      <c r="E691" s="23"/>
      <c r="F691" s="2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20"/>
      <c r="C692" s="20"/>
      <c r="D692" s="19"/>
      <c r="E692" s="23"/>
      <c r="F692" s="2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20"/>
      <c r="C693" s="20"/>
      <c r="D693" s="19"/>
      <c r="E693" s="23"/>
      <c r="F693" s="2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20"/>
      <c r="C694" s="20"/>
      <c r="D694" s="19"/>
      <c r="E694" s="23"/>
      <c r="F694" s="2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20"/>
      <c r="C695" s="20"/>
      <c r="D695" s="19"/>
      <c r="E695" s="23"/>
      <c r="F695" s="2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20"/>
      <c r="C696" s="20"/>
      <c r="D696" s="19"/>
      <c r="E696" s="23"/>
      <c r="F696" s="2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20"/>
      <c r="C697" s="20"/>
      <c r="D697" s="19"/>
      <c r="E697" s="23"/>
      <c r="F697" s="2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20"/>
      <c r="C698" s="20"/>
      <c r="D698" s="19"/>
      <c r="E698" s="23"/>
      <c r="F698" s="2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20"/>
      <c r="C699" s="20"/>
      <c r="D699" s="19"/>
      <c r="E699" s="23"/>
      <c r="F699" s="2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20"/>
      <c r="C700" s="20"/>
      <c r="D700" s="19"/>
      <c r="E700" s="23"/>
      <c r="F700" s="2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20"/>
      <c r="C701" s="20"/>
      <c r="D701" s="19"/>
      <c r="E701" s="23"/>
      <c r="F701" s="2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20"/>
      <c r="C702" s="20"/>
      <c r="D702" s="19"/>
      <c r="E702" s="23"/>
      <c r="F702" s="2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20"/>
      <c r="C703" s="20"/>
      <c r="D703" s="19"/>
      <c r="E703" s="23"/>
      <c r="F703" s="2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20"/>
      <c r="C704" s="20"/>
      <c r="D704" s="19"/>
      <c r="E704" s="23"/>
      <c r="F704" s="2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20"/>
      <c r="C705" s="20"/>
      <c r="D705" s="19"/>
      <c r="E705" s="23"/>
      <c r="F705" s="2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20"/>
      <c r="C706" s="20"/>
      <c r="D706" s="19"/>
      <c r="E706" s="23"/>
      <c r="F706" s="2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20"/>
      <c r="C707" s="20"/>
      <c r="D707" s="19"/>
      <c r="E707" s="23"/>
      <c r="F707" s="2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20"/>
      <c r="C708" s="20"/>
      <c r="D708" s="19"/>
      <c r="E708" s="23"/>
      <c r="F708" s="2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20"/>
      <c r="C709" s="20"/>
      <c r="D709" s="19"/>
      <c r="E709" s="23"/>
      <c r="F709" s="2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20"/>
      <c r="C710" s="20"/>
      <c r="D710" s="19"/>
      <c r="E710" s="23"/>
      <c r="F710" s="2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20"/>
      <c r="C711" s="20"/>
      <c r="D711" s="19"/>
      <c r="E711" s="23"/>
      <c r="F711" s="2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20"/>
      <c r="C712" s="20"/>
      <c r="D712" s="19"/>
      <c r="E712" s="23"/>
      <c r="F712" s="2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20"/>
      <c r="C713" s="20"/>
      <c r="D713" s="19"/>
      <c r="E713" s="23"/>
      <c r="F713" s="2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20"/>
      <c r="C714" s="20"/>
      <c r="D714" s="19"/>
      <c r="E714" s="23"/>
      <c r="F714" s="2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20"/>
      <c r="C715" s="20"/>
      <c r="D715" s="19"/>
      <c r="E715" s="23"/>
      <c r="F715" s="2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20"/>
      <c r="C716" s="20"/>
      <c r="D716" s="19"/>
      <c r="E716" s="23"/>
      <c r="F716" s="2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20"/>
      <c r="C717" s="20"/>
      <c r="D717" s="19"/>
      <c r="E717" s="23"/>
      <c r="F717" s="2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20"/>
      <c r="C718" s="20"/>
      <c r="D718" s="19"/>
      <c r="E718" s="23"/>
      <c r="F718" s="2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20"/>
      <c r="C719" s="20"/>
      <c r="D719" s="19"/>
      <c r="E719" s="23"/>
      <c r="F719" s="2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20"/>
      <c r="C720" s="20"/>
      <c r="D720" s="19"/>
      <c r="E720" s="23"/>
      <c r="F720" s="2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20"/>
      <c r="C721" s="20"/>
      <c r="D721" s="19"/>
      <c r="E721" s="23"/>
      <c r="F721" s="2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20"/>
      <c r="C722" s="20"/>
      <c r="D722" s="19"/>
      <c r="E722" s="23"/>
      <c r="F722" s="2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20"/>
      <c r="C723" s="20"/>
      <c r="D723" s="19"/>
      <c r="E723" s="23"/>
      <c r="F723" s="2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20"/>
      <c r="C724" s="20"/>
      <c r="D724" s="19"/>
      <c r="E724" s="23"/>
      <c r="F724" s="2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20"/>
      <c r="C725" s="20"/>
      <c r="D725" s="19"/>
      <c r="E725" s="23"/>
      <c r="F725" s="2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20"/>
      <c r="C726" s="20"/>
      <c r="D726" s="19"/>
      <c r="E726" s="23"/>
      <c r="F726" s="2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20"/>
      <c r="C727" s="20"/>
      <c r="D727" s="19"/>
      <c r="E727" s="23"/>
      <c r="F727" s="2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20"/>
      <c r="C728" s="20"/>
      <c r="D728" s="19"/>
      <c r="E728" s="23"/>
      <c r="F728" s="2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20"/>
      <c r="C729" s="20"/>
      <c r="D729" s="19"/>
      <c r="E729" s="23"/>
      <c r="F729" s="2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20"/>
      <c r="C730" s="20"/>
      <c r="D730" s="19"/>
      <c r="E730" s="23"/>
      <c r="F730" s="2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20"/>
      <c r="C731" s="20"/>
      <c r="D731" s="19"/>
      <c r="E731" s="23"/>
      <c r="F731" s="2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20"/>
      <c r="C732" s="20"/>
      <c r="D732" s="19"/>
      <c r="E732" s="23"/>
      <c r="F732" s="2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20"/>
      <c r="C733" s="20"/>
      <c r="D733" s="19"/>
      <c r="E733" s="23"/>
      <c r="F733" s="2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20"/>
      <c r="C734" s="20"/>
      <c r="D734" s="19"/>
      <c r="E734" s="23"/>
      <c r="F734" s="2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20"/>
      <c r="C735" s="20"/>
      <c r="D735" s="19"/>
      <c r="E735" s="23"/>
      <c r="F735" s="2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20"/>
      <c r="C736" s="20"/>
      <c r="D736" s="19"/>
      <c r="E736" s="23"/>
      <c r="F736" s="2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20"/>
      <c r="C737" s="20"/>
      <c r="D737" s="19"/>
      <c r="E737" s="23"/>
      <c r="F737" s="2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20"/>
      <c r="C738" s="20"/>
      <c r="D738" s="19"/>
      <c r="E738" s="23"/>
      <c r="F738" s="2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20"/>
      <c r="C739" s="20"/>
      <c r="D739" s="19"/>
      <c r="E739" s="23"/>
      <c r="F739" s="2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20"/>
      <c r="C740" s="20"/>
      <c r="D740" s="19"/>
      <c r="E740" s="23"/>
      <c r="F740" s="2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20"/>
      <c r="C741" s="20"/>
      <c r="D741" s="19"/>
      <c r="E741" s="23"/>
      <c r="F741" s="2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20"/>
      <c r="C742" s="20"/>
      <c r="D742" s="19"/>
      <c r="E742" s="23"/>
      <c r="F742" s="2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20"/>
      <c r="C743" s="20"/>
      <c r="D743" s="19"/>
      <c r="E743" s="23"/>
      <c r="F743" s="2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20"/>
      <c r="C744" s="20"/>
      <c r="D744" s="19"/>
      <c r="E744" s="23"/>
      <c r="F744" s="2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20"/>
      <c r="C745" s="20"/>
      <c r="D745" s="19"/>
      <c r="E745" s="23"/>
      <c r="F745" s="2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20"/>
      <c r="C746" s="20"/>
      <c r="D746" s="19"/>
      <c r="E746" s="23"/>
      <c r="F746" s="2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20"/>
      <c r="C747" s="20"/>
      <c r="D747" s="19"/>
      <c r="E747" s="23"/>
      <c r="F747" s="2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20"/>
      <c r="C748" s="20"/>
      <c r="D748" s="19"/>
      <c r="E748" s="23"/>
      <c r="F748" s="2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20"/>
      <c r="C749" s="20"/>
      <c r="D749" s="19"/>
      <c r="E749" s="23"/>
      <c r="F749" s="2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20"/>
      <c r="C750" s="20"/>
      <c r="D750" s="19"/>
      <c r="E750" s="23"/>
      <c r="F750" s="2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20"/>
      <c r="C751" s="20"/>
      <c r="D751" s="19"/>
      <c r="E751" s="23"/>
      <c r="F751" s="2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20"/>
      <c r="C752" s="20"/>
      <c r="D752" s="19"/>
      <c r="E752" s="23"/>
      <c r="F752" s="2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20"/>
      <c r="C753" s="20"/>
      <c r="D753" s="19"/>
      <c r="E753" s="23"/>
      <c r="F753" s="2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20"/>
      <c r="C754" s="20"/>
      <c r="D754" s="19"/>
      <c r="E754" s="23"/>
      <c r="F754" s="2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20"/>
      <c r="C755" s="20"/>
      <c r="D755" s="19"/>
      <c r="E755" s="23"/>
      <c r="F755" s="2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20"/>
      <c r="C756" s="20"/>
      <c r="D756" s="19"/>
      <c r="E756" s="23"/>
      <c r="F756" s="2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20"/>
      <c r="C757" s="20"/>
      <c r="D757" s="19"/>
      <c r="E757" s="23"/>
      <c r="F757" s="2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20"/>
      <c r="C758" s="20"/>
      <c r="D758" s="19"/>
      <c r="E758" s="23"/>
      <c r="F758" s="2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20"/>
      <c r="C759" s="20"/>
      <c r="D759" s="19"/>
      <c r="E759" s="23"/>
      <c r="F759" s="2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20"/>
      <c r="C760" s="20"/>
      <c r="D760" s="19"/>
      <c r="E760" s="23"/>
      <c r="F760" s="2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20"/>
      <c r="C761" s="20"/>
      <c r="D761" s="19"/>
      <c r="E761" s="23"/>
      <c r="F761" s="2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20"/>
      <c r="C762" s="20"/>
      <c r="D762" s="19"/>
      <c r="E762" s="23"/>
      <c r="F762" s="2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20"/>
      <c r="C763" s="20"/>
      <c r="D763" s="19"/>
      <c r="E763" s="23"/>
      <c r="F763" s="2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20"/>
      <c r="C764" s="20"/>
      <c r="D764" s="19"/>
      <c r="E764" s="23"/>
      <c r="F764" s="2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20"/>
      <c r="C765" s="20"/>
      <c r="D765" s="19"/>
      <c r="E765" s="23"/>
      <c r="F765" s="2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20"/>
      <c r="C766" s="20"/>
      <c r="D766" s="19"/>
      <c r="E766" s="23"/>
      <c r="F766" s="2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20"/>
      <c r="C767" s="20"/>
      <c r="D767" s="19"/>
      <c r="E767" s="23"/>
      <c r="F767" s="2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20"/>
      <c r="C768" s="20"/>
      <c r="D768" s="19"/>
      <c r="E768" s="23"/>
      <c r="F768" s="2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20"/>
      <c r="C769" s="20"/>
      <c r="D769" s="19"/>
      <c r="E769" s="23"/>
      <c r="F769" s="2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20"/>
      <c r="C770" s="20"/>
      <c r="D770" s="19"/>
      <c r="E770" s="23"/>
      <c r="F770" s="2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20"/>
      <c r="C771" s="20"/>
      <c r="D771" s="19"/>
      <c r="E771" s="23"/>
      <c r="F771" s="2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20"/>
      <c r="C772" s="20"/>
      <c r="D772" s="19"/>
      <c r="E772" s="23"/>
      <c r="F772" s="2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20"/>
      <c r="C773" s="20"/>
      <c r="D773" s="19"/>
      <c r="E773" s="23"/>
      <c r="F773" s="2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20"/>
      <c r="C774" s="20"/>
      <c r="D774" s="19"/>
      <c r="E774" s="23"/>
      <c r="F774" s="2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20"/>
      <c r="C775" s="20"/>
      <c r="D775" s="19"/>
      <c r="E775" s="23"/>
      <c r="F775" s="2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20"/>
      <c r="C776" s="20"/>
      <c r="D776" s="19"/>
      <c r="E776" s="23"/>
      <c r="F776" s="2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20"/>
      <c r="C777" s="20"/>
      <c r="D777" s="19"/>
      <c r="E777" s="23"/>
      <c r="F777" s="2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20"/>
      <c r="C778" s="20"/>
      <c r="D778" s="19"/>
      <c r="E778" s="23"/>
      <c r="F778" s="2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20"/>
      <c r="C779" s="20"/>
      <c r="D779" s="19"/>
      <c r="E779" s="23"/>
      <c r="F779" s="2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20"/>
      <c r="C780" s="20"/>
      <c r="D780" s="19"/>
      <c r="E780" s="23"/>
      <c r="F780" s="2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20"/>
      <c r="C781" s="20"/>
      <c r="D781" s="19"/>
      <c r="E781" s="23"/>
      <c r="F781" s="2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20"/>
      <c r="C782" s="20"/>
      <c r="D782" s="19"/>
      <c r="E782" s="23"/>
      <c r="F782" s="2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20"/>
      <c r="C783" s="20"/>
      <c r="D783" s="19"/>
      <c r="E783" s="23"/>
      <c r="F783" s="2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20"/>
      <c r="C784" s="20"/>
      <c r="D784" s="19"/>
      <c r="E784" s="23"/>
      <c r="F784" s="2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20"/>
      <c r="C785" s="20"/>
      <c r="D785" s="19"/>
      <c r="E785" s="23"/>
      <c r="F785" s="2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20"/>
      <c r="C786" s="20"/>
      <c r="D786" s="19"/>
      <c r="E786" s="23"/>
      <c r="F786" s="2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20"/>
      <c r="C787" s="20"/>
      <c r="D787" s="19"/>
      <c r="E787" s="23"/>
      <c r="F787" s="2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20"/>
      <c r="C788" s="20"/>
      <c r="D788" s="19"/>
      <c r="E788" s="23"/>
      <c r="F788" s="2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20"/>
      <c r="C789" s="20"/>
      <c r="D789" s="19"/>
      <c r="E789" s="23"/>
      <c r="F789" s="2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20"/>
      <c r="C790" s="20"/>
      <c r="D790" s="19"/>
      <c r="E790" s="23"/>
      <c r="F790" s="2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20"/>
      <c r="C791" s="20"/>
      <c r="D791" s="19"/>
      <c r="E791" s="23"/>
      <c r="F791" s="2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20"/>
      <c r="C792" s="20"/>
      <c r="D792" s="19"/>
      <c r="E792" s="23"/>
      <c r="F792" s="2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20"/>
      <c r="C793" s="20"/>
      <c r="D793" s="19"/>
      <c r="E793" s="23"/>
      <c r="F793" s="2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20"/>
      <c r="C794" s="20"/>
      <c r="D794" s="19"/>
      <c r="E794" s="23"/>
      <c r="F794" s="2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20"/>
      <c r="C795" s="20"/>
      <c r="D795" s="19"/>
      <c r="E795" s="23"/>
      <c r="F795" s="2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20"/>
      <c r="C796" s="20"/>
      <c r="D796" s="19"/>
      <c r="E796" s="23"/>
      <c r="F796" s="2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20"/>
      <c r="C797" s="20"/>
      <c r="D797" s="19"/>
      <c r="E797" s="23"/>
      <c r="F797" s="2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20"/>
      <c r="C798" s="20"/>
      <c r="D798" s="19"/>
      <c r="E798" s="23"/>
      <c r="F798" s="2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20"/>
      <c r="C799" s="20"/>
      <c r="D799" s="19"/>
      <c r="E799" s="23"/>
      <c r="F799" s="2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20"/>
      <c r="C800" s="20"/>
      <c r="D800" s="19"/>
      <c r="E800" s="23"/>
      <c r="F800" s="2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20"/>
      <c r="C801" s="20"/>
      <c r="D801" s="19"/>
      <c r="E801" s="23"/>
      <c r="F801" s="2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20"/>
      <c r="C802" s="20"/>
      <c r="D802" s="19"/>
      <c r="E802" s="23"/>
      <c r="F802" s="2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20"/>
      <c r="C803" s="20"/>
      <c r="D803" s="19"/>
      <c r="E803" s="23"/>
      <c r="F803" s="2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20"/>
      <c r="C804" s="20"/>
      <c r="D804" s="19"/>
      <c r="E804" s="23"/>
      <c r="F804" s="2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20"/>
      <c r="C805" s="20"/>
      <c r="D805" s="19"/>
      <c r="E805" s="23"/>
      <c r="F805" s="2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20"/>
      <c r="C806" s="20"/>
      <c r="D806" s="19"/>
      <c r="E806" s="23"/>
      <c r="F806" s="2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20"/>
      <c r="C807" s="20"/>
      <c r="D807" s="19"/>
      <c r="E807" s="23"/>
      <c r="F807" s="2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20"/>
      <c r="C808" s="20"/>
      <c r="D808" s="19"/>
      <c r="E808" s="23"/>
      <c r="F808" s="2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20"/>
      <c r="C809" s="20"/>
      <c r="D809" s="19"/>
      <c r="E809" s="23"/>
      <c r="F809" s="2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20"/>
      <c r="C810" s="20"/>
      <c r="D810" s="19"/>
      <c r="E810" s="23"/>
      <c r="F810" s="2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20"/>
      <c r="C811" s="20"/>
      <c r="D811" s="19"/>
      <c r="E811" s="23"/>
      <c r="F811" s="2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20"/>
      <c r="C812" s="20"/>
      <c r="D812" s="19"/>
      <c r="E812" s="23"/>
      <c r="F812" s="2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20"/>
      <c r="C813" s="20"/>
      <c r="D813" s="19"/>
      <c r="E813" s="23"/>
      <c r="F813" s="2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20"/>
      <c r="C814" s="20"/>
      <c r="D814" s="19"/>
      <c r="E814" s="23"/>
      <c r="F814" s="2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20"/>
      <c r="C815" s="20"/>
      <c r="D815" s="19"/>
      <c r="E815" s="23"/>
      <c r="F815" s="2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20"/>
      <c r="C816" s="20"/>
      <c r="D816" s="19"/>
      <c r="E816" s="23"/>
      <c r="F816" s="2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20"/>
      <c r="C817" s="20"/>
      <c r="D817" s="19"/>
      <c r="E817" s="23"/>
      <c r="F817" s="2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20"/>
      <c r="C818" s="20"/>
      <c r="D818" s="19"/>
      <c r="E818" s="23"/>
      <c r="F818" s="2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20"/>
      <c r="C819" s="20"/>
      <c r="D819" s="19"/>
      <c r="E819" s="23"/>
      <c r="F819" s="2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20"/>
      <c r="C820" s="20"/>
      <c r="D820" s="19"/>
      <c r="E820" s="23"/>
      <c r="F820" s="2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20"/>
      <c r="C821" s="20"/>
      <c r="D821" s="19"/>
      <c r="E821" s="23"/>
      <c r="F821" s="2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20"/>
      <c r="C822" s="20"/>
      <c r="D822" s="19"/>
      <c r="E822" s="23"/>
      <c r="F822" s="2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20"/>
      <c r="C823" s="20"/>
      <c r="D823" s="19"/>
      <c r="E823" s="23"/>
      <c r="F823" s="2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20"/>
      <c r="C824" s="20"/>
      <c r="D824" s="19"/>
      <c r="E824" s="23"/>
      <c r="F824" s="2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20"/>
      <c r="C825" s="20"/>
      <c r="D825" s="19"/>
      <c r="E825" s="23"/>
      <c r="F825" s="2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20"/>
      <c r="C826" s="20"/>
      <c r="D826" s="19"/>
      <c r="E826" s="23"/>
      <c r="F826" s="2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20"/>
      <c r="C827" s="20"/>
      <c r="D827" s="19"/>
      <c r="E827" s="23"/>
      <c r="F827" s="2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20"/>
      <c r="C828" s="20"/>
      <c r="D828" s="19"/>
      <c r="E828" s="23"/>
      <c r="F828" s="2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20"/>
      <c r="C829" s="20"/>
      <c r="D829" s="19"/>
      <c r="E829" s="23"/>
      <c r="F829" s="2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20"/>
      <c r="C830" s="20"/>
      <c r="D830" s="19"/>
      <c r="E830" s="23"/>
      <c r="F830" s="2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20"/>
      <c r="C831" s="20"/>
      <c r="D831" s="19"/>
      <c r="E831" s="23"/>
      <c r="F831" s="2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20"/>
      <c r="C832" s="20"/>
      <c r="D832" s="19"/>
      <c r="E832" s="23"/>
      <c r="F832" s="2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20"/>
      <c r="C833" s="20"/>
      <c r="D833" s="19"/>
      <c r="E833" s="23"/>
      <c r="F833" s="2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20"/>
      <c r="C834" s="20"/>
      <c r="D834" s="19"/>
      <c r="E834" s="23"/>
      <c r="F834" s="2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20"/>
      <c r="C835" s="20"/>
      <c r="D835" s="19"/>
      <c r="E835" s="23"/>
      <c r="F835" s="2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20"/>
      <c r="C836" s="20"/>
      <c r="D836" s="19"/>
      <c r="E836" s="23"/>
      <c r="F836" s="2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20"/>
      <c r="C837" s="20"/>
      <c r="D837" s="19"/>
      <c r="E837" s="23"/>
      <c r="F837" s="2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20"/>
      <c r="C838" s="20"/>
      <c r="D838" s="19"/>
      <c r="E838" s="23"/>
      <c r="F838" s="2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20"/>
      <c r="C839" s="20"/>
      <c r="D839" s="19"/>
      <c r="E839" s="23"/>
      <c r="F839" s="2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20"/>
      <c r="C840" s="20"/>
      <c r="D840" s="19"/>
      <c r="E840" s="23"/>
      <c r="F840" s="2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20"/>
      <c r="C841" s="20"/>
      <c r="D841" s="19"/>
      <c r="E841" s="23"/>
      <c r="F841" s="2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20"/>
      <c r="C842" s="20"/>
      <c r="D842" s="19"/>
      <c r="E842" s="23"/>
      <c r="F842" s="2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20"/>
      <c r="C843" s="20"/>
      <c r="D843" s="19"/>
      <c r="E843" s="23"/>
      <c r="F843" s="2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20"/>
      <c r="C844" s="20"/>
      <c r="D844" s="19"/>
      <c r="E844" s="23"/>
      <c r="F844" s="2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20"/>
      <c r="C845" s="20"/>
      <c r="D845" s="19"/>
      <c r="E845" s="23"/>
      <c r="F845" s="2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20"/>
      <c r="C846" s="20"/>
      <c r="D846" s="19"/>
      <c r="E846" s="23"/>
      <c r="F846" s="2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20"/>
      <c r="C847" s="20"/>
      <c r="D847" s="19"/>
      <c r="E847" s="23"/>
      <c r="F847" s="2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20"/>
      <c r="C848" s="20"/>
      <c r="D848" s="19"/>
      <c r="E848" s="23"/>
      <c r="F848" s="2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20"/>
      <c r="C849" s="20"/>
      <c r="D849" s="19"/>
      <c r="E849" s="23"/>
      <c r="F849" s="2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20"/>
      <c r="C850" s="20"/>
      <c r="D850" s="19"/>
      <c r="E850" s="23"/>
      <c r="F850" s="2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20"/>
      <c r="C851" s="20"/>
      <c r="D851" s="19"/>
      <c r="E851" s="23"/>
      <c r="F851" s="2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20"/>
      <c r="C852" s="20"/>
      <c r="D852" s="19"/>
      <c r="E852" s="23"/>
      <c r="F852" s="2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20"/>
      <c r="C853" s="20"/>
      <c r="D853" s="19"/>
      <c r="E853" s="23"/>
      <c r="F853" s="2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20"/>
      <c r="C854" s="20"/>
      <c r="D854" s="19"/>
      <c r="E854" s="23"/>
      <c r="F854" s="2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20"/>
      <c r="C855" s="20"/>
      <c r="D855" s="19"/>
      <c r="E855" s="23"/>
      <c r="F855" s="2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20"/>
      <c r="C856" s="20"/>
      <c r="D856" s="19"/>
      <c r="E856" s="23"/>
      <c r="F856" s="2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20"/>
      <c r="C857" s="20"/>
      <c r="D857" s="19"/>
      <c r="E857" s="23"/>
      <c r="F857" s="2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20"/>
      <c r="C858" s="20"/>
      <c r="D858" s="19"/>
      <c r="E858" s="23"/>
      <c r="F858" s="2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20"/>
      <c r="C859" s="20"/>
      <c r="D859" s="19"/>
      <c r="E859" s="23"/>
      <c r="F859" s="2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20"/>
      <c r="C860" s="20"/>
      <c r="D860" s="19"/>
      <c r="E860" s="23"/>
      <c r="F860" s="2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20"/>
      <c r="C861" s="20"/>
      <c r="D861" s="19"/>
      <c r="E861" s="23"/>
      <c r="F861" s="2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20"/>
      <c r="C862" s="20"/>
      <c r="D862" s="19"/>
      <c r="E862" s="23"/>
      <c r="F862" s="2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20"/>
      <c r="C863" s="20"/>
      <c r="D863" s="19"/>
      <c r="E863" s="23"/>
      <c r="F863" s="2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20"/>
      <c r="C864" s="20"/>
      <c r="D864" s="19"/>
      <c r="E864" s="23"/>
      <c r="F864" s="2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20"/>
      <c r="C865" s="20"/>
      <c r="D865" s="19"/>
      <c r="E865" s="23"/>
      <c r="F865" s="2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20"/>
      <c r="C866" s="20"/>
      <c r="D866" s="19"/>
      <c r="E866" s="23"/>
      <c r="F866" s="2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20"/>
      <c r="C867" s="20"/>
      <c r="D867" s="19"/>
      <c r="E867" s="23"/>
      <c r="F867" s="2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20"/>
      <c r="C868" s="20"/>
      <c r="D868" s="19"/>
      <c r="E868" s="23"/>
      <c r="F868" s="2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20"/>
      <c r="C869" s="20"/>
      <c r="D869" s="19"/>
      <c r="E869" s="23"/>
      <c r="F869" s="2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20"/>
      <c r="C870" s="20"/>
      <c r="D870" s="19"/>
      <c r="E870" s="23"/>
      <c r="F870" s="2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20"/>
      <c r="C871" s="20"/>
      <c r="D871" s="19"/>
      <c r="E871" s="23"/>
      <c r="F871" s="2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20"/>
      <c r="C872" s="20"/>
      <c r="D872" s="19"/>
      <c r="E872" s="23"/>
      <c r="F872" s="2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20"/>
      <c r="C873" s="20"/>
      <c r="D873" s="19"/>
      <c r="E873" s="23"/>
      <c r="F873" s="2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20"/>
      <c r="C874" s="20"/>
      <c r="D874" s="19"/>
      <c r="E874" s="23"/>
      <c r="F874" s="2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20"/>
      <c r="C875" s="20"/>
      <c r="D875" s="19"/>
      <c r="E875" s="23"/>
      <c r="F875" s="2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20"/>
      <c r="C876" s="20"/>
      <c r="D876" s="19"/>
      <c r="E876" s="23"/>
      <c r="F876" s="2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20"/>
      <c r="C877" s="20"/>
      <c r="D877" s="19"/>
      <c r="E877" s="23"/>
      <c r="F877" s="2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20"/>
      <c r="C878" s="20"/>
      <c r="D878" s="19"/>
      <c r="E878" s="23"/>
      <c r="F878" s="2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20"/>
      <c r="C879" s="20"/>
      <c r="D879" s="19"/>
      <c r="E879" s="23"/>
      <c r="F879" s="2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20"/>
      <c r="C880" s="20"/>
      <c r="D880" s="19"/>
      <c r="E880" s="23"/>
      <c r="F880" s="2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20"/>
      <c r="C881" s="20"/>
      <c r="D881" s="19"/>
      <c r="E881" s="23"/>
      <c r="F881" s="2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20"/>
      <c r="C882" s="20"/>
      <c r="D882" s="19"/>
      <c r="E882" s="23"/>
      <c r="F882" s="2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20"/>
      <c r="C883" s="20"/>
      <c r="D883" s="19"/>
      <c r="E883" s="23"/>
      <c r="F883" s="2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20"/>
      <c r="C884" s="20"/>
      <c r="D884" s="19"/>
      <c r="E884" s="23"/>
      <c r="F884" s="2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20"/>
      <c r="C885" s="20"/>
      <c r="D885" s="19"/>
      <c r="E885" s="23"/>
      <c r="F885" s="2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20"/>
      <c r="C886" s="20"/>
      <c r="D886" s="19"/>
      <c r="E886" s="23"/>
      <c r="F886" s="2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20"/>
      <c r="C887" s="20"/>
      <c r="D887" s="19"/>
      <c r="E887" s="23"/>
      <c r="F887" s="2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20"/>
      <c r="C888" s="20"/>
      <c r="D888" s="19"/>
      <c r="E888" s="23"/>
      <c r="F888" s="2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20"/>
      <c r="C889" s="20"/>
      <c r="D889" s="19"/>
      <c r="E889" s="23"/>
      <c r="F889" s="2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20"/>
      <c r="C890" s="20"/>
      <c r="D890" s="19"/>
      <c r="E890" s="23"/>
      <c r="F890" s="2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20"/>
      <c r="C891" s="20"/>
      <c r="D891" s="19"/>
      <c r="E891" s="23"/>
      <c r="F891" s="2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20"/>
      <c r="C892" s="20"/>
      <c r="D892" s="19"/>
      <c r="E892" s="23"/>
      <c r="F892" s="2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20"/>
      <c r="C893" s="20"/>
      <c r="D893" s="19"/>
      <c r="E893" s="23"/>
      <c r="F893" s="2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20"/>
      <c r="C894" s="20"/>
      <c r="D894" s="19"/>
      <c r="E894" s="23"/>
      <c r="F894" s="2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20"/>
      <c r="C895" s="20"/>
      <c r="D895" s="19"/>
      <c r="E895" s="23"/>
      <c r="F895" s="2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20"/>
      <c r="C896" s="20"/>
      <c r="D896" s="19"/>
      <c r="E896" s="23"/>
      <c r="F896" s="2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20"/>
      <c r="C897" s="20"/>
      <c r="D897" s="19"/>
      <c r="E897" s="23"/>
      <c r="F897" s="2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20"/>
      <c r="C898" s="20"/>
      <c r="D898" s="19"/>
      <c r="E898" s="23"/>
      <c r="F898" s="2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20"/>
      <c r="C899" s="20"/>
      <c r="D899" s="19"/>
      <c r="E899" s="23"/>
      <c r="F899" s="2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20"/>
      <c r="C900" s="20"/>
      <c r="D900" s="19"/>
      <c r="E900" s="23"/>
      <c r="F900" s="2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20"/>
      <c r="C901" s="20"/>
      <c r="D901" s="19"/>
      <c r="E901" s="23"/>
      <c r="F901" s="2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20"/>
      <c r="C902" s="20"/>
      <c r="D902" s="19"/>
      <c r="E902" s="23"/>
      <c r="F902" s="2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20"/>
      <c r="C903" s="20"/>
      <c r="D903" s="19"/>
      <c r="E903" s="23"/>
      <c r="F903" s="2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20"/>
      <c r="C904" s="20"/>
      <c r="D904" s="19"/>
      <c r="E904" s="23"/>
      <c r="F904" s="2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20"/>
      <c r="C905" s="20"/>
      <c r="D905" s="19"/>
      <c r="E905" s="23"/>
      <c r="F905" s="2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20"/>
      <c r="C906" s="20"/>
      <c r="D906" s="19"/>
      <c r="E906" s="23"/>
      <c r="F906" s="2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20"/>
      <c r="C907" s="20"/>
      <c r="D907" s="19"/>
      <c r="E907" s="23"/>
      <c r="F907" s="2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20"/>
      <c r="C908" s="20"/>
      <c r="D908" s="19"/>
      <c r="E908" s="23"/>
      <c r="F908" s="2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20"/>
      <c r="C909" s="20"/>
      <c r="D909" s="19"/>
      <c r="E909" s="23"/>
      <c r="F909" s="2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20"/>
      <c r="C910" s="20"/>
      <c r="D910" s="19"/>
      <c r="E910" s="23"/>
      <c r="F910" s="2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20"/>
      <c r="C911" s="20"/>
      <c r="D911" s="19"/>
      <c r="E911" s="23"/>
      <c r="F911" s="2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20"/>
      <c r="C912" s="20"/>
      <c r="D912" s="19"/>
      <c r="E912" s="23"/>
      <c r="F912" s="2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20"/>
      <c r="C913" s="20"/>
      <c r="D913" s="19"/>
      <c r="E913" s="23"/>
      <c r="F913" s="2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20"/>
      <c r="C914" s="20"/>
      <c r="D914" s="19"/>
      <c r="E914" s="23"/>
      <c r="F914" s="2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20"/>
      <c r="C915" s="20"/>
      <c r="D915" s="19"/>
      <c r="E915" s="23"/>
      <c r="F915" s="2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20"/>
      <c r="C916" s="20"/>
      <c r="D916" s="19"/>
      <c r="E916" s="23"/>
      <c r="F916" s="2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20"/>
      <c r="C917" s="20"/>
      <c r="D917" s="19"/>
      <c r="E917" s="23"/>
      <c r="F917" s="2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20"/>
      <c r="C918" s="20"/>
      <c r="D918" s="19"/>
      <c r="E918" s="23"/>
      <c r="F918" s="2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20"/>
      <c r="C919" s="20"/>
      <c r="D919" s="19"/>
      <c r="E919" s="23"/>
      <c r="F919" s="2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20"/>
      <c r="C920" s="20"/>
      <c r="D920" s="19"/>
      <c r="E920" s="23"/>
      <c r="F920" s="2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20"/>
      <c r="C921" s="20"/>
      <c r="D921" s="19"/>
      <c r="E921" s="23"/>
      <c r="F921" s="2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20"/>
      <c r="C922" s="20"/>
      <c r="D922" s="19"/>
      <c r="E922" s="23"/>
      <c r="F922" s="2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20"/>
      <c r="C923" s="20"/>
      <c r="D923" s="19"/>
      <c r="E923" s="23"/>
      <c r="F923" s="2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20"/>
      <c r="C924" s="20"/>
      <c r="D924" s="19"/>
      <c r="E924" s="23"/>
      <c r="F924" s="2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20"/>
      <c r="C925" s="20"/>
      <c r="D925" s="19"/>
      <c r="E925" s="23"/>
      <c r="F925" s="2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20"/>
      <c r="C926" s="20"/>
      <c r="D926" s="19"/>
      <c r="E926" s="23"/>
      <c r="F926" s="2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20"/>
      <c r="C927" s="20"/>
      <c r="D927" s="19"/>
      <c r="E927" s="23"/>
      <c r="F927" s="2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20"/>
      <c r="C928" s="20"/>
      <c r="D928" s="19"/>
      <c r="E928" s="23"/>
      <c r="F928" s="2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20"/>
      <c r="C929" s="20"/>
      <c r="D929" s="19"/>
      <c r="E929" s="23"/>
      <c r="F929" s="2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20"/>
      <c r="C930" s="20"/>
      <c r="D930" s="19"/>
      <c r="E930" s="23"/>
      <c r="F930" s="2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20"/>
      <c r="C931" s="20"/>
      <c r="D931" s="19"/>
      <c r="E931" s="23"/>
      <c r="F931" s="2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20"/>
      <c r="C932" s="20"/>
      <c r="D932" s="19"/>
      <c r="E932" s="23"/>
      <c r="F932" s="2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20"/>
      <c r="C933" s="20"/>
      <c r="D933" s="19"/>
      <c r="E933" s="23"/>
      <c r="F933" s="2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20"/>
      <c r="C934" s="20"/>
      <c r="D934" s="19"/>
      <c r="E934" s="23"/>
      <c r="F934" s="2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20"/>
      <c r="C935" s="20"/>
      <c r="D935" s="19"/>
      <c r="E935" s="23"/>
      <c r="F935" s="2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20"/>
      <c r="C936" s="20"/>
      <c r="D936" s="19"/>
      <c r="E936" s="23"/>
      <c r="F936" s="2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20"/>
      <c r="C937" s="20"/>
      <c r="D937" s="19"/>
      <c r="E937" s="23"/>
      <c r="F937" s="2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20"/>
      <c r="C938" s="20"/>
      <c r="D938" s="19"/>
      <c r="E938" s="23"/>
      <c r="F938" s="2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20"/>
      <c r="C939" s="20"/>
      <c r="D939" s="19"/>
      <c r="E939" s="23"/>
      <c r="F939" s="2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20"/>
      <c r="C940" s="20"/>
      <c r="D940" s="19"/>
      <c r="E940" s="23"/>
      <c r="F940" s="2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20"/>
      <c r="C941" s="20"/>
      <c r="D941" s="19"/>
      <c r="E941" s="23"/>
      <c r="F941" s="2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20"/>
      <c r="C942" s="20"/>
      <c r="D942" s="19"/>
      <c r="E942" s="23"/>
      <c r="F942" s="2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20"/>
      <c r="C943" s="20"/>
      <c r="D943" s="19"/>
      <c r="E943" s="23"/>
      <c r="F943" s="2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20"/>
      <c r="C944" s="20"/>
      <c r="D944" s="19"/>
      <c r="E944" s="23"/>
      <c r="F944" s="2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20"/>
      <c r="C945" s="20"/>
      <c r="D945" s="19"/>
      <c r="E945" s="23"/>
      <c r="F945" s="2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20"/>
      <c r="C946" s="20"/>
      <c r="D946" s="19"/>
      <c r="E946" s="23"/>
      <c r="F946" s="2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20"/>
      <c r="C947" s="20"/>
      <c r="D947" s="19"/>
      <c r="E947" s="23"/>
      <c r="F947" s="2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20"/>
      <c r="C948" s="20"/>
      <c r="D948" s="19"/>
      <c r="E948" s="23"/>
      <c r="F948" s="2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20"/>
      <c r="C949" s="20"/>
      <c r="D949" s="19"/>
      <c r="E949" s="23"/>
      <c r="F949" s="2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20"/>
      <c r="C950" s="20"/>
      <c r="D950" s="19"/>
      <c r="E950" s="23"/>
      <c r="F950" s="2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20"/>
      <c r="C951" s="20"/>
      <c r="D951" s="19"/>
      <c r="E951" s="23"/>
      <c r="F951" s="2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20"/>
      <c r="C952" s="20"/>
      <c r="D952" s="19"/>
      <c r="E952" s="23"/>
      <c r="F952" s="2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20"/>
      <c r="C953" s="20"/>
      <c r="D953" s="19"/>
      <c r="E953" s="23"/>
      <c r="F953" s="2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20"/>
      <c r="C954" s="20"/>
      <c r="D954" s="19"/>
      <c r="E954" s="23"/>
      <c r="F954" s="2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20"/>
      <c r="C955" s="20"/>
      <c r="D955" s="19"/>
      <c r="E955" s="23"/>
      <c r="F955" s="2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20"/>
      <c r="C956" s="20"/>
      <c r="D956" s="19"/>
      <c r="E956" s="23"/>
      <c r="F956" s="2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20"/>
      <c r="C957" s="20"/>
      <c r="D957" s="19"/>
      <c r="E957" s="23"/>
      <c r="F957" s="2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20"/>
      <c r="C958" s="20"/>
      <c r="D958" s="19"/>
      <c r="E958" s="23"/>
      <c r="F958" s="2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20"/>
      <c r="C959" s="20"/>
      <c r="D959" s="19"/>
      <c r="E959" s="23"/>
      <c r="F959" s="2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20"/>
      <c r="C960" s="20"/>
      <c r="D960" s="19"/>
      <c r="E960" s="23"/>
      <c r="F960" s="2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20"/>
      <c r="C961" s="20"/>
      <c r="D961" s="19"/>
      <c r="E961" s="23"/>
      <c r="F961" s="2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20"/>
      <c r="C962" s="20"/>
      <c r="D962" s="19"/>
      <c r="E962" s="23"/>
      <c r="F962" s="2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20"/>
      <c r="C963" s="20"/>
      <c r="D963" s="19"/>
      <c r="E963" s="23"/>
      <c r="F963" s="2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20"/>
      <c r="C964" s="20"/>
      <c r="D964" s="19"/>
      <c r="E964" s="23"/>
      <c r="F964" s="2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20"/>
      <c r="C965" s="20"/>
      <c r="D965" s="19"/>
      <c r="E965" s="23"/>
      <c r="F965" s="2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20"/>
      <c r="C966" s="20"/>
      <c r="D966" s="19"/>
      <c r="E966" s="23"/>
      <c r="F966" s="2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20"/>
      <c r="C967" s="20"/>
      <c r="D967" s="19"/>
      <c r="E967" s="23"/>
      <c r="F967" s="2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20"/>
      <c r="C968" s="20"/>
      <c r="D968" s="19"/>
      <c r="E968" s="23"/>
      <c r="F968" s="2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20"/>
      <c r="C969" s="20"/>
      <c r="D969" s="19"/>
      <c r="E969" s="23"/>
      <c r="F969" s="2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20"/>
      <c r="C970" s="20"/>
      <c r="D970" s="19"/>
      <c r="E970" s="23"/>
      <c r="F970" s="2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20"/>
      <c r="C971" s="20"/>
      <c r="D971" s="19"/>
      <c r="E971" s="23"/>
      <c r="F971" s="2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20"/>
      <c r="C972" s="20"/>
      <c r="D972" s="19"/>
      <c r="E972" s="23"/>
      <c r="F972" s="2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20"/>
      <c r="C973" s="20"/>
      <c r="D973" s="19"/>
      <c r="E973" s="23"/>
      <c r="F973" s="2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20"/>
      <c r="C974" s="20"/>
      <c r="D974" s="19"/>
      <c r="E974" s="23"/>
      <c r="F974" s="2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20"/>
      <c r="C975" s="20"/>
      <c r="D975" s="19"/>
      <c r="E975" s="23"/>
      <c r="F975" s="2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20"/>
      <c r="C976" s="20"/>
      <c r="D976" s="19"/>
      <c r="E976" s="23"/>
      <c r="F976" s="2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20"/>
      <c r="C977" s="20"/>
      <c r="D977" s="19"/>
      <c r="E977" s="23"/>
      <c r="F977" s="2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20"/>
      <c r="C978" s="20"/>
      <c r="D978" s="19"/>
      <c r="E978" s="23"/>
      <c r="F978" s="2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20"/>
      <c r="C979" s="20"/>
      <c r="D979" s="19"/>
      <c r="E979" s="23"/>
      <c r="F979" s="2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20"/>
      <c r="C980" s="20"/>
      <c r="D980" s="19"/>
      <c r="E980" s="23"/>
      <c r="F980" s="2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20"/>
      <c r="C981" s="20"/>
      <c r="D981" s="19"/>
      <c r="E981" s="23"/>
      <c r="F981" s="2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20"/>
      <c r="C982" s="20"/>
      <c r="D982" s="19"/>
      <c r="E982" s="23"/>
      <c r="F982" s="2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20"/>
      <c r="C983" s="20"/>
      <c r="D983" s="19"/>
      <c r="E983" s="23"/>
      <c r="F983" s="2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20"/>
      <c r="C984" s="20"/>
      <c r="D984" s="19"/>
      <c r="E984" s="23"/>
      <c r="F984" s="2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20"/>
      <c r="C985" s="20"/>
      <c r="D985" s="19"/>
      <c r="E985" s="23"/>
      <c r="F985" s="2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20"/>
      <c r="C986" s="20"/>
      <c r="D986" s="19"/>
      <c r="E986" s="23"/>
      <c r="F986" s="2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20"/>
      <c r="C987" s="20"/>
      <c r="D987" s="19"/>
      <c r="E987" s="23"/>
      <c r="F987" s="2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20"/>
      <c r="C988" s="20"/>
      <c r="D988" s="19"/>
      <c r="E988" s="23"/>
      <c r="F988" s="2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20"/>
      <c r="C989" s="20"/>
      <c r="D989" s="19"/>
      <c r="E989" s="23"/>
      <c r="F989" s="2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20"/>
      <c r="C990" s="20"/>
      <c r="D990" s="19"/>
      <c r="E990" s="23"/>
      <c r="F990" s="2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20"/>
      <c r="C991" s="20"/>
      <c r="D991" s="19"/>
      <c r="E991" s="23"/>
      <c r="F991" s="2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20"/>
      <c r="C992" s="20"/>
      <c r="D992" s="19"/>
      <c r="E992" s="23"/>
      <c r="F992" s="2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20"/>
      <c r="C993" s="20"/>
      <c r="D993" s="19"/>
      <c r="E993" s="23"/>
      <c r="F993" s="2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20"/>
      <c r="C994" s="20"/>
      <c r="D994" s="19"/>
      <c r="E994" s="23"/>
      <c r="F994" s="2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</sheetData>
  <hyperlinks>
    <hyperlink ref="C22" r:id="rId1" xr:uid="{498CD720-5454-439B-8D7C-D3B58A72F3D1}"/>
    <hyperlink ref="H34" r:id="rId2" location="reco_item_pos=0&amp;reco_backend=univb-vip-buybox&amp;reco_backend_type=low_level&amp;reco_client=vip-v2p&amp;reco_id=fddcd517-2aca-4a2d-a6b0-b350e0e587dd" xr:uid="{B8D6288B-D8B2-4A89-B2D3-1E9722F7FBB8}"/>
    <hyperlink ref="H35" r:id="rId3" location="position=16&amp;search_layout=stack&amp;type=item&amp;tracking_id=e36dd5bc-112c-4868-87ff-15823f3acda1" xr:uid="{A416214B-9503-4417-B122-E8B43FF0F5E4}"/>
  </hyperlinks>
  <pageMargins left="0.7" right="0.7" top="0.75" bottom="0.75" header="0" footer="0"/>
  <pageSetup orientation="landscape"/>
  <drawing r:id="rId4"/>
  <tableParts count="3"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Z1003"/>
  <sheetViews>
    <sheetView showGridLines="0" topLeftCell="A21" workbookViewId="0">
      <selection activeCell="I19" sqref="I19"/>
    </sheetView>
  </sheetViews>
  <sheetFormatPr defaultColWidth="14.42578125" defaultRowHeight="15" customHeight="1"/>
  <cols>
    <col min="1" max="1" width="11.42578125" customWidth="1"/>
    <col min="2" max="2" width="37.85546875" customWidth="1"/>
    <col min="3" max="3" width="17.7109375" customWidth="1"/>
    <col min="4" max="5" width="14.7109375" customWidth="1"/>
    <col min="6" max="6" width="25.140625" customWidth="1"/>
    <col min="7" max="8" width="14.7109375" customWidth="1"/>
    <col min="9" max="9" width="16.5703125" bestFit="1" customWidth="1"/>
    <col min="10" max="26" width="11.42578125" customWidth="1"/>
  </cols>
  <sheetData>
    <row r="1" spans="1:26" ht="15.75">
      <c r="A1" s="140"/>
      <c r="B1" s="140"/>
      <c r="C1" s="142"/>
      <c r="D1" s="142"/>
      <c r="E1" s="142"/>
      <c r="F1" s="142"/>
      <c r="G1" s="142"/>
      <c r="H1" s="142"/>
      <c r="I1" s="140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40"/>
      <c r="B2" s="158" t="s">
        <v>184</v>
      </c>
      <c r="C2" s="142"/>
      <c r="D2" s="142"/>
      <c r="E2" s="142"/>
      <c r="F2" s="142"/>
      <c r="G2" s="142"/>
      <c r="H2" s="142"/>
      <c r="I2" s="140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40"/>
      <c r="B3" s="158" t="s">
        <v>87</v>
      </c>
      <c r="C3" s="142" t="s">
        <v>39</v>
      </c>
      <c r="D3" s="229"/>
      <c r="E3" s="142"/>
      <c r="F3" s="142"/>
      <c r="G3" s="142"/>
      <c r="H3" s="142"/>
      <c r="I3" s="140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40"/>
      <c r="B4" s="140" t="s">
        <v>185</v>
      </c>
      <c r="C4" s="142"/>
      <c r="D4" s="142"/>
      <c r="E4" s="142"/>
      <c r="F4" s="142"/>
      <c r="G4" s="142"/>
      <c r="H4" s="142"/>
      <c r="I4" s="140"/>
      <c r="J4" s="13"/>
      <c r="K4" s="21" t="s">
        <v>77</v>
      </c>
      <c r="L4" s="22" t="s">
        <v>78</v>
      </c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>
      <c r="A5" s="140"/>
      <c r="B5" s="230" t="s">
        <v>120</v>
      </c>
      <c r="C5" s="231" t="s">
        <v>186</v>
      </c>
      <c r="D5" s="232" t="s">
        <v>27</v>
      </c>
      <c r="E5" s="231" t="s">
        <v>28</v>
      </c>
      <c r="F5" s="231" t="s">
        <v>29</v>
      </c>
      <c r="G5" s="231" t="s">
        <v>30</v>
      </c>
      <c r="H5" s="231" t="s">
        <v>31</v>
      </c>
      <c r="I5" s="233" t="s">
        <v>187</v>
      </c>
      <c r="J5" s="13"/>
      <c r="K5" s="17">
        <v>2024</v>
      </c>
      <c r="L5" s="18">
        <f>592%/100</f>
        <v>5.9200000000000003E-2</v>
      </c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 hidden="1">
      <c r="A6" s="140"/>
      <c r="B6" s="234" t="s">
        <v>188</v>
      </c>
      <c r="C6" s="235" t="s">
        <v>189</v>
      </c>
      <c r="D6" s="235" t="s">
        <v>190</v>
      </c>
      <c r="E6" s="234" t="s">
        <v>191</v>
      </c>
      <c r="F6" s="234" t="s">
        <v>192</v>
      </c>
      <c r="G6" s="234" t="s">
        <v>193</v>
      </c>
      <c r="H6" s="234" t="s">
        <v>194</v>
      </c>
      <c r="I6" s="234" t="s">
        <v>195</v>
      </c>
      <c r="J6" s="13"/>
      <c r="K6" s="85"/>
      <c r="L6" s="86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>
      <c r="A7" s="140"/>
      <c r="B7" s="234" t="s">
        <v>196</v>
      </c>
      <c r="C7" s="181">
        <v>351000</v>
      </c>
      <c r="D7" s="181">
        <v>0</v>
      </c>
      <c r="E7" s="181">
        <v>0</v>
      </c>
      <c r="F7" s="181">
        <v>0</v>
      </c>
      <c r="G7" s="181">
        <v>0</v>
      </c>
      <c r="H7" s="181">
        <v>0</v>
      </c>
      <c r="I7" s="235">
        <f>Table_11[[#This Row],[Columna2]]</f>
        <v>351000</v>
      </c>
      <c r="J7" s="50"/>
      <c r="K7" s="89">
        <v>2025</v>
      </c>
      <c r="L7" s="90">
        <v>6.3399999999999998E-2</v>
      </c>
      <c r="M7" s="50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>
      <c r="A8" s="140"/>
      <c r="B8" s="140" t="s">
        <v>197</v>
      </c>
      <c r="C8" s="181">
        <v>25000</v>
      </c>
      <c r="D8" s="181">
        <f>(I8*$L$5)+I8</f>
        <v>317760</v>
      </c>
      <c r="E8" s="181">
        <f>(D8*$L$7)+D8</f>
        <v>337905.984</v>
      </c>
      <c r="F8" s="181">
        <f>(E8*$L$8)+E8</f>
        <v>362539.33023359999</v>
      </c>
      <c r="G8" s="181">
        <f>(F8*$L$9)+F8</f>
        <v>390164.82719740033</v>
      </c>
      <c r="H8" s="181">
        <f>(G8*$L$10)+G8</f>
        <v>415603.57393067086</v>
      </c>
      <c r="I8" s="181">
        <f>(C8*12)</f>
        <v>300000</v>
      </c>
      <c r="J8" s="13"/>
      <c r="K8" s="87">
        <v>2026</v>
      </c>
      <c r="L8" s="88">
        <f>729%/100</f>
        <v>7.2900000000000006E-2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40"/>
      <c r="B9" s="140" t="s">
        <v>198</v>
      </c>
      <c r="C9" s="181">
        <v>50000</v>
      </c>
      <c r="D9" s="181">
        <f>(I9*$L$5)+I9</f>
        <v>635520</v>
      </c>
      <c r="E9" s="181">
        <f>(D9*$L$7)+D9</f>
        <v>675811.96799999999</v>
      </c>
      <c r="F9" s="181">
        <f>(E9*$L$8)+E9</f>
        <v>725078.66046719998</v>
      </c>
      <c r="G9" s="181">
        <f>(F9*$L$9)+F9</f>
        <v>780329.65439480066</v>
      </c>
      <c r="H9" s="181">
        <f>(G9*$L$10)+G9</f>
        <v>831207.14786134171</v>
      </c>
      <c r="I9" s="181">
        <f t="shared" ref="I9" si="0">(C9*12)</f>
        <v>600000</v>
      </c>
      <c r="J9" s="13"/>
      <c r="K9" s="17">
        <v>2027</v>
      </c>
      <c r="L9" s="18">
        <f>762%/100</f>
        <v>7.6200000000000004E-2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40"/>
      <c r="B10" s="140" t="s">
        <v>51</v>
      </c>
      <c r="C10" s="181">
        <f>SUM(C7:C9)</f>
        <v>426000</v>
      </c>
      <c r="D10" s="181">
        <f>SUM(D7:D9)</f>
        <v>953280</v>
      </c>
      <c r="E10" s="181">
        <f>SUM(E7:E9)</f>
        <v>1013717.952</v>
      </c>
      <c r="F10" s="181">
        <f t="shared" ref="F10:G10" si="1">SUM(F8:F9)</f>
        <v>1087617.9907008</v>
      </c>
      <c r="G10" s="181">
        <f t="shared" si="1"/>
        <v>1170494.4815922009</v>
      </c>
      <c r="H10" s="181">
        <f>SUM(H7:H9)</f>
        <v>1246810.7217920125</v>
      </c>
      <c r="I10" s="227">
        <f>SUM(I7:I9)</f>
        <v>1251000</v>
      </c>
      <c r="J10" s="13"/>
      <c r="K10" s="17">
        <v>2028</v>
      </c>
      <c r="L10" s="18">
        <f>652%/100</f>
        <v>6.5199999999999994E-2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40"/>
      <c r="B11" s="140"/>
      <c r="C11" s="211"/>
      <c r="D11" s="211"/>
      <c r="E11" s="211"/>
      <c r="F11" s="211"/>
      <c r="G11" s="211"/>
      <c r="H11" s="211"/>
      <c r="I11" s="154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40"/>
      <c r="B12" s="140" t="s">
        <v>199</v>
      </c>
      <c r="C12" s="211"/>
      <c r="D12" s="211"/>
      <c r="E12" s="211"/>
      <c r="F12" s="211"/>
      <c r="G12" s="211"/>
      <c r="H12" s="211"/>
      <c r="I12" s="154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40"/>
      <c r="B13" s="140" t="s">
        <v>120</v>
      </c>
      <c r="C13" s="211" t="s">
        <v>186</v>
      </c>
      <c r="D13" s="211" t="s">
        <v>27</v>
      </c>
      <c r="E13" s="211" t="s">
        <v>28</v>
      </c>
      <c r="F13" s="211" t="s">
        <v>29</v>
      </c>
      <c r="G13" s="211" t="s">
        <v>30</v>
      </c>
      <c r="H13" s="211" t="s">
        <v>31</v>
      </c>
      <c r="I13" s="154" t="s">
        <v>187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40"/>
      <c r="B14" s="140" t="s">
        <v>200</v>
      </c>
      <c r="C14" s="181">
        <v>350000</v>
      </c>
      <c r="D14" s="181">
        <f>(I14*$L$5)+I14</f>
        <v>4448640</v>
      </c>
      <c r="E14" s="181">
        <f>(D14*$L$7)+D14</f>
        <v>4730683.7759999996</v>
      </c>
      <c r="F14" s="181">
        <f>(E14*$L$8)+E14</f>
        <v>5075550.6232703999</v>
      </c>
      <c r="G14" s="181">
        <f>(F14*$L$9)+F14</f>
        <v>5462307.5807636045</v>
      </c>
      <c r="H14" s="181">
        <f>(G14*$L$10)+G14</f>
        <v>5818450.0350293918</v>
      </c>
      <c r="I14" s="181">
        <f>(C14*12)</f>
        <v>4200000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40"/>
      <c r="B15" s="140" t="s">
        <v>51</v>
      </c>
      <c r="C15" s="181">
        <f t="shared" ref="C15:I15" si="2">C14</f>
        <v>350000</v>
      </c>
      <c r="D15" s="181">
        <f>D14</f>
        <v>4448640</v>
      </c>
      <c r="E15" s="181">
        <f>E14</f>
        <v>4730683.7759999996</v>
      </c>
      <c r="F15" s="181">
        <f>F14</f>
        <v>5075550.6232703999</v>
      </c>
      <c r="G15" s="181">
        <f>G14</f>
        <v>5462307.5807636045</v>
      </c>
      <c r="H15" s="181">
        <f>H14</f>
        <v>5818450.0350293918</v>
      </c>
      <c r="I15" s="181">
        <f t="shared" si="2"/>
        <v>4200000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40"/>
      <c r="B16" s="140"/>
      <c r="C16" s="211"/>
      <c r="D16" s="211"/>
      <c r="E16" s="211"/>
      <c r="F16" s="211"/>
      <c r="G16" s="211"/>
      <c r="H16" s="211"/>
      <c r="I16" s="154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40"/>
      <c r="B17" s="140" t="s">
        <v>201</v>
      </c>
      <c r="C17" s="211"/>
      <c r="D17" s="211"/>
      <c r="E17" s="211"/>
      <c r="F17" s="211"/>
      <c r="G17" s="211"/>
      <c r="H17" s="211"/>
      <c r="I17" s="154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40"/>
      <c r="B18" s="140" t="s">
        <v>120</v>
      </c>
      <c r="C18" s="211" t="s">
        <v>186</v>
      </c>
      <c r="D18" s="211" t="s">
        <v>27</v>
      </c>
      <c r="E18" s="211" t="s">
        <v>28</v>
      </c>
      <c r="F18" s="211" t="s">
        <v>29</v>
      </c>
      <c r="G18" s="211" t="s">
        <v>30</v>
      </c>
      <c r="H18" s="211" t="s">
        <v>31</v>
      </c>
      <c r="I18" s="154" t="s">
        <v>187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>
      <c r="A19" s="140"/>
      <c r="B19" s="140" t="s">
        <v>202</v>
      </c>
      <c r="C19" s="236">
        <v>1000000</v>
      </c>
      <c r="D19" s="181">
        <f>(I19*L5)+I19</f>
        <v>12710400</v>
      </c>
      <c r="E19" s="181">
        <f>(D19*L6)+D19</f>
        <v>12710400</v>
      </c>
      <c r="F19" s="181">
        <f>(E19*L8)+E19</f>
        <v>13636988.16</v>
      </c>
      <c r="G19" s="181">
        <f>(F19*L9)+F19</f>
        <v>14676126.657792</v>
      </c>
      <c r="H19" s="181">
        <f>(G19*L10)+G19</f>
        <v>15633010.115880039</v>
      </c>
      <c r="I19" s="181">
        <f t="shared" ref="I19:I23" si="3">(C19*12)</f>
        <v>12000000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 customHeight="1">
      <c r="A20" s="140"/>
      <c r="B20" s="140" t="s">
        <v>203</v>
      </c>
      <c r="C20" s="181">
        <v>40000</v>
      </c>
      <c r="D20" s="181">
        <f>(I20*L5)+I20</f>
        <v>508416</v>
      </c>
      <c r="E20" s="181">
        <f>(D20*L6)+D20</f>
        <v>508416</v>
      </c>
      <c r="F20" s="181">
        <f>(E20*L8)+E20</f>
        <v>545479.52639999997</v>
      </c>
      <c r="G20" s="181">
        <f>(F20*L9)+F20</f>
        <v>587045.06631168001</v>
      </c>
      <c r="H20" s="181">
        <f>(G20*L10)+G20</f>
        <v>625320.40463520156</v>
      </c>
      <c r="I20" s="181">
        <f t="shared" si="3"/>
        <v>480000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40"/>
      <c r="B21" s="140" t="s">
        <v>204</v>
      </c>
      <c r="C21" s="236">
        <f>378*2000*0.3</f>
        <v>226800</v>
      </c>
      <c r="D21" s="181">
        <f>(I21*L5)+I21</f>
        <v>2882718.72</v>
      </c>
      <c r="E21" s="181">
        <f>(D21*L6)+D21</f>
        <v>2882718.72</v>
      </c>
      <c r="F21" s="181">
        <f>(E21*L8)+E21</f>
        <v>3092868.9146880005</v>
      </c>
      <c r="G21" s="181">
        <f>(F21*L9)+F21</f>
        <v>3328545.5259872261</v>
      </c>
      <c r="H21" s="181">
        <f>(G21*L10)+G21</f>
        <v>3545566.694281593</v>
      </c>
      <c r="I21" s="181">
        <f t="shared" si="3"/>
        <v>2721600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40"/>
      <c r="B22" s="140" t="s">
        <v>205</v>
      </c>
      <c r="C22" s="181">
        <v>120000</v>
      </c>
      <c r="D22" s="181">
        <f>(I22*L5)+I22</f>
        <v>1525248</v>
      </c>
      <c r="E22" s="181">
        <f>(D22*L6)+D22</f>
        <v>1525248</v>
      </c>
      <c r="F22" s="181">
        <f>(E22*L8)+E22</f>
        <v>1636438.5792</v>
      </c>
      <c r="G22" s="181">
        <f>(F22*L9)+F22</f>
        <v>1761135.19893504</v>
      </c>
      <c r="H22" s="181">
        <f>(G22*L10)+G22</f>
        <v>1875961.2139056046</v>
      </c>
      <c r="I22" s="181">
        <f t="shared" si="3"/>
        <v>1440000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40"/>
      <c r="B23" s="140" t="s">
        <v>206</v>
      </c>
      <c r="C23" s="181">
        <v>50000</v>
      </c>
      <c r="D23" s="181">
        <f>(I23*L5)+I23</f>
        <v>635520</v>
      </c>
      <c r="E23" s="181">
        <f>(D23*L6)+D23</f>
        <v>635520</v>
      </c>
      <c r="F23" s="181">
        <f>(E23*L8)+E23</f>
        <v>681849.40800000005</v>
      </c>
      <c r="G23" s="181">
        <f>(F23*L9)+F23</f>
        <v>733806.33288960007</v>
      </c>
      <c r="H23" s="181">
        <f>(G23*L10)+G23</f>
        <v>781650.50579400198</v>
      </c>
      <c r="I23" s="181">
        <f t="shared" si="3"/>
        <v>600000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40"/>
      <c r="B24" s="140" t="s">
        <v>51</v>
      </c>
      <c r="C24" s="181">
        <f t="shared" ref="C24:H24" si="4">SUM(C19:C23)</f>
        <v>1436800</v>
      </c>
      <c r="D24" s="181">
        <f>SUM(D19:D23)</f>
        <v>18262302.719999999</v>
      </c>
      <c r="E24" s="181">
        <f t="shared" si="4"/>
        <v>18262302.719999999</v>
      </c>
      <c r="F24" s="181">
        <f t="shared" si="4"/>
        <v>19593624.588288002</v>
      </c>
      <c r="G24" s="181">
        <f t="shared" si="4"/>
        <v>21086658.781915545</v>
      </c>
      <c r="H24" s="181">
        <f t="shared" si="4"/>
        <v>22461508.93449644</v>
      </c>
      <c r="I24" s="181">
        <f>SUM(I19:I23)</f>
        <v>17241600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40"/>
      <c r="B25" s="140"/>
      <c r="C25" s="155"/>
      <c r="D25" s="155"/>
      <c r="E25" s="155"/>
      <c r="F25" s="155"/>
      <c r="G25" s="155"/>
      <c r="H25" s="155"/>
      <c r="I25" s="155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40"/>
      <c r="B26" s="91" t="s">
        <v>207</v>
      </c>
      <c r="C26" s="237">
        <f>($I$10+$I$15+$I$24)</f>
        <v>22692600</v>
      </c>
      <c r="D26" s="155"/>
      <c r="E26" s="155"/>
      <c r="F26" s="155"/>
      <c r="G26" s="155"/>
      <c r="H26" s="155"/>
      <c r="I26" s="155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40"/>
      <c r="B27" s="91" t="s">
        <v>103</v>
      </c>
      <c r="C27" s="238">
        <f>C26/4</f>
        <v>5673150</v>
      </c>
      <c r="D27" s="155"/>
      <c r="E27" s="155"/>
      <c r="F27" s="155"/>
      <c r="G27" s="155"/>
      <c r="H27" s="155"/>
      <c r="I27" s="155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3"/>
      <c r="B28" s="13"/>
      <c r="C28" s="19"/>
      <c r="D28" s="19"/>
      <c r="E28" s="19"/>
      <c r="F28" s="19"/>
      <c r="G28" s="19"/>
      <c r="H28" s="19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3"/>
      <c r="B29" s="13"/>
      <c r="C29" s="19"/>
      <c r="D29" s="19"/>
      <c r="E29" s="19"/>
      <c r="F29" s="19"/>
      <c r="G29" s="19"/>
      <c r="H29" s="19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3"/>
      <c r="B30" s="13"/>
      <c r="C30" s="19"/>
      <c r="D30" s="19"/>
      <c r="E30" s="19"/>
      <c r="F30" s="78"/>
      <c r="G30" s="78"/>
      <c r="H30" s="19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37.5" customHeight="1">
      <c r="A31" s="13"/>
      <c r="B31" s="13"/>
      <c r="C31" s="19"/>
      <c r="D31" s="19"/>
      <c r="E31" s="78"/>
      <c r="F31" s="79"/>
      <c r="G31" s="79"/>
      <c r="H31" s="78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3"/>
      <c r="B32" s="13"/>
      <c r="C32" s="19"/>
      <c r="D32" s="19"/>
      <c r="E32" s="78"/>
      <c r="F32" s="80"/>
      <c r="G32" s="81"/>
      <c r="H32" s="78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3"/>
      <c r="B33" s="13"/>
      <c r="C33" s="19"/>
      <c r="D33" s="19"/>
      <c r="E33" s="78"/>
      <c r="F33" s="82"/>
      <c r="G33" s="83"/>
      <c r="H33" s="78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3"/>
      <c r="B34" s="13"/>
      <c r="C34" s="19"/>
      <c r="D34" s="19"/>
      <c r="E34" s="78"/>
      <c r="F34" s="82"/>
      <c r="G34" s="83"/>
      <c r="H34" s="78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3"/>
      <c r="B35" s="13"/>
      <c r="C35" s="19"/>
      <c r="D35" s="19"/>
      <c r="E35" s="78"/>
      <c r="F35" s="84"/>
      <c r="G35" s="83"/>
      <c r="H35" s="78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3"/>
      <c r="B36" s="13"/>
      <c r="C36" s="19"/>
      <c r="D36" s="19"/>
      <c r="E36" s="78"/>
      <c r="F36" s="84"/>
      <c r="G36" s="83"/>
      <c r="H36" s="78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3"/>
      <c r="B37" s="13"/>
      <c r="C37" s="19"/>
      <c r="D37" s="19"/>
      <c r="E37" s="78"/>
      <c r="F37" s="84"/>
      <c r="G37" s="83"/>
      <c r="H37" s="78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3"/>
      <c r="B38" s="13"/>
      <c r="C38" s="19"/>
      <c r="D38" s="19"/>
      <c r="E38" s="78"/>
      <c r="F38" s="84"/>
      <c r="G38" s="83"/>
      <c r="H38" s="78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3"/>
      <c r="B39" s="13"/>
      <c r="C39" s="19"/>
      <c r="D39" s="19"/>
      <c r="E39" s="78"/>
      <c r="F39" s="82"/>
      <c r="G39" s="83"/>
      <c r="H39" s="78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3"/>
      <c r="B40" s="13"/>
      <c r="C40" s="19"/>
      <c r="D40" s="19"/>
      <c r="E40" s="19"/>
      <c r="F40" s="78"/>
      <c r="G40" s="78"/>
      <c r="H40" s="19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3"/>
      <c r="B41" s="13"/>
      <c r="C41" s="19"/>
      <c r="D41" s="19"/>
      <c r="E41" s="19"/>
      <c r="F41" s="19"/>
      <c r="G41" s="19"/>
      <c r="H41" s="19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3"/>
      <c r="B42" s="13"/>
      <c r="C42" s="19"/>
      <c r="D42" s="19"/>
      <c r="E42" s="19"/>
      <c r="F42" s="19"/>
      <c r="G42" s="19"/>
      <c r="H42" s="19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3"/>
      <c r="B43" s="13"/>
      <c r="C43" s="19"/>
      <c r="D43" s="19"/>
      <c r="E43" s="19"/>
      <c r="F43" s="19"/>
      <c r="G43" s="19"/>
      <c r="H43" s="19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3"/>
      <c r="B44" s="13"/>
      <c r="C44" s="19"/>
      <c r="D44" s="19"/>
      <c r="E44" s="19"/>
      <c r="F44" s="19"/>
      <c r="G44" s="19"/>
      <c r="H44" s="19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3"/>
      <c r="B45" s="13"/>
      <c r="C45" s="19"/>
      <c r="D45" s="19"/>
      <c r="E45" s="19"/>
      <c r="F45" s="19"/>
      <c r="G45" s="19"/>
      <c r="H45" s="19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13"/>
      <c r="C46" s="19"/>
      <c r="D46" s="19"/>
      <c r="E46" s="19"/>
      <c r="F46" s="19"/>
      <c r="G46" s="19"/>
      <c r="H46" s="19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3"/>
      <c r="C47" s="19"/>
      <c r="D47" s="19"/>
      <c r="E47" s="19"/>
      <c r="F47" s="19"/>
      <c r="G47" s="19"/>
      <c r="H47" s="19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13"/>
      <c r="C48" s="19"/>
      <c r="D48" s="19"/>
      <c r="E48" s="19"/>
      <c r="F48" s="19"/>
      <c r="G48" s="19"/>
      <c r="H48" s="19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3"/>
      <c r="C49" s="19"/>
      <c r="D49" s="19"/>
      <c r="E49" s="19"/>
      <c r="F49" s="19"/>
      <c r="G49" s="19"/>
      <c r="H49" s="19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3"/>
      <c r="C50" s="19"/>
      <c r="D50" s="19"/>
      <c r="E50" s="19"/>
      <c r="F50" s="19"/>
      <c r="G50" s="19"/>
      <c r="H50" s="19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3"/>
      <c r="C51" s="19"/>
      <c r="D51" s="19"/>
      <c r="E51" s="19"/>
      <c r="F51" s="19"/>
      <c r="G51" s="19"/>
      <c r="H51" s="19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3"/>
      <c r="C52" s="19"/>
      <c r="D52" s="19"/>
      <c r="E52" s="19"/>
      <c r="F52" s="19"/>
      <c r="G52" s="19"/>
      <c r="H52" s="19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3"/>
      <c r="C53" s="19"/>
      <c r="D53" s="19"/>
      <c r="E53" s="19"/>
      <c r="F53" s="19"/>
      <c r="G53" s="19"/>
      <c r="H53" s="19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3"/>
      <c r="C54" s="19"/>
      <c r="D54" s="19"/>
      <c r="E54" s="19"/>
      <c r="F54" s="19"/>
      <c r="G54" s="19"/>
      <c r="H54" s="19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3"/>
      <c r="C55" s="19"/>
      <c r="D55" s="19"/>
      <c r="E55" s="19"/>
      <c r="F55" s="19"/>
      <c r="G55" s="19"/>
      <c r="H55" s="19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3"/>
      <c r="C56" s="19"/>
      <c r="D56" s="19"/>
      <c r="E56" s="19"/>
      <c r="F56" s="19"/>
      <c r="G56" s="19"/>
      <c r="H56" s="19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3"/>
      <c r="C57" s="19"/>
      <c r="D57" s="19"/>
      <c r="E57" s="19"/>
      <c r="F57" s="19"/>
      <c r="G57" s="19"/>
      <c r="H57" s="19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3"/>
      <c r="C58" s="19"/>
      <c r="D58" s="19"/>
      <c r="E58" s="19"/>
      <c r="F58" s="19"/>
      <c r="G58" s="19"/>
      <c r="H58" s="19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3"/>
      <c r="C59" s="19"/>
      <c r="D59" s="19"/>
      <c r="E59" s="19"/>
      <c r="F59" s="19"/>
      <c r="G59" s="19"/>
      <c r="H59" s="19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19"/>
      <c r="D60" s="19"/>
      <c r="E60" s="19"/>
      <c r="F60" s="19"/>
      <c r="G60" s="19"/>
      <c r="H60" s="19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19"/>
      <c r="D61" s="19"/>
      <c r="E61" s="19"/>
      <c r="F61" s="19"/>
      <c r="G61" s="19"/>
      <c r="H61" s="19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19"/>
      <c r="D62" s="19"/>
      <c r="E62" s="19"/>
      <c r="F62" s="19"/>
      <c r="G62" s="19"/>
      <c r="H62" s="19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19"/>
      <c r="D63" s="19"/>
      <c r="E63" s="19"/>
      <c r="F63" s="19"/>
      <c r="G63" s="19"/>
      <c r="H63" s="19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19"/>
      <c r="D64" s="19"/>
      <c r="E64" s="19"/>
      <c r="F64" s="19"/>
      <c r="G64" s="19"/>
      <c r="H64" s="19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9"/>
      <c r="D65" s="19"/>
      <c r="E65" s="19"/>
      <c r="F65" s="19"/>
      <c r="G65" s="19"/>
      <c r="H65" s="19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9"/>
      <c r="D66" s="19"/>
      <c r="E66" s="19"/>
      <c r="F66" s="19"/>
      <c r="G66" s="19"/>
      <c r="H66" s="19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9"/>
      <c r="D67" s="19"/>
      <c r="E67" s="19"/>
      <c r="F67" s="19"/>
      <c r="G67" s="19"/>
      <c r="H67" s="19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9"/>
      <c r="D68" s="19"/>
      <c r="E68" s="19"/>
      <c r="F68" s="19"/>
      <c r="G68" s="19"/>
      <c r="H68" s="19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9"/>
      <c r="D69" s="19"/>
      <c r="E69" s="19"/>
      <c r="F69" s="19"/>
      <c r="G69" s="19"/>
      <c r="H69" s="19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9"/>
      <c r="D70" s="19"/>
      <c r="E70" s="19"/>
      <c r="F70" s="19"/>
      <c r="G70" s="19"/>
      <c r="H70" s="19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9"/>
      <c r="D71" s="19"/>
      <c r="E71" s="19"/>
      <c r="F71" s="19"/>
      <c r="G71" s="19"/>
      <c r="H71" s="19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9"/>
      <c r="D72" s="19"/>
      <c r="E72" s="19"/>
      <c r="F72" s="19"/>
      <c r="G72" s="19"/>
      <c r="H72" s="19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9"/>
      <c r="D73" s="19"/>
      <c r="E73" s="19"/>
      <c r="F73" s="19"/>
      <c r="G73" s="19"/>
      <c r="H73" s="19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9"/>
      <c r="D74" s="19"/>
      <c r="E74" s="19"/>
      <c r="F74" s="19"/>
      <c r="G74" s="19"/>
      <c r="H74" s="19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9"/>
      <c r="D75" s="19"/>
      <c r="E75" s="19"/>
      <c r="F75" s="19"/>
      <c r="G75" s="19"/>
      <c r="H75" s="19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9"/>
      <c r="D76" s="19"/>
      <c r="E76" s="19"/>
      <c r="F76" s="19"/>
      <c r="G76" s="19"/>
      <c r="H76" s="19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9"/>
      <c r="D77" s="19"/>
      <c r="E77" s="19"/>
      <c r="F77" s="19"/>
      <c r="G77" s="19"/>
      <c r="H77" s="19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9"/>
      <c r="D78" s="19"/>
      <c r="E78" s="19"/>
      <c r="F78" s="19"/>
      <c r="G78" s="19"/>
      <c r="H78" s="19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9"/>
      <c r="D79" s="19"/>
      <c r="E79" s="19"/>
      <c r="F79" s="19"/>
      <c r="G79" s="19"/>
      <c r="H79" s="19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9"/>
      <c r="D80" s="19"/>
      <c r="E80" s="19"/>
      <c r="F80" s="19"/>
      <c r="G80" s="19"/>
      <c r="H80" s="19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9"/>
      <c r="D81" s="19"/>
      <c r="E81" s="19"/>
      <c r="F81" s="19"/>
      <c r="G81" s="19"/>
      <c r="H81" s="19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9"/>
      <c r="D82" s="19"/>
      <c r="E82" s="19"/>
      <c r="F82" s="19"/>
      <c r="G82" s="19"/>
      <c r="H82" s="19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9"/>
      <c r="D83" s="19"/>
      <c r="E83" s="19"/>
      <c r="F83" s="19"/>
      <c r="G83" s="19"/>
      <c r="H83" s="19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9"/>
      <c r="D84" s="19"/>
      <c r="E84" s="19"/>
      <c r="F84" s="19"/>
      <c r="G84" s="19"/>
      <c r="H84" s="19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9"/>
      <c r="D85" s="19"/>
      <c r="E85" s="19"/>
      <c r="F85" s="19"/>
      <c r="G85" s="19"/>
      <c r="H85" s="19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9"/>
      <c r="D86" s="19"/>
      <c r="E86" s="19"/>
      <c r="F86" s="19"/>
      <c r="G86" s="19"/>
      <c r="H86" s="19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9"/>
      <c r="D87" s="19"/>
      <c r="E87" s="19"/>
      <c r="F87" s="19"/>
      <c r="G87" s="19"/>
      <c r="H87" s="19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9"/>
      <c r="D88" s="19"/>
      <c r="E88" s="19"/>
      <c r="F88" s="19"/>
      <c r="G88" s="19"/>
      <c r="H88" s="19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9"/>
      <c r="D89" s="19"/>
      <c r="E89" s="19"/>
      <c r="F89" s="19"/>
      <c r="G89" s="19"/>
      <c r="H89" s="19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9"/>
      <c r="D90" s="19"/>
      <c r="E90" s="19"/>
      <c r="F90" s="19"/>
      <c r="G90" s="19"/>
      <c r="H90" s="19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9"/>
      <c r="D91" s="19"/>
      <c r="E91" s="19"/>
      <c r="F91" s="19"/>
      <c r="G91" s="19"/>
      <c r="H91" s="19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9"/>
      <c r="D92" s="19"/>
      <c r="E92" s="19"/>
      <c r="F92" s="19"/>
      <c r="G92" s="19"/>
      <c r="H92" s="19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9"/>
      <c r="D93" s="19"/>
      <c r="E93" s="19"/>
      <c r="F93" s="19"/>
      <c r="G93" s="19"/>
      <c r="H93" s="19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9"/>
      <c r="D94" s="19"/>
      <c r="E94" s="19"/>
      <c r="F94" s="19"/>
      <c r="G94" s="19"/>
      <c r="H94" s="19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9"/>
      <c r="D95" s="19"/>
      <c r="E95" s="19"/>
      <c r="F95" s="19"/>
      <c r="G95" s="19"/>
      <c r="H95" s="19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9"/>
      <c r="D96" s="19"/>
      <c r="E96" s="19"/>
      <c r="F96" s="19"/>
      <c r="G96" s="19"/>
      <c r="H96" s="19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9"/>
      <c r="D97" s="19"/>
      <c r="E97" s="19"/>
      <c r="F97" s="19"/>
      <c r="G97" s="19"/>
      <c r="H97" s="19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9"/>
      <c r="D98" s="19"/>
      <c r="E98" s="19"/>
      <c r="F98" s="19"/>
      <c r="G98" s="19"/>
      <c r="H98" s="19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9"/>
      <c r="D99" s="19"/>
      <c r="E99" s="19"/>
      <c r="F99" s="19"/>
      <c r="G99" s="19"/>
      <c r="H99" s="19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9"/>
      <c r="D100" s="19"/>
      <c r="E100" s="19"/>
      <c r="F100" s="19"/>
      <c r="G100" s="19"/>
      <c r="H100" s="19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9"/>
      <c r="D101" s="19"/>
      <c r="E101" s="19"/>
      <c r="F101" s="19"/>
      <c r="G101" s="19"/>
      <c r="H101" s="19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9"/>
      <c r="D102" s="19"/>
      <c r="E102" s="19"/>
      <c r="F102" s="19"/>
      <c r="G102" s="19"/>
      <c r="H102" s="19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9"/>
      <c r="D103" s="19"/>
      <c r="E103" s="19"/>
      <c r="F103" s="19"/>
      <c r="G103" s="19"/>
      <c r="H103" s="19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9"/>
      <c r="D104" s="19"/>
      <c r="E104" s="19"/>
      <c r="F104" s="19"/>
      <c r="G104" s="19"/>
      <c r="H104" s="19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9"/>
      <c r="D105" s="19"/>
      <c r="E105" s="19"/>
      <c r="F105" s="19"/>
      <c r="G105" s="19"/>
      <c r="H105" s="19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9"/>
      <c r="D106" s="19"/>
      <c r="E106" s="19"/>
      <c r="F106" s="19"/>
      <c r="G106" s="19"/>
      <c r="H106" s="19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9"/>
      <c r="D107" s="19"/>
      <c r="E107" s="19"/>
      <c r="F107" s="19"/>
      <c r="G107" s="19"/>
      <c r="H107" s="19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9"/>
      <c r="D108" s="19"/>
      <c r="E108" s="19"/>
      <c r="F108" s="19"/>
      <c r="G108" s="19"/>
      <c r="H108" s="19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9"/>
      <c r="D109" s="19"/>
      <c r="E109" s="19"/>
      <c r="F109" s="19"/>
      <c r="G109" s="19"/>
      <c r="H109" s="19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9"/>
      <c r="D110" s="19"/>
      <c r="E110" s="19"/>
      <c r="F110" s="19"/>
      <c r="G110" s="19"/>
      <c r="H110" s="19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9"/>
      <c r="D111" s="19"/>
      <c r="E111" s="19"/>
      <c r="F111" s="19"/>
      <c r="G111" s="19"/>
      <c r="H111" s="19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9"/>
      <c r="D112" s="19"/>
      <c r="E112" s="19"/>
      <c r="F112" s="19"/>
      <c r="G112" s="19"/>
      <c r="H112" s="19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9"/>
      <c r="D113" s="19"/>
      <c r="E113" s="19"/>
      <c r="F113" s="19"/>
      <c r="G113" s="19"/>
      <c r="H113" s="19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9"/>
      <c r="D114" s="19"/>
      <c r="E114" s="19"/>
      <c r="F114" s="19"/>
      <c r="G114" s="19"/>
      <c r="H114" s="19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9"/>
      <c r="D115" s="19"/>
      <c r="E115" s="19"/>
      <c r="F115" s="19"/>
      <c r="G115" s="19"/>
      <c r="H115" s="19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9"/>
      <c r="D116" s="19"/>
      <c r="E116" s="19"/>
      <c r="F116" s="19"/>
      <c r="G116" s="19"/>
      <c r="H116" s="19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9"/>
      <c r="D117" s="19"/>
      <c r="E117" s="19"/>
      <c r="F117" s="19"/>
      <c r="G117" s="19"/>
      <c r="H117" s="19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9"/>
      <c r="D118" s="19"/>
      <c r="E118" s="19"/>
      <c r="F118" s="19"/>
      <c r="G118" s="19"/>
      <c r="H118" s="19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9"/>
      <c r="D119" s="19"/>
      <c r="E119" s="19"/>
      <c r="F119" s="19"/>
      <c r="G119" s="19"/>
      <c r="H119" s="19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9"/>
      <c r="D120" s="19"/>
      <c r="E120" s="19"/>
      <c r="F120" s="19"/>
      <c r="G120" s="19"/>
      <c r="H120" s="19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9"/>
      <c r="D121" s="19"/>
      <c r="E121" s="19"/>
      <c r="F121" s="19"/>
      <c r="G121" s="19"/>
      <c r="H121" s="19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9"/>
      <c r="D122" s="19"/>
      <c r="E122" s="19"/>
      <c r="F122" s="19"/>
      <c r="G122" s="19"/>
      <c r="H122" s="19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9"/>
      <c r="D123" s="19"/>
      <c r="E123" s="19"/>
      <c r="F123" s="19"/>
      <c r="G123" s="19"/>
      <c r="H123" s="19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9"/>
      <c r="D124" s="19"/>
      <c r="E124" s="19"/>
      <c r="F124" s="19"/>
      <c r="G124" s="19"/>
      <c r="H124" s="19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9"/>
      <c r="D125" s="19"/>
      <c r="E125" s="19"/>
      <c r="F125" s="19"/>
      <c r="G125" s="19"/>
      <c r="H125" s="19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9"/>
      <c r="D126" s="19"/>
      <c r="E126" s="19"/>
      <c r="F126" s="19"/>
      <c r="G126" s="19"/>
      <c r="H126" s="19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9"/>
      <c r="D127" s="19"/>
      <c r="E127" s="19"/>
      <c r="F127" s="19"/>
      <c r="G127" s="19"/>
      <c r="H127" s="19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9"/>
      <c r="D128" s="19"/>
      <c r="E128" s="19"/>
      <c r="F128" s="19"/>
      <c r="G128" s="19"/>
      <c r="H128" s="19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9"/>
      <c r="D129" s="19"/>
      <c r="E129" s="19"/>
      <c r="F129" s="19"/>
      <c r="G129" s="19"/>
      <c r="H129" s="19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9"/>
      <c r="D130" s="19"/>
      <c r="E130" s="19"/>
      <c r="F130" s="19"/>
      <c r="G130" s="19"/>
      <c r="H130" s="19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9"/>
      <c r="D131" s="19"/>
      <c r="E131" s="19"/>
      <c r="F131" s="19"/>
      <c r="G131" s="19"/>
      <c r="H131" s="19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9"/>
      <c r="D132" s="19"/>
      <c r="E132" s="19"/>
      <c r="F132" s="19"/>
      <c r="G132" s="19"/>
      <c r="H132" s="19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9"/>
      <c r="D133" s="19"/>
      <c r="E133" s="19"/>
      <c r="F133" s="19"/>
      <c r="G133" s="19"/>
      <c r="H133" s="19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9"/>
      <c r="D134" s="19"/>
      <c r="E134" s="19"/>
      <c r="F134" s="19"/>
      <c r="G134" s="19"/>
      <c r="H134" s="19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9"/>
      <c r="D135" s="19"/>
      <c r="E135" s="19"/>
      <c r="F135" s="19"/>
      <c r="G135" s="19"/>
      <c r="H135" s="19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9"/>
      <c r="D136" s="19"/>
      <c r="E136" s="19"/>
      <c r="F136" s="19"/>
      <c r="G136" s="19"/>
      <c r="H136" s="19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9"/>
      <c r="D137" s="19"/>
      <c r="E137" s="19"/>
      <c r="F137" s="19"/>
      <c r="G137" s="19"/>
      <c r="H137" s="19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9"/>
      <c r="D138" s="19"/>
      <c r="E138" s="19"/>
      <c r="F138" s="19"/>
      <c r="G138" s="19"/>
      <c r="H138" s="19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9"/>
      <c r="D139" s="19"/>
      <c r="E139" s="19"/>
      <c r="F139" s="19"/>
      <c r="G139" s="19"/>
      <c r="H139" s="19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9"/>
      <c r="D140" s="19"/>
      <c r="E140" s="19"/>
      <c r="F140" s="19"/>
      <c r="G140" s="19"/>
      <c r="H140" s="19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9"/>
      <c r="D141" s="19"/>
      <c r="E141" s="19"/>
      <c r="F141" s="19"/>
      <c r="G141" s="19"/>
      <c r="H141" s="19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9"/>
      <c r="D142" s="19"/>
      <c r="E142" s="19"/>
      <c r="F142" s="19"/>
      <c r="G142" s="19"/>
      <c r="H142" s="19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9"/>
      <c r="D143" s="19"/>
      <c r="E143" s="19"/>
      <c r="F143" s="19"/>
      <c r="G143" s="19"/>
      <c r="H143" s="19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9"/>
      <c r="D144" s="19"/>
      <c r="E144" s="19"/>
      <c r="F144" s="19"/>
      <c r="G144" s="19"/>
      <c r="H144" s="19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9"/>
      <c r="D145" s="19"/>
      <c r="E145" s="19"/>
      <c r="F145" s="19"/>
      <c r="G145" s="19"/>
      <c r="H145" s="19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9"/>
      <c r="D146" s="19"/>
      <c r="E146" s="19"/>
      <c r="F146" s="19"/>
      <c r="G146" s="19"/>
      <c r="H146" s="19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9"/>
      <c r="D147" s="19"/>
      <c r="E147" s="19"/>
      <c r="F147" s="19"/>
      <c r="G147" s="19"/>
      <c r="H147" s="19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9"/>
      <c r="D148" s="19"/>
      <c r="E148" s="19"/>
      <c r="F148" s="19"/>
      <c r="G148" s="19"/>
      <c r="H148" s="19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9"/>
      <c r="D149" s="19"/>
      <c r="E149" s="19"/>
      <c r="F149" s="19"/>
      <c r="G149" s="19"/>
      <c r="H149" s="19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9"/>
      <c r="D150" s="19"/>
      <c r="E150" s="19"/>
      <c r="F150" s="19"/>
      <c r="G150" s="19"/>
      <c r="H150" s="19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9"/>
      <c r="D151" s="19"/>
      <c r="E151" s="19"/>
      <c r="F151" s="19"/>
      <c r="G151" s="19"/>
      <c r="H151" s="19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9"/>
      <c r="D152" s="19"/>
      <c r="E152" s="19"/>
      <c r="F152" s="19"/>
      <c r="G152" s="19"/>
      <c r="H152" s="19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9"/>
      <c r="D153" s="19"/>
      <c r="E153" s="19"/>
      <c r="F153" s="19"/>
      <c r="G153" s="19"/>
      <c r="H153" s="19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9"/>
      <c r="D154" s="19"/>
      <c r="E154" s="19"/>
      <c r="F154" s="19"/>
      <c r="G154" s="19"/>
      <c r="H154" s="19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9"/>
      <c r="D155" s="19"/>
      <c r="E155" s="19"/>
      <c r="F155" s="19"/>
      <c r="G155" s="19"/>
      <c r="H155" s="19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9"/>
      <c r="D156" s="19"/>
      <c r="E156" s="19"/>
      <c r="F156" s="19"/>
      <c r="G156" s="19"/>
      <c r="H156" s="19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9"/>
      <c r="D157" s="19"/>
      <c r="E157" s="19"/>
      <c r="F157" s="19"/>
      <c r="G157" s="19"/>
      <c r="H157" s="19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9"/>
      <c r="D158" s="19"/>
      <c r="E158" s="19"/>
      <c r="F158" s="19"/>
      <c r="G158" s="19"/>
      <c r="H158" s="19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9"/>
      <c r="D159" s="19"/>
      <c r="E159" s="19"/>
      <c r="F159" s="19"/>
      <c r="G159" s="19"/>
      <c r="H159" s="19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9"/>
      <c r="D160" s="19"/>
      <c r="E160" s="19"/>
      <c r="F160" s="19"/>
      <c r="G160" s="19"/>
      <c r="H160" s="19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9"/>
      <c r="D161" s="19"/>
      <c r="E161" s="19"/>
      <c r="F161" s="19"/>
      <c r="G161" s="19"/>
      <c r="H161" s="19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9"/>
      <c r="D162" s="19"/>
      <c r="E162" s="19"/>
      <c r="F162" s="19"/>
      <c r="G162" s="19"/>
      <c r="H162" s="19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9"/>
      <c r="D163" s="19"/>
      <c r="E163" s="19"/>
      <c r="F163" s="19"/>
      <c r="G163" s="19"/>
      <c r="H163" s="19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9"/>
      <c r="D164" s="19"/>
      <c r="E164" s="19"/>
      <c r="F164" s="19"/>
      <c r="G164" s="19"/>
      <c r="H164" s="19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9"/>
      <c r="D165" s="19"/>
      <c r="E165" s="19"/>
      <c r="F165" s="19"/>
      <c r="G165" s="19"/>
      <c r="H165" s="19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9"/>
      <c r="D166" s="19"/>
      <c r="E166" s="19"/>
      <c r="F166" s="19"/>
      <c r="G166" s="19"/>
      <c r="H166" s="19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9"/>
      <c r="D167" s="19"/>
      <c r="E167" s="19"/>
      <c r="F167" s="19"/>
      <c r="G167" s="19"/>
      <c r="H167" s="19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9"/>
      <c r="D168" s="19"/>
      <c r="E168" s="19"/>
      <c r="F168" s="19"/>
      <c r="G168" s="19"/>
      <c r="H168" s="19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9"/>
      <c r="D169" s="19"/>
      <c r="E169" s="19"/>
      <c r="F169" s="19"/>
      <c r="G169" s="19"/>
      <c r="H169" s="19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9"/>
      <c r="D170" s="19"/>
      <c r="E170" s="19"/>
      <c r="F170" s="19"/>
      <c r="G170" s="19"/>
      <c r="H170" s="19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9"/>
      <c r="D171" s="19"/>
      <c r="E171" s="19"/>
      <c r="F171" s="19"/>
      <c r="G171" s="19"/>
      <c r="H171" s="19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9"/>
      <c r="D172" s="19"/>
      <c r="E172" s="19"/>
      <c r="F172" s="19"/>
      <c r="G172" s="19"/>
      <c r="H172" s="19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9"/>
      <c r="D173" s="19"/>
      <c r="E173" s="19"/>
      <c r="F173" s="19"/>
      <c r="G173" s="19"/>
      <c r="H173" s="19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9"/>
      <c r="D174" s="19"/>
      <c r="E174" s="19"/>
      <c r="F174" s="19"/>
      <c r="G174" s="19"/>
      <c r="H174" s="19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9"/>
      <c r="D175" s="19"/>
      <c r="E175" s="19"/>
      <c r="F175" s="19"/>
      <c r="G175" s="19"/>
      <c r="H175" s="19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9"/>
      <c r="D176" s="19"/>
      <c r="E176" s="19"/>
      <c r="F176" s="19"/>
      <c r="G176" s="19"/>
      <c r="H176" s="19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9"/>
      <c r="D177" s="19"/>
      <c r="E177" s="19"/>
      <c r="F177" s="19"/>
      <c r="G177" s="19"/>
      <c r="H177" s="19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9"/>
      <c r="D178" s="19"/>
      <c r="E178" s="19"/>
      <c r="F178" s="19"/>
      <c r="G178" s="19"/>
      <c r="H178" s="19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9"/>
      <c r="D179" s="19"/>
      <c r="E179" s="19"/>
      <c r="F179" s="19"/>
      <c r="G179" s="19"/>
      <c r="H179" s="19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9"/>
      <c r="D180" s="19"/>
      <c r="E180" s="19"/>
      <c r="F180" s="19"/>
      <c r="G180" s="19"/>
      <c r="H180" s="19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9"/>
      <c r="D181" s="19"/>
      <c r="E181" s="19"/>
      <c r="F181" s="19"/>
      <c r="G181" s="19"/>
      <c r="H181" s="19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9"/>
      <c r="D182" s="19"/>
      <c r="E182" s="19"/>
      <c r="F182" s="19"/>
      <c r="G182" s="19"/>
      <c r="H182" s="19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9"/>
      <c r="D183" s="19"/>
      <c r="E183" s="19"/>
      <c r="F183" s="19"/>
      <c r="G183" s="19"/>
      <c r="H183" s="19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9"/>
      <c r="D184" s="19"/>
      <c r="E184" s="19"/>
      <c r="F184" s="19"/>
      <c r="G184" s="19"/>
      <c r="H184" s="19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9"/>
      <c r="D185" s="19"/>
      <c r="E185" s="19"/>
      <c r="F185" s="19"/>
      <c r="G185" s="19"/>
      <c r="H185" s="19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9"/>
      <c r="D186" s="19"/>
      <c r="E186" s="19"/>
      <c r="F186" s="19"/>
      <c r="G186" s="19"/>
      <c r="H186" s="19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9"/>
      <c r="D187" s="19"/>
      <c r="E187" s="19"/>
      <c r="F187" s="19"/>
      <c r="G187" s="19"/>
      <c r="H187" s="19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9"/>
      <c r="D188" s="19"/>
      <c r="E188" s="19"/>
      <c r="F188" s="19"/>
      <c r="G188" s="19"/>
      <c r="H188" s="19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9"/>
      <c r="D189" s="19"/>
      <c r="E189" s="19"/>
      <c r="F189" s="19"/>
      <c r="G189" s="19"/>
      <c r="H189" s="19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9"/>
      <c r="D190" s="19"/>
      <c r="E190" s="19"/>
      <c r="F190" s="19"/>
      <c r="G190" s="19"/>
      <c r="H190" s="19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9"/>
      <c r="D191" s="19"/>
      <c r="E191" s="19"/>
      <c r="F191" s="19"/>
      <c r="G191" s="19"/>
      <c r="H191" s="19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9"/>
      <c r="D192" s="19"/>
      <c r="E192" s="19"/>
      <c r="F192" s="19"/>
      <c r="G192" s="19"/>
      <c r="H192" s="19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9"/>
      <c r="D193" s="19"/>
      <c r="E193" s="19"/>
      <c r="F193" s="19"/>
      <c r="G193" s="19"/>
      <c r="H193" s="19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9"/>
      <c r="D194" s="19"/>
      <c r="E194" s="19"/>
      <c r="F194" s="19"/>
      <c r="G194" s="19"/>
      <c r="H194" s="19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9"/>
      <c r="D195" s="19"/>
      <c r="E195" s="19"/>
      <c r="F195" s="19"/>
      <c r="G195" s="19"/>
      <c r="H195" s="19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9"/>
      <c r="D196" s="19"/>
      <c r="E196" s="19"/>
      <c r="F196" s="19"/>
      <c r="G196" s="19"/>
      <c r="H196" s="19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9"/>
      <c r="D197" s="19"/>
      <c r="E197" s="19"/>
      <c r="F197" s="19"/>
      <c r="G197" s="19"/>
      <c r="H197" s="19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9"/>
      <c r="D198" s="19"/>
      <c r="E198" s="19"/>
      <c r="F198" s="19"/>
      <c r="G198" s="19"/>
      <c r="H198" s="19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9"/>
      <c r="D199" s="19"/>
      <c r="E199" s="19"/>
      <c r="F199" s="19"/>
      <c r="G199" s="19"/>
      <c r="H199" s="19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9"/>
      <c r="D200" s="19"/>
      <c r="E200" s="19"/>
      <c r="F200" s="19"/>
      <c r="G200" s="19"/>
      <c r="H200" s="19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9"/>
      <c r="D201" s="19"/>
      <c r="E201" s="19"/>
      <c r="F201" s="19"/>
      <c r="G201" s="19"/>
      <c r="H201" s="19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9"/>
      <c r="D202" s="19"/>
      <c r="E202" s="19"/>
      <c r="F202" s="19"/>
      <c r="G202" s="19"/>
      <c r="H202" s="19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9"/>
      <c r="D203" s="19"/>
      <c r="E203" s="19"/>
      <c r="F203" s="19"/>
      <c r="G203" s="19"/>
      <c r="H203" s="19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9"/>
      <c r="D204" s="19"/>
      <c r="E204" s="19"/>
      <c r="F204" s="19"/>
      <c r="G204" s="19"/>
      <c r="H204" s="19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9"/>
      <c r="D205" s="19"/>
      <c r="E205" s="19"/>
      <c r="F205" s="19"/>
      <c r="G205" s="19"/>
      <c r="H205" s="19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9"/>
      <c r="D206" s="19"/>
      <c r="E206" s="19"/>
      <c r="F206" s="19"/>
      <c r="G206" s="19"/>
      <c r="H206" s="19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9"/>
      <c r="D207" s="19"/>
      <c r="E207" s="19"/>
      <c r="F207" s="19"/>
      <c r="G207" s="19"/>
      <c r="H207" s="19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9"/>
      <c r="D208" s="19"/>
      <c r="E208" s="19"/>
      <c r="F208" s="19"/>
      <c r="G208" s="19"/>
      <c r="H208" s="19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9"/>
      <c r="D209" s="19"/>
      <c r="E209" s="19"/>
      <c r="F209" s="19"/>
      <c r="G209" s="19"/>
      <c r="H209" s="19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9"/>
      <c r="D210" s="19"/>
      <c r="E210" s="19"/>
      <c r="F210" s="19"/>
      <c r="G210" s="19"/>
      <c r="H210" s="19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9"/>
      <c r="D211" s="19"/>
      <c r="E211" s="19"/>
      <c r="F211" s="19"/>
      <c r="G211" s="19"/>
      <c r="H211" s="19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9"/>
      <c r="D212" s="19"/>
      <c r="E212" s="19"/>
      <c r="F212" s="19"/>
      <c r="G212" s="19"/>
      <c r="H212" s="19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9"/>
      <c r="D213" s="19"/>
      <c r="E213" s="19"/>
      <c r="F213" s="19"/>
      <c r="G213" s="19"/>
      <c r="H213" s="19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9"/>
      <c r="D214" s="19"/>
      <c r="E214" s="19"/>
      <c r="F214" s="19"/>
      <c r="G214" s="19"/>
      <c r="H214" s="19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9"/>
      <c r="D215" s="19"/>
      <c r="E215" s="19"/>
      <c r="F215" s="19"/>
      <c r="G215" s="19"/>
      <c r="H215" s="19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9"/>
      <c r="D216" s="19"/>
      <c r="E216" s="19"/>
      <c r="F216" s="19"/>
      <c r="G216" s="19"/>
      <c r="H216" s="19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9"/>
      <c r="D217" s="19"/>
      <c r="E217" s="19"/>
      <c r="F217" s="19"/>
      <c r="G217" s="19"/>
      <c r="H217" s="19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9"/>
      <c r="D218" s="19"/>
      <c r="E218" s="19"/>
      <c r="F218" s="19"/>
      <c r="G218" s="19"/>
      <c r="H218" s="19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9"/>
      <c r="D219" s="19"/>
      <c r="E219" s="19"/>
      <c r="F219" s="19"/>
      <c r="G219" s="19"/>
      <c r="H219" s="19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9"/>
      <c r="D220" s="19"/>
      <c r="E220" s="19"/>
      <c r="F220" s="19"/>
      <c r="G220" s="19"/>
      <c r="H220" s="19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9"/>
      <c r="D221" s="19"/>
      <c r="E221" s="19"/>
      <c r="F221" s="19"/>
      <c r="G221" s="19"/>
      <c r="H221" s="19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9"/>
      <c r="D222" s="19"/>
      <c r="E222" s="19"/>
      <c r="F222" s="19"/>
      <c r="G222" s="19"/>
      <c r="H222" s="19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9"/>
      <c r="D223" s="19"/>
      <c r="E223" s="19"/>
      <c r="F223" s="19"/>
      <c r="G223" s="19"/>
      <c r="H223" s="19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9"/>
      <c r="D224" s="19"/>
      <c r="E224" s="19"/>
      <c r="F224" s="19"/>
      <c r="G224" s="19"/>
      <c r="H224" s="19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9"/>
      <c r="D225" s="19"/>
      <c r="E225" s="19"/>
      <c r="F225" s="19"/>
      <c r="G225" s="19"/>
      <c r="H225" s="19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9"/>
      <c r="D226" s="19"/>
      <c r="E226" s="19"/>
      <c r="F226" s="19"/>
      <c r="G226" s="19"/>
      <c r="H226" s="19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9"/>
      <c r="D227" s="19"/>
      <c r="E227" s="19"/>
      <c r="F227" s="19"/>
      <c r="G227" s="19"/>
      <c r="H227" s="19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9"/>
      <c r="D228" s="19"/>
      <c r="E228" s="19"/>
      <c r="F228" s="19"/>
      <c r="G228" s="19"/>
      <c r="H228" s="19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9"/>
      <c r="D229" s="19"/>
      <c r="E229" s="19"/>
      <c r="F229" s="19"/>
      <c r="G229" s="19"/>
      <c r="H229" s="19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9"/>
      <c r="D230" s="19"/>
      <c r="E230" s="19"/>
      <c r="F230" s="19"/>
      <c r="G230" s="19"/>
      <c r="H230" s="19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9"/>
      <c r="D231" s="19"/>
      <c r="E231" s="19"/>
      <c r="F231" s="19"/>
      <c r="G231" s="19"/>
      <c r="H231" s="19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9"/>
      <c r="D232" s="19"/>
      <c r="E232" s="19"/>
      <c r="F232" s="19"/>
      <c r="G232" s="19"/>
      <c r="H232" s="19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9"/>
      <c r="D233" s="19"/>
      <c r="E233" s="19"/>
      <c r="F233" s="19"/>
      <c r="G233" s="19"/>
      <c r="H233" s="19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9"/>
      <c r="D234" s="19"/>
      <c r="E234" s="19"/>
      <c r="F234" s="19"/>
      <c r="G234" s="19"/>
      <c r="H234" s="19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9"/>
      <c r="D235" s="19"/>
      <c r="E235" s="19"/>
      <c r="F235" s="19"/>
      <c r="G235" s="19"/>
      <c r="H235" s="19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9"/>
      <c r="D236" s="19"/>
      <c r="E236" s="19"/>
      <c r="F236" s="19"/>
      <c r="G236" s="19"/>
      <c r="H236" s="19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9"/>
      <c r="D237" s="19"/>
      <c r="E237" s="19"/>
      <c r="F237" s="19"/>
      <c r="G237" s="19"/>
      <c r="H237" s="19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9"/>
      <c r="D238" s="19"/>
      <c r="E238" s="19"/>
      <c r="F238" s="19"/>
      <c r="G238" s="19"/>
      <c r="H238" s="19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9"/>
      <c r="D239" s="19"/>
      <c r="E239" s="19"/>
      <c r="F239" s="19"/>
      <c r="G239" s="19"/>
      <c r="H239" s="19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9"/>
      <c r="D240" s="19"/>
      <c r="E240" s="19"/>
      <c r="F240" s="19"/>
      <c r="G240" s="19"/>
      <c r="H240" s="19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9"/>
      <c r="D241" s="19"/>
      <c r="E241" s="19"/>
      <c r="F241" s="19"/>
      <c r="G241" s="19"/>
      <c r="H241" s="19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9"/>
      <c r="D242" s="19"/>
      <c r="E242" s="19"/>
      <c r="F242" s="19"/>
      <c r="G242" s="19"/>
      <c r="H242" s="19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9"/>
      <c r="D243" s="19"/>
      <c r="E243" s="19"/>
      <c r="F243" s="19"/>
      <c r="G243" s="19"/>
      <c r="H243" s="19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9"/>
      <c r="D244" s="19"/>
      <c r="E244" s="19"/>
      <c r="F244" s="19"/>
      <c r="G244" s="19"/>
      <c r="H244" s="19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9"/>
      <c r="D245" s="19"/>
      <c r="E245" s="19"/>
      <c r="F245" s="19"/>
      <c r="G245" s="19"/>
      <c r="H245" s="19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9"/>
      <c r="D246" s="19"/>
      <c r="E246" s="19"/>
      <c r="F246" s="19"/>
      <c r="G246" s="19"/>
      <c r="H246" s="19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9"/>
      <c r="D247" s="19"/>
      <c r="E247" s="19"/>
      <c r="F247" s="19"/>
      <c r="G247" s="19"/>
      <c r="H247" s="19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9"/>
      <c r="D248" s="19"/>
      <c r="E248" s="19"/>
      <c r="F248" s="19"/>
      <c r="G248" s="19"/>
      <c r="H248" s="19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9"/>
      <c r="D249" s="19"/>
      <c r="E249" s="19"/>
      <c r="F249" s="19"/>
      <c r="G249" s="19"/>
      <c r="H249" s="19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9"/>
      <c r="D250" s="19"/>
      <c r="E250" s="19"/>
      <c r="F250" s="19"/>
      <c r="G250" s="19"/>
      <c r="H250" s="19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9"/>
      <c r="D251" s="19"/>
      <c r="E251" s="19"/>
      <c r="F251" s="19"/>
      <c r="G251" s="19"/>
      <c r="H251" s="19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9"/>
      <c r="D252" s="19"/>
      <c r="E252" s="19"/>
      <c r="F252" s="19"/>
      <c r="G252" s="19"/>
      <c r="H252" s="19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9"/>
      <c r="D253" s="19"/>
      <c r="E253" s="19"/>
      <c r="F253" s="19"/>
      <c r="G253" s="19"/>
      <c r="H253" s="19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9"/>
      <c r="D254" s="19"/>
      <c r="E254" s="19"/>
      <c r="F254" s="19"/>
      <c r="G254" s="19"/>
      <c r="H254" s="19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9"/>
      <c r="D255" s="19"/>
      <c r="E255" s="19"/>
      <c r="F255" s="19"/>
      <c r="G255" s="19"/>
      <c r="H255" s="19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9"/>
      <c r="D256" s="19"/>
      <c r="E256" s="19"/>
      <c r="F256" s="19"/>
      <c r="G256" s="19"/>
      <c r="H256" s="19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9"/>
      <c r="D257" s="19"/>
      <c r="E257" s="19"/>
      <c r="F257" s="19"/>
      <c r="G257" s="19"/>
      <c r="H257" s="19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9"/>
      <c r="D258" s="19"/>
      <c r="E258" s="19"/>
      <c r="F258" s="19"/>
      <c r="G258" s="19"/>
      <c r="H258" s="19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9"/>
      <c r="D259" s="19"/>
      <c r="E259" s="19"/>
      <c r="F259" s="19"/>
      <c r="G259" s="19"/>
      <c r="H259" s="19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9"/>
      <c r="D260" s="19"/>
      <c r="E260" s="19"/>
      <c r="F260" s="19"/>
      <c r="G260" s="19"/>
      <c r="H260" s="19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9"/>
      <c r="D261" s="19"/>
      <c r="E261" s="19"/>
      <c r="F261" s="19"/>
      <c r="G261" s="19"/>
      <c r="H261" s="19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9"/>
      <c r="D262" s="19"/>
      <c r="E262" s="19"/>
      <c r="F262" s="19"/>
      <c r="G262" s="19"/>
      <c r="H262" s="19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9"/>
      <c r="D263" s="19"/>
      <c r="E263" s="19"/>
      <c r="F263" s="19"/>
      <c r="G263" s="19"/>
      <c r="H263" s="19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9"/>
      <c r="D264" s="19"/>
      <c r="E264" s="19"/>
      <c r="F264" s="19"/>
      <c r="G264" s="19"/>
      <c r="H264" s="19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9"/>
      <c r="D265" s="19"/>
      <c r="E265" s="19"/>
      <c r="F265" s="19"/>
      <c r="G265" s="19"/>
      <c r="H265" s="19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9"/>
      <c r="D266" s="19"/>
      <c r="E266" s="19"/>
      <c r="F266" s="19"/>
      <c r="G266" s="19"/>
      <c r="H266" s="19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9"/>
      <c r="D267" s="19"/>
      <c r="E267" s="19"/>
      <c r="F267" s="19"/>
      <c r="G267" s="19"/>
      <c r="H267" s="19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9"/>
      <c r="D268" s="19"/>
      <c r="E268" s="19"/>
      <c r="F268" s="19"/>
      <c r="G268" s="19"/>
      <c r="H268" s="19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9"/>
      <c r="D269" s="19"/>
      <c r="E269" s="19"/>
      <c r="F269" s="19"/>
      <c r="G269" s="19"/>
      <c r="H269" s="19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9"/>
      <c r="D270" s="19"/>
      <c r="E270" s="19"/>
      <c r="F270" s="19"/>
      <c r="G270" s="19"/>
      <c r="H270" s="19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9"/>
      <c r="D271" s="19"/>
      <c r="E271" s="19"/>
      <c r="F271" s="19"/>
      <c r="G271" s="19"/>
      <c r="H271" s="19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9"/>
      <c r="D272" s="19"/>
      <c r="E272" s="19"/>
      <c r="F272" s="19"/>
      <c r="G272" s="19"/>
      <c r="H272" s="19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9"/>
      <c r="D273" s="19"/>
      <c r="E273" s="19"/>
      <c r="F273" s="19"/>
      <c r="G273" s="19"/>
      <c r="H273" s="19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9"/>
      <c r="D274" s="19"/>
      <c r="E274" s="19"/>
      <c r="F274" s="19"/>
      <c r="G274" s="19"/>
      <c r="H274" s="19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9"/>
      <c r="D275" s="19"/>
      <c r="E275" s="19"/>
      <c r="F275" s="19"/>
      <c r="G275" s="19"/>
      <c r="H275" s="19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9"/>
      <c r="D276" s="19"/>
      <c r="E276" s="19"/>
      <c r="F276" s="19"/>
      <c r="G276" s="19"/>
      <c r="H276" s="19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9"/>
      <c r="D277" s="19"/>
      <c r="E277" s="19"/>
      <c r="F277" s="19"/>
      <c r="G277" s="19"/>
      <c r="H277" s="19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9"/>
      <c r="D278" s="19"/>
      <c r="E278" s="19"/>
      <c r="F278" s="19"/>
      <c r="G278" s="19"/>
      <c r="H278" s="19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9"/>
      <c r="D279" s="19"/>
      <c r="E279" s="19"/>
      <c r="F279" s="19"/>
      <c r="G279" s="19"/>
      <c r="H279" s="19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9"/>
      <c r="D280" s="19"/>
      <c r="E280" s="19"/>
      <c r="F280" s="19"/>
      <c r="G280" s="19"/>
      <c r="H280" s="19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9"/>
      <c r="D281" s="19"/>
      <c r="E281" s="19"/>
      <c r="F281" s="19"/>
      <c r="G281" s="19"/>
      <c r="H281" s="19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9"/>
      <c r="D282" s="19"/>
      <c r="E282" s="19"/>
      <c r="F282" s="19"/>
      <c r="G282" s="19"/>
      <c r="H282" s="19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9"/>
      <c r="D283" s="19"/>
      <c r="E283" s="19"/>
      <c r="F283" s="19"/>
      <c r="G283" s="19"/>
      <c r="H283" s="19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9"/>
      <c r="D284" s="19"/>
      <c r="E284" s="19"/>
      <c r="F284" s="19"/>
      <c r="G284" s="19"/>
      <c r="H284" s="19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9"/>
      <c r="D285" s="19"/>
      <c r="E285" s="19"/>
      <c r="F285" s="19"/>
      <c r="G285" s="19"/>
      <c r="H285" s="19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9"/>
      <c r="D286" s="19"/>
      <c r="E286" s="19"/>
      <c r="F286" s="19"/>
      <c r="G286" s="19"/>
      <c r="H286" s="19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9"/>
      <c r="D287" s="19"/>
      <c r="E287" s="19"/>
      <c r="F287" s="19"/>
      <c r="G287" s="19"/>
      <c r="H287" s="19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9"/>
      <c r="D288" s="19"/>
      <c r="E288" s="19"/>
      <c r="F288" s="19"/>
      <c r="G288" s="19"/>
      <c r="H288" s="19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9"/>
      <c r="D289" s="19"/>
      <c r="E289" s="19"/>
      <c r="F289" s="19"/>
      <c r="G289" s="19"/>
      <c r="H289" s="19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9"/>
      <c r="D290" s="19"/>
      <c r="E290" s="19"/>
      <c r="F290" s="19"/>
      <c r="G290" s="19"/>
      <c r="H290" s="19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9"/>
      <c r="D291" s="19"/>
      <c r="E291" s="19"/>
      <c r="F291" s="19"/>
      <c r="G291" s="19"/>
      <c r="H291" s="19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9"/>
      <c r="D292" s="19"/>
      <c r="E292" s="19"/>
      <c r="F292" s="19"/>
      <c r="G292" s="19"/>
      <c r="H292" s="19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9"/>
      <c r="D293" s="19"/>
      <c r="E293" s="19"/>
      <c r="F293" s="19"/>
      <c r="G293" s="19"/>
      <c r="H293" s="19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9"/>
      <c r="D294" s="19"/>
      <c r="E294" s="19"/>
      <c r="F294" s="19"/>
      <c r="G294" s="19"/>
      <c r="H294" s="19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9"/>
      <c r="D295" s="19"/>
      <c r="E295" s="19"/>
      <c r="F295" s="19"/>
      <c r="G295" s="19"/>
      <c r="H295" s="19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9"/>
      <c r="D296" s="19"/>
      <c r="E296" s="19"/>
      <c r="F296" s="19"/>
      <c r="G296" s="19"/>
      <c r="H296" s="19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9"/>
      <c r="D297" s="19"/>
      <c r="E297" s="19"/>
      <c r="F297" s="19"/>
      <c r="G297" s="19"/>
      <c r="H297" s="19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9"/>
      <c r="D298" s="19"/>
      <c r="E298" s="19"/>
      <c r="F298" s="19"/>
      <c r="G298" s="19"/>
      <c r="H298" s="19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9"/>
      <c r="D299" s="19"/>
      <c r="E299" s="19"/>
      <c r="F299" s="19"/>
      <c r="G299" s="19"/>
      <c r="H299" s="19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9"/>
      <c r="D300" s="19"/>
      <c r="E300" s="19"/>
      <c r="F300" s="19"/>
      <c r="G300" s="19"/>
      <c r="H300" s="19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9"/>
      <c r="D301" s="19"/>
      <c r="E301" s="19"/>
      <c r="F301" s="19"/>
      <c r="G301" s="19"/>
      <c r="H301" s="19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9"/>
      <c r="D302" s="19"/>
      <c r="E302" s="19"/>
      <c r="F302" s="19"/>
      <c r="G302" s="19"/>
      <c r="H302" s="19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9"/>
      <c r="D303" s="19"/>
      <c r="E303" s="19"/>
      <c r="F303" s="19"/>
      <c r="G303" s="19"/>
      <c r="H303" s="19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9"/>
      <c r="D304" s="19"/>
      <c r="E304" s="19"/>
      <c r="F304" s="19"/>
      <c r="G304" s="19"/>
      <c r="H304" s="19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9"/>
      <c r="D305" s="19"/>
      <c r="E305" s="19"/>
      <c r="F305" s="19"/>
      <c r="G305" s="19"/>
      <c r="H305" s="19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9"/>
      <c r="D306" s="19"/>
      <c r="E306" s="19"/>
      <c r="F306" s="19"/>
      <c r="G306" s="19"/>
      <c r="H306" s="19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9"/>
      <c r="D307" s="19"/>
      <c r="E307" s="19"/>
      <c r="F307" s="19"/>
      <c r="G307" s="19"/>
      <c r="H307" s="19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9"/>
      <c r="D308" s="19"/>
      <c r="E308" s="19"/>
      <c r="F308" s="19"/>
      <c r="G308" s="19"/>
      <c r="H308" s="19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9"/>
      <c r="D309" s="19"/>
      <c r="E309" s="19"/>
      <c r="F309" s="19"/>
      <c r="G309" s="19"/>
      <c r="H309" s="19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9"/>
      <c r="D310" s="19"/>
      <c r="E310" s="19"/>
      <c r="F310" s="19"/>
      <c r="G310" s="19"/>
      <c r="H310" s="19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9"/>
      <c r="D311" s="19"/>
      <c r="E311" s="19"/>
      <c r="F311" s="19"/>
      <c r="G311" s="19"/>
      <c r="H311" s="19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9"/>
      <c r="D312" s="19"/>
      <c r="E312" s="19"/>
      <c r="F312" s="19"/>
      <c r="G312" s="19"/>
      <c r="H312" s="19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9"/>
      <c r="D313" s="19"/>
      <c r="E313" s="19"/>
      <c r="F313" s="19"/>
      <c r="G313" s="19"/>
      <c r="H313" s="19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9"/>
      <c r="D314" s="19"/>
      <c r="E314" s="19"/>
      <c r="F314" s="19"/>
      <c r="G314" s="19"/>
      <c r="H314" s="19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9"/>
      <c r="D315" s="19"/>
      <c r="E315" s="19"/>
      <c r="F315" s="19"/>
      <c r="G315" s="19"/>
      <c r="H315" s="19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9"/>
      <c r="D316" s="19"/>
      <c r="E316" s="19"/>
      <c r="F316" s="19"/>
      <c r="G316" s="19"/>
      <c r="H316" s="19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9"/>
      <c r="D317" s="19"/>
      <c r="E317" s="19"/>
      <c r="F317" s="19"/>
      <c r="G317" s="19"/>
      <c r="H317" s="19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9"/>
      <c r="D318" s="19"/>
      <c r="E318" s="19"/>
      <c r="F318" s="19"/>
      <c r="G318" s="19"/>
      <c r="H318" s="19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9"/>
      <c r="D319" s="19"/>
      <c r="E319" s="19"/>
      <c r="F319" s="19"/>
      <c r="G319" s="19"/>
      <c r="H319" s="19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9"/>
      <c r="D320" s="19"/>
      <c r="E320" s="19"/>
      <c r="F320" s="19"/>
      <c r="G320" s="19"/>
      <c r="H320" s="19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9"/>
      <c r="D321" s="19"/>
      <c r="E321" s="19"/>
      <c r="F321" s="19"/>
      <c r="G321" s="19"/>
      <c r="H321" s="19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9"/>
      <c r="D322" s="19"/>
      <c r="E322" s="19"/>
      <c r="F322" s="19"/>
      <c r="G322" s="19"/>
      <c r="H322" s="19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9"/>
      <c r="D323" s="19"/>
      <c r="E323" s="19"/>
      <c r="F323" s="19"/>
      <c r="G323" s="19"/>
      <c r="H323" s="19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9"/>
      <c r="D324" s="19"/>
      <c r="E324" s="19"/>
      <c r="F324" s="19"/>
      <c r="G324" s="19"/>
      <c r="H324" s="19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9"/>
      <c r="D325" s="19"/>
      <c r="E325" s="19"/>
      <c r="F325" s="19"/>
      <c r="G325" s="19"/>
      <c r="H325" s="19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9"/>
      <c r="D326" s="19"/>
      <c r="E326" s="19"/>
      <c r="F326" s="19"/>
      <c r="G326" s="19"/>
      <c r="H326" s="19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9"/>
      <c r="D327" s="19"/>
      <c r="E327" s="19"/>
      <c r="F327" s="19"/>
      <c r="G327" s="19"/>
      <c r="H327" s="19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9"/>
      <c r="D328" s="19"/>
      <c r="E328" s="19"/>
      <c r="F328" s="19"/>
      <c r="G328" s="19"/>
      <c r="H328" s="19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9"/>
      <c r="D329" s="19"/>
      <c r="E329" s="19"/>
      <c r="F329" s="19"/>
      <c r="G329" s="19"/>
      <c r="H329" s="19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9"/>
      <c r="D330" s="19"/>
      <c r="E330" s="19"/>
      <c r="F330" s="19"/>
      <c r="G330" s="19"/>
      <c r="H330" s="19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9"/>
      <c r="D331" s="19"/>
      <c r="E331" s="19"/>
      <c r="F331" s="19"/>
      <c r="G331" s="19"/>
      <c r="H331" s="19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9"/>
      <c r="D332" s="19"/>
      <c r="E332" s="19"/>
      <c r="F332" s="19"/>
      <c r="G332" s="19"/>
      <c r="H332" s="19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9"/>
      <c r="D333" s="19"/>
      <c r="E333" s="19"/>
      <c r="F333" s="19"/>
      <c r="G333" s="19"/>
      <c r="H333" s="19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9"/>
      <c r="D334" s="19"/>
      <c r="E334" s="19"/>
      <c r="F334" s="19"/>
      <c r="G334" s="19"/>
      <c r="H334" s="19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9"/>
      <c r="D335" s="19"/>
      <c r="E335" s="19"/>
      <c r="F335" s="19"/>
      <c r="G335" s="19"/>
      <c r="H335" s="19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9"/>
      <c r="D336" s="19"/>
      <c r="E336" s="19"/>
      <c r="F336" s="19"/>
      <c r="G336" s="19"/>
      <c r="H336" s="19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9"/>
      <c r="D337" s="19"/>
      <c r="E337" s="19"/>
      <c r="F337" s="19"/>
      <c r="G337" s="19"/>
      <c r="H337" s="19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9"/>
      <c r="D338" s="19"/>
      <c r="E338" s="19"/>
      <c r="F338" s="19"/>
      <c r="G338" s="19"/>
      <c r="H338" s="19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9"/>
      <c r="D339" s="19"/>
      <c r="E339" s="19"/>
      <c r="F339" s="19"/>
      <c r="G339" s="19"/>
      <c r="H339" s="19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9"/>
      <c r="D340" s="19"/>
      <c r="E340" s="19"/>
      <c r="F340" s="19"/>
      <c r="G340" s="19"/>
      <c r="H340" s="19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9"/>
      <c r="D341" s="19"/>
      <c r="E341" s="19"/>
      <c r="F341" s="19"/>
      <c r="G341" s="19"/>
      <c r="H341" s="19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9"/>
      <c r="D342" s="19"/>
      <c r="E342" s="19"/>
      <c r="F342" s="19"/>
      <c r="G342" s="19"/>
      <c r="H342" s="19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9"/>
      <c r="D343" s="19"/>
      <c r="E343" s="19"/>
      <c r="F343" s="19"/>
      <c r="G343" s="19"/>
      <c r="H343" s="19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9"/>
      <c r="D344" s="19"/>
      <c r="E344" s="19"/>
      <c r="F344" s="19"/>
      <c r="G344" s="19"/>
      <c r="H344" s="19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9"/>
      <c r="D345" s="19"/>
      <c r="E345" s="19"/>
      <c r="F345" s="19"/>
      <c r="G345" s="19"/>
      <c r="H345" s="19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9"/>
      <c r="D346" s="19"/>
      <c r="E346" s="19"/>
      <c r="F346" s="19"/>
      <c r="G346" s="19"/>
      <c r="H346" s="19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9"/>
      <c r="D347" s="19"/>
      <c r="E347" s="19"/>
      <c r="F347" s="19"/>
      <c r="G347" s="19"/>
      <c r="H347" s="19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9"/>
      <c r="D348" s="19"/>
      <c r="E348" s="19"/>
      <c r="F348" s="19"/>
      <c r="G348" s="19"/>
      <c r="H348" s="19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9"/>
      <c r="D349" s="19"/>
      <c r="E349" s="19"/>
      <c r="F349" s="19"/>
      <c r="G349" s="19"/>
      <c r="H349" s="19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9"/>
      <c r="D350" s="19"/>
      <c r="E350" s="19"/>
      <c r="F350" s="19"/>
      <c r="G350" s="19"/>
      <c r="H350" s="19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9"/>
      <c r="D351" s="19"/>
      <c r="E351" s="19"/>
      <c r="F351" s="19"/>
      <c r="G351" s="19"/>
      <c r="H351" s="19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9"/>
      <c r="D352" s="19"/>
      <c r="E352" s="19"/>
      <c r="F352" s="19"/>
      <c r="G352" s="19"/>
      <c r="H352" s="19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9"/>
      <c r="D353" s="19"/>
      <c r="E353" s="19"/>
      <c r="F353" s="19"/>
      <c r="G353" s="19"/>
      <c r="H353" s="19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9"/>
      <c r="D354" s="19"/>
      <c r="E354" s="19"/>
      <c r="F354" s="19"/>
      <c r="G354" s="19"/>
      <c r="H354" s="19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9"/>
      <c r="D355" s="19"/>
      <c r="E355" s="19"/>
      <c r="F355" s="19"/>
      <c r="G355" s="19"/>
      <c r="H355" s="19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9"/>
      <c r="D356" s="19"/>
      <c r="E356" s="19"/>
      <c r="F356" s="19"/>
      <c r="G356" s="19"/>
      <c r="H356" s="19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9"/>
      <c r="D357" s="19"/>
      <c r="E357" s="19"/>
      <c r="F357" s="19"/>
      <c r="G357" s="19"/>
      <c r="H357" s="19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9"/>
      <c r="D358" s="19"/>
      <c r="E358" s="19"/>
      <c r="F358" s="19"/>
      <c r="G358" s="19"/>
      <c r="H358" s="19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9"/>
      <c r="D359" s="19"/>
      <c r="E359" s="19"/>
      <c r="F359" s="19"/>
      <c r="G359" s="19"/>
      <c r="H359" s="19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9"/>
      <c r="D360" s="19"/>
      <c r="E360" s="19"/>
      <c r="F360" s="19"/>
      <c r="G360" s="19"/>
      <c r="H360" s="19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9"/>
      <c r="D361" s="19"/>
      <c r="E361" s="19"/>
      <c r="F361" s="19"/>
      <c r="G361" s="19"/>
      <c r="H361" s="19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9"/>
      <c r="D362" s="19"/>
      <c r="E362" s="19"/>
      <c r="F362" s="19"/>
      <c r="G362" s="19"/>
      <c r="H362" s="19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9"/>
      <c r="D363" s="19"/>
      <c r="E363" s="19"/>
      <c r="F363" s="19"/>
      <c r="G363" s="19"/>
      <c r="H363" s="19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9"/>
      <c r="D364" s="19"/>
      <c r="E364" s="19"/>
      <c r="F364" s="19"/>
      <c r="G364" s="19"/>
      <c r="H364" s="19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9"/>
      <c r="D365" s="19"/>
      <c r="E365" s="19"/>
      <c r="F365" s="19"/>
      <c r="G365" s="19"/>
      <c r="H365" s="19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9"/>
      <c r="D366" s="19"/>
      <c r="E366" s="19"/>
      <c r="F366" s="19"/>
      <c r="G366" s="19"/>
      <c r="H366" s="19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9"/>
      <c r="D367" s="19"/>
      <c r="E367" s="19"/>
      <c r="F367" s="19"/>
      <c r="G367" s="19"/>
      <c r="H367" s="19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9"/>
      <c r="D368" s="19"/>
      <c r="E368" s="19"/>
      <c r="F368" s="19"/>
      <c r="G368" s="19"/>
      <c r="H368" s="19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9"/>
      <c r="D369" s="19"/>
      <c r="E369" s="19"/>
      <c r="F369" s="19"/>
      <c r="G369" s="19"/>
      <c r="H369" s="19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9"/>
      <c r="D370" s="19"/>
      <c r="E370" s="19"/>
      <c r="F370" s="19"/>
      <c r="G370" s="19"/>
      <c r="H370" s="19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9"/>
      <c r="D371" s="19"/>
      <c r="E371" s="19"/>
      <c r="F371" s="19"/>
      <c r="G371" s="19"/>
      <c r="H371" s="19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9"/>
      <c r="D372" s="19"/>
      <c r="E372" s="19"/>
      <c r="F372" s="19"/>
      <c r="G372" s="19"/>
      <c r="H372" s="19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9"/>
      <c r="D373" s="19"/>
      <c r="E373" s="19"/>
      <c r="F373" s="19"/>
      <c r="G373" s="19"/>
      <c r="H373" s="19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9"/>
      <c r="D374" s="19"/>
      <c r="E374" s="19"/>
      <c r="F374" s="19"/>
      <c r="G374" s="19"/>
      <c r="H374" s="19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9"/>
      <c r="D375" s="19"/>
      <c r="E375" s="19"/>
      <c r="F375" s="19"/>
      <c r="G375" s="19"/>
      <c r="H375" s="19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9"/>
      <c r="D376" s="19"/>
      <c r="E376" s="19"/>
      <c r="F376" s="19"/>
      <c r="G376" s="19"/>
      <c r="H376" s="19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9"/>
      <c r="D377" s="19"/>
      <c r="E377" s="19"/>
      <c r="F377" s="19"/>
      <c r="G377" s="19"/>
      <c r="H377" s="19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9"/>
      <c r="D378" s="19"/>
      <c r="E378" s="19"/>
      <c r="F378" s="19"/>
      <c r="G378" s="19"/>
      <c r="H378" s="19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9"/>
      <c r="D379" s="19"/>
      <c r="E379" s="19"/>
      <c r="F379" s="19"/>
      <c r="G379" s="19"/>
      <c r="H379" s="19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9"/>
      <c r="D380" s="19"/>
      <c r="E380" s="19"/>
      <c r="F380" s="19"/>
      <c r="G380" s="19"/>
      <c r="H380" s="19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9"/>
      <c r="D381" s="19"/>
      <c r="E381" s="19"/>
      <c r="F381" s="19"/>
      <c r="G381" s="19"/>
      <c r="H381" s="19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9"/>
      <c r="D382" s="19"/>
      <c r="E382" s="19"/>
      <c r="F382" s="19"/>
      <c r="G382" s="19"/>
      <c r="H382" s="19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9"/>
      <c r="D383" s="19"/>
      <c r="E383" s="19"/>
      <c r="F383" s="19"/>
      <c r="G383" s="19"/>
      <c r="H383" s="19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9"/>
      <c r="D384" s="19"/>
      <c r="E384" s="19"/>
      <c r="F384" s="19"/>
      <c r="G384" s="19"/>
      <c r="H384" s="19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9"/>
      <c r="D385" s="19"/>
      <c r="E385" s="19"/>
      <c r="F385" s="19"/>
      <c r="G385" s="19"/>
      <c r="H385" s="19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9"/>
      <c r="D386" s="19"/>
      <c r="E386" s="19"/>
      <c r="F386" s="19"/>
      <c r="G386" s="19"/>
      <c r="H386" s="19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9"/>
      <c r="D387" s="19"/>
      <c r="E387" s="19"/>
      <c r="F387" s="19"/>
      <c r="G387" s="19"/>
      <c r="H387" s="19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9"/>
      <c r="D388" s="19"/>
      <c r="E388" s="19"/>
      <c r="F388" s="19"/>
      <c r="G388" s="19"/>
      <c r="H388" s="19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9"/>
      <c r="D389" s="19"/>
      <c r="E389" s="19"/>
      <c r="F389" s="19"/>
      <c r="G389" s="19"/>
      <c r="H389" s="19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9"/>
      <c r="D390" s="19"/>
      <c r="E390" s="19"/>
      <c r="F390" s="19"/>
      <c r="G390" s="19"/>
      <c r="H390" s="19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9"/>
      <c r="D391" s="19"/>
      <c r="E391" s="19"/>
      <c r="F391" s="19"/>
      <c r="G391" s="19"/>
      <c r="H391" s="19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9"/>
      <c r="D392" s="19"/>
      <c r="E392" s="19"/>
      <c r="F392" s="19"/>
      <c r="G392" s="19"/>
      <c r="H392" s="19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9"/>
      <c r="D393" s="19"/>
      <c r="E393" s="19"/>
      <c r="F393" s="19"/>
      <c r="G393" s="19"/>
      <c r="H393" s="19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9"/>
      <c r="D394" s="19"/>
      <c r="E394" s="19"/>
      <c r="F394" s="19"/>
      <c r="G394" s="19"/>
      <c r="H394" s="19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9"/>
      <c r="D395" s="19"/>
      <c r="E395" s="19"/>
      <c r="F395" s="19"/>
      <c r="G395" s="19"/>
      <c r="H395" s="19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9"/>
      <c r="D396" s="19"/>
      <c r="E396" s="19"/>
      <c r="F396" s="19"/>
      <c r="G396" s="19"/>
      <c r="H396" s="19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9"/>
      <c r="D397" s="19"/>
      <c r="E397" s="19"/>
      <c r="F397" s="19"/>
      <c r="G397" s="19"/>
      <c r="H397" s="19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9"/>
      <c r="D398" s="19"/>
      <c r="E398" s="19"/>
      <c r="F398" s="19"/>
      <c r="G398" s="19"/>
      <c r="H398" s="19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9"/>
      <c r="D399" s="19"/>
      <c r="E399" s="19"/>
      <c r="F399" s="19"/>
      <c r="G399" s="19"/>
      <c r="H399" s="19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9"/>
      <c r="D400" s="19"/>
      <c r="E400" s="19"/>
      <c r="F400" s="19"/>
      <c r="G400" s="19"/>
      <c r="H400" s="19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9"/>
      <c r="D401" s="19"/>
      <c r="E401" s="19"/>
      <c r="F401" s="19"/>
      <c r="G401" s="19"/>
      <c r="H401" s="19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9"/>
      <c r="D402" s="19"/>
      <c r="E402" s="19"/>
      <c r="F402" s="19"/>
      <c r="G402" s="19"/>
      <c r="H402" s="19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9"/>
      <c r="D403" s="19"/>
      <c r="E403" s="19"/>
      <c r="F403" s="19"/>
      <c r="G403" s="19"/>
      <c r="H403" s="19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9"/>
      <c r="D404" s="19"/>
      <c r="E404" s="19"/>
      <c r="F404" s="19"/>
      <c r="G404" s="19"/>
      <c r="H404" s="19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9"/>
      <c r="D405" s="19"/>
      <c r="E405" s="19"/>
      <c r="F405" s="19"/>
      <c r="G405" s="19"/>
      <c r="H405" s="19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9"/>
      <c r="D406" s="19"/>
      <c r="E406" s="19"/>
      <c r="F406" s="19"/>
      <c r="G406" s="19"/>
      <c r="H406" s="19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9"/>
      <c r="D407" s="19"/>
      <c r="E407" s="19"/>
      <c r="F407" s="19"/>
      <c r="G407" s="19"/>
      <c r="H407" s="19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9"/>
      <c r="D408" s="19"/>
      <c r="E408" s="19"/>
      <c r="F408" s="19"/>
      <c r="G408" s="19"/>
      <c r="H408" s="19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9"/>
      <c r="D409" s="19"/>
      <c r="E409" s="19"/>
      <c r="F409" s="19"/>
      <c r="G409" s="19"/>
      <c r="H409" s="19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9"/>
      <c r="D410" s="19"/>
      <c r="E410" s="19"/>
      <c r="F410" s="19"/>
      <c r="G410" s="19"/>
      <c r="H410" s="19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9"/>
      <c r="D411" s="19"/>
      <c r="E411" s="19"/>
      <c r="F411" s="19"/>
      <c r="G411" s="19"/>
      <c r="H411" s="19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9"/>
      <c r="D412" s="19"/>
      <c r="E412" s="19"/>
      <c r="F412" s="19"/>
      <c r="G412" s="19"/>
      <c r="H412" s="19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9"/>
      <c r="D413" s="19"/>
      <c r="E413" s="19"/>
      <c r="F413" s="19"/>
      <c r="G413" s="19"/>
      <c r="H413" s="19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9"/>
      <c r="D414" s="19"/>
      <c r="E414" s="19"/>
      <c r="F414" s="19"/>
      <c r="G414" s="19"/>
      <c r="H414" s="19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9"/>
      <c r="D415" s="19"/>
      <c r="E415" s="19"/>
      <c r="F415" s="19"/>
      <c r="G415" s="19"/>
      <c r="H415" s="19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9"/>
      <c r="D416" s="19"/>
      <c r="E416" s="19"/>
      <c r="F416" s="19"/>
      <c r="G416" s="19"/>
      <c r="H416" s="19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9"/>
      <c r="D417" s="19"/>
      <c r="E417" s="19"/>
      <c r="F417" s="19"/>
      <c r="G417" s="19"/>
      <c r="H417" s="19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9"/>
      <c r="D418" s="19"/>
      <c r="E418" s="19"/>
      <c r="F418" s="19"/>
      <c r="G418" s="19"/>
      <c r="H418" s="19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9"/>
      <c r="D419" s="19"/>
      <c r="E419" s="19"/>
      <c r="F419" s="19"/>
      <c r="G419" s="19"/>
      <c r="H419" s="19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9"/>
      <c r="D420" s="19"/>
      <c r="E420" s="19"/>
      <c r="F420" s="19"/>
      <c r="G420" s="19"/>
      <c r="H420" s="19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9"/>
      <c r="D421" s="19"/>
      <c r="E421" s="19"/>
      <c r="F421" s="19"/>
      <c r="G421" s="19"/>
      <c r="H421" s="19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9"/>
      <c r="D422" s="19"/>
      <c r="E422" s="19"/>
      <c r="F422" s="19"/>
      <c r="G422" s="19"/>
      <c r="H422" s="19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9"/>
      <c r="D423" s="19"/>
      <c r="E423" s="19"/>
      <c r="F423" s="19"/>
      <c r="G423" s="19"/>
      <c r="H423" s="19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9"/>
      <c r="D424" s="19"/>
      <c r="E424" s="19"/>
      <c r="F424" s="19"/>
      <c r="G424" s="19"/>
      <c r="H424" s="19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9"/>
      <c r="D425" s="19"/>
      <c r="E425" s="19"/>
      <c r="F425" s="19"/>
      <c r="G425" s="19"/>
      <c r="H425" s="19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9"/>
      <c r="D426" s="19"/>
      <c r="E426" s="19"/>
      <c r="F426" s="19"/>
      <c r="G426" s="19"/>
      <c r="H426" s="19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9"/>
      <c r="D427" s="19"/>
      <c r="E427" s="19"/>
      <c r="F427" s="19"/>
      <c r="G427" s="19"/>
      <c r="H427" s="19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9"/>
      <c r="D428" s="19"/>
      <c r="E428" s="19"/>
      <c r="F428" s="19"/>
      <c r="G428" s="19"/>
      <c r="H428" s="19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9"/>
      <c r="D429" s="19"/>
      <c r="E429" s="19"/>
      <c r="F429" s="19"/>
      <c r="G429" s="19"/>
      <c r="H429" s="19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9"/>
      <c r="D430" s="19"/>
      <c r="E430" s="19"/>
      <c r="F430" s="19"/>
      <c r="G430" s="19"/>
      <c r="H430" s="19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9"/>
      <c r="D431" s="19"/>
      <c r="E431" s="19"/>
      <c r="F431" s="19"/>
      <c r="G431" s="19"/>
      <c r="H431" s="19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9"/>
      <c r="D432" s="19"/>
      <c r="E432" s="19"/>
      <c r="F432" s="19"/>
      <c r="G432" s="19"/>
      <c r="H432" s="19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9"/>
      <c r="D433" s="19"/>
      <c r="E433" s="19"/>
      <c r="F433" s="19"/>
      <c r="G433" s="19"/>
      <c r="H433" s="19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9"/>
      <c r="D434" s="19"/>
      <c r="E434" s="19"/>
      <c r="F434" s="19"/>
      <c r="G434" s="19"/>
      <c r="H434" s="19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9"/>
      <c r="D435" s="19"/>
      <c r="E435" s="19"/>
      <c r="F435" s="19"/>
      <c r="G435" s="19"/>
      <c r="H435" s="19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9"/>
      <c r="D436" s="19"/>
      <c r="E436" s="19"/>
      <c r="F436" s="19"/>
      <c r="G436" s="19"/>
      <c r="H436" s="19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9"/>
      <c r="D437" s="19"/>
      <c r="E437" s="19"/>
      <c r="F437" s="19"/>
      <c r="G437" s="19"/>
      <c r="H437" s="19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9"/>
      <c r="D438" s="19"/>
      <c r="E438" s="19"/>
      <c r="F438" s="19"/>
      <c r="G438" s="19"/>
      <c r="H438" s="19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9"/>
      <c r="D439" s="19"/>
      <c r="E439" s="19"/>
      <c r="F439" s="19"/>
      <c r="G439" s="19"/>
      <c r="H439" s="19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9"/>
      <c r="D440" s="19"/>
      <c r="E440" s="19"/>
      <c r="F440" s="19"/>
      <c r="G440" s="19"/>
      <c r="H440" s="19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9"/>
      <c r="D441" s="19"/>
      <c r="E441" s="19"/>
      <c r="F441" s="19"/>
      <c r="G441" s="19"/>
      <c r="H441" s="19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9"/>
      <c r="D442" s="19"/>
      <c r="E442" s="19"/>
      <c r="F442" s="19"/>
      <c r="G442" s="19"/>
      <c r="H442" s="19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9"/>
      <c r="D443" s="19"/>
      <c r="E443" s="19"/>
      <c r="F443" s="19"/>
      <c r="G443" s="19"/>
      <c r="H443" s="19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9"/>
      <c r="D444" s="19"/>
      <c r="E444" s="19"/>
      <c r="F444" s="19"/>
      <c r="G444" s="19"/>
      <c r="H444" s="19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9"/>
      <c r="D445" s="19"/>
      <c r="E445" s="19"/>
      <c r="F445" s="19"/>
      <c r="G445" s="19"/>
      <c r="H445" s="19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9"/>
      <c r="D446" s="19"/>
      <c r="E446" s="19"/>
      <c r="F446" s="19"/>
      <c r="G446" s="19"/>
      <c r="H446" s="19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9"/>
      <c r="D447" s="19"/>
      <c r="E447" s="19"/>
      <c r="F447" s="19"/>
      <c r="G447" s="19"/>
      <c r="H447" s="19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9"/>
      <c r="D448" s="19"/>
      <c r="E448" s="19"/>
      <c r="F448" s="19"/>
      <c r="G448" s="19"/>
      <c r="H448" s="19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9"/>
      <c r="D449" s="19"/>
      <c r="E449" s="19"/>
      <c r="F449" s="19"/>
      <c r="G449" s="19"/>
      <c r="H449" s="19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9"/>
      <c r="D450" s="19"/>
      <c r="E450" s="19"/>
      <c r="F450" s="19"/>
      <c r="G450" s="19"/>
      <c r="H450" s="19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9"/>
      <c r="D451" s="19"/>
      <c r="E451" s="19"/>
      <c r="F451" s="19"/>
      <c r="G451" s="19"/>
      <c r="H451" s="19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9"/>
      <c r="D452" s="19"/>
      <c r="E452" s="19"/>
      <c r="F452" s="19"/>
      <c r="G452" s="19"/>
      <c r="H452" s="19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9"/>
      <c r="D453" s="19"/>
      <c r="E453" s="19"/>
      <c r="F453" s="19"/>
      <c r="G453" s="19"/>
      <c r="H453" s="19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9"/>
      <c r="D454" s="19"/>
      <c r="E454" s="19"/>
      <c r="F454" s="19"/>
      <c r="G454" s="19"/>
      <c r="H454" s="19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9"/>
      <c r="D455" s="19"/>
      <c r="E455" s="19"/>
      <c r="F455" s="19"/>
      <c r="G455" s="19"/>
      <c r="H455" s="19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9"/>
      <c r="D456" s="19"/>
      <c r="E456" s="19"/>
      <c r="F456" s="19"/>
      <c r="G456" s="19"/>
      <c r="H456" s="19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9"/>
      <c r="D457" s="19"/>
      <c r="E457" s="19"/>
      <c r="F457" s="19"/>
      <c r="G457" s="19"/>
      <c r="H457" s="19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9"/>
      <c r="D458" s="19"/>
      <c r="E458" s="19"/>
      <c r="F458" s="19"/>
      <c r="G458" s="19"/>
      <c r="H458" s="19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9"/>
      <c r="D459" s="19"/>
      <c r="E459" s="19"/>
      <c r="F459" s="19"/>
      <c r="G459" s="19"/>
      <c r="H459" s="19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9"/>
      <c r="D460" s="19"/>
      <c r="E460" s="19"/>
      <c r="F460" s="19"/>
      <c r="G460" s="19"/>
      <c r="H460" s="19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9"/>
      <c r="D461" s="19"/>
      <c r="E461" s="19"/>
      <c r="F461" s="19"/>
      <c r="G461" s="19"/>
      <c r="H461" s="19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9"/>
      <c r="D462" s="19"/>
      <c r="E462" s="19"/>
      <c r="F462" s="19"/>
      <c r="G462" s="19"/>
      <c r="H462" s="19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9"/>
      <c r="D463" s="19"/>
      <c r="E463" s="19"/>
      <c r="F463" s="19"/>
      <c r="G463" s="19"/>
      <c r="H463" s="19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9"/>
      <c r="D464" s="19"/>
      <c r="E464" s="19"/>
      <c r="F464" s="19"/>
      <c r="G464" s="19"/>
      <c r="H464" s="19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9"/>
      <c r="D465" s="19"/>
      <c r="E465" s="19"/>
      <c r="F465" s="19"/>
      <c r="G465" s="19"/>
      <c r="H465" s="19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9"/>
      <c r="D466" s="19"/>
      <c r="E466" s="19"/>
      <c r="F466" s="19"/>
      <c r="G466" s="19"/>
      <c r="H466" s="19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9"/>
      <c r="D467" s="19"/>
      <c r="E467" s="19"/>
      <c r="F467" s="19"/>
      <c r="G467" s="19"/>
      <c r="H467" s="19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9"/>
      <c r="D468" s="19"/>
      <c r="E468" s="19"/>
      <c r="F468" s="19"/>
      <c r="G468" s="19"/>
      <c r="H468" s="19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9"/>
      <c r="D469" s="19"/>
      <c r="E469" s="19"/>
      <c r="F469" s="19"/>
      <c r="G469" s="19"/>
      <c r="H469" s="19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9"/>
      <c r="D470" s="19"/>
      <c r="E470" s="19"/>
      <c r="F470" s="19"/>
      <c r="G470" s="19"/>
      <c r="H470" s="19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9"/>
      <c r="D471" s="19"/>
      <c r="E471" s="19"/>
      <c r="F471" s="19"/>
      <c r="G471" s="19"/>
      <c r="H471" s="19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9"/>
      <c r="D472" s="19"/>
      <c r="E472" s="19"/>
      <c r="F472" s="19"/>
      <c r="G472" s="19"/>
      <c r="H472" s="19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9"/>
      <c r="D473" s="19"/>
      <c r="E473" s="19"/>
      <c r="F473" s="19"/>
      <c r="G473" s="19"/>
      <c r="H473" s="19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9"/>
      <c r="D474" s="19"/>
      <c r="E474" s="19"/>
      <c r="F474" s="19"/>
      <c r="G474" s="19"/>
      <c r="H474" s="19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9"/>
      <c r="D475" s="19"/>
      <c r="E475" s="19"/>
      <c r="F475" s="19"/>
      <c r="G475" s="19"/>
      <c r="H475" s="19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9"/>
      <c r="D476" s="19"/>
      <c r="E476" s="19"/>
      <c r="F476" s="19"/>
      <c r="G476" s="19"/>
      <c r="H476" s="19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9"/>
      <c r="D477" s="19"/>
      <c r="E477" s="19"/>
      <c r="F477" s="19"/>
      <c r="G477" s="19"/>
      <c r="H477" s="19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9"/>
      <c r="D478" s="19"/>
      <c r="E478" s="19"/>
      <c r="F478" s="19"/>
      <c r="G478" s="19"/>
      <c r="H478" s="19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9"/>
      <c r="D479" s="19"/>
      <c r="E479" s="19"/>
      <c r="F479" s="19"/>
      <c r="G479" s="19"/>
      <c r="H479" s="19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9"/>
      <c r="D480" s="19"/>
      <c r="E480" s="19"/>
      <c r="F480" s="19"/>
      <c r="G480" s="19"/>
      <c r="H480" s="19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9"/>
      <c r="D481" s="19"/>
      <c r="E481" s="19"/>
      <c r="F481" s="19"/>
      <c r="G481" s="19"/>
      <c r="H481" s="19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9"/>
      <c r="D482" s="19"/>
      <c r="E482" s="19"/>
      <c r="F482" s="19"/>
      <c r="G482" s="19"/>
      <c r="H482" s="19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9"/>
      <c r="D483" s="19"/>
      <c r="E483" s="19"/>
      <c r="F483" s="19"/>
      <c r="G483" s="19"/>
      <c r="H483" s="19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9"/>
      <c r="D484" s="19"/>
      <c r="E484" s="19"/>
      <c r="F484" s="19"/>
      <c r="G484" s="19"/>
      <c r="H484" s="19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9"/>
      <c r="D485" s="19"/>
      <c r="E485" s="19"/>
      <c r="F485" s="19"/>
      <c r="G485" s="19"/>
      <c r="H485" s="19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9"/>
      <c r="D486" s="19"/>
      <c r="E486" s="19"/>
      <c r="F486" s="19"/>
      <c r="G486" s="19"/>
      <c r="H486" s="19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9"/>
      <c r="D487" s="19"/>
      <c r="E487" s="19"/>
      <c r="F487" s="19"/>
      <c r="G487" s="19"/>
      <c r="H487" s="19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9"/>
      <c r="D488" s="19"/>
      <c r="E488" s="19"/>
      <c r="F488" s="19"/>
      <c r="G488" s="19"/>
      <c r="H488" s="19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9"/>
      <c r="D489" s="19"/>
      <c r="E489" s="19"/>
      <c r="F489" s="19"/>
      <c r="G489" s="19"/>
      <c r="H489" s="19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9"/>
      <c r="D490" s="19"/>
      <c r="E490" s="19"/>
      <c r="F490" s="19"/>
      <c r="G490" s="19"/>
      <c r="H490" s="19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9"/>
      <c r="D491" s="19"/>
      <c r="E491" s="19"/>
      <c r="F491" s="19"/>
      <c r="G491" s="19"/>
      <c r="H491" s="19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9"/>
      <c r="D492" s="19"/>
      <c r="E492" s="19"/>
      <c r="F492" s="19"/>
      <c r="G492" s="19"/>
      <c r="H492" s="19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9"/>
      <c r="D493" s="19"/>
      <c r="E493" s="19"/>
      <c r="F493" s="19"/>
      <c r="G493" s="19"/>
      <c r="H493" s="19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9"/>
      <c r="D494" s="19"/>
      <c r="E494" s="19"/>
      <c r="F494" s="19"/>
      <c r="G494" s="19"/>
      <c r="H494" s="19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9"/>
      <c r="D495" s="19"/>
      <c r="E495" s="19"/>
      <c r="F495" s="19"/>
      <c r="G495" s="19"/>
      <c r="H495" s="19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9"/>
      <c r="D496" s="19"/>
      <c r="E496" s="19"/>
      <c r="F496" s="19"/>
      <c r="G496" s="19"/>
      <c r="H496" s="19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9"/>
      <c r="D497" s="19"/>
      <c r="E497" s="19"/>
      <c r="F497" s="19"/>
      <c r="G497" s="19"/>
      <c r="H497" s="19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9"/>
      <c r="D498" s="19"/>
      <c r="E498" s="19"/>
      <c r="F498" s="19"/>
      <c r="G498" s="19"/>
      <c r="H498" s="19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9"/>
      <c r="D499" s="19"/>
      <c r="E499" s="19"/>
      <c r="F499" s="19"/>
      <c r="G499" s="19"/>
      <c r="H499" s="19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9"/>
      <c r="D500" s="19"/>
      <c r="E500" s="19"/>
      <c r="F500" s="19"/>
      <c r="G500" s="19"/>
      <c r="H500" s="19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9"/>
      <c r="D501" s="19"/>
      <c r="E501" s="19"/>
      <c r="F501" s="19"/>
      <c r="G501" s="19"/>
      <c r="H501" s="19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9"/>
      <c r="D502" s="19"/>
      <c r="E502" s="19"/>
      <c r="F502" s="19"/>
      <c r="G502" s="19"/>
      <c r="H502" s="19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9"/>
      <c r="D503" s="19"/>
      <c r="E503" s="19"/>
      <c r="F503" s="19"/>
      <c r="G503" s="19"/>
      <c r="H503" s="19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9"/>
      <c r="D504" s="19"/>
      <c r="E504" s="19"/>
      <c r="F504" s="19"/>
      <c r="G504" s="19"/>
      <c r="H504" s="19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9"/>
      <c r="D505" s="19"/>
      <c r="E505" s="19"/>
      <c r="F505" s="19"/>
      <c r="G505" s="19"/>
      <c r="H505" s="19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9"/>
      <c r="D506" s="19"/>
      <c r="E506" s="19"/>
      <c r="F506" s="19"/>
      <c r="G506" s="19"/>
      <c r="H506" s="19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9"/>
      <c r="D507" s="19"/>
      <c r="E507" s="19"/>
      <c r="F507" s="19"/>
      <c r="G507" s="19"/>
      <c r="H507" s="19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9"/>
      <c r="D508" s="19"/>
      <c r="E508" s="19"/>
      <c r="F508" s="19"/>
      <c r="G508" s="19"/>
      <c r="H508" s="19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9"/>
      <c r="D509" s="19"/>
      <c r="E509" s="19"/>
      <c r="F509" s="19"/>
      <c r="G509" s="19"/>
      <c r="H509" s="19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9"/>
      <c r="D510" s="19"/>
      <c r="E510" s="19"/>
      <c r="F510" s="19"/>
      <c r="G510" s="19"/>
      <c r="H510" s="19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9"/>
      <c r="D511" s="19"/>
      <c r="E511" s="19"/>
      <c r="F511" s="19"/>
      <c r="G511" s="19"/>
      <c r="H511" s="19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9"/>
      <c r="D512" s="19"/>
      <c r="E512" s="19"/>
      <c r="F512" s="19"/>
      <c r="G512" s="19"/>
      <c r="H512" s="19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9"/>
      <c r="D513" s="19"/>
      <c r="E513" s="19"/>
      <c r="F513" s="19"/>
      <c r="G513" s="19"/>
      <c r="H513" s="19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9"/>
      <c r="D514" s="19"/>
      <c r="E514" s="19"/>
      <c r="F514" s="19"/>
      <c r="G514" s="19"/>
      <c r="H514" s="19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9"/>
      <c r="D515" s="19"/>
      <c r="E515" s="19"/>
      <c r="F515" s="19"/>
      <c r="G515" s="19"/>
      <c r="H515" s="19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9"/>
      <c r="D516" s="19"/>
      <c r="E516" s="19"/>
      <c r="F516" s="19"/>
      <c r="G516" s="19"/>
      <c r="H516" s="19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9"/>
      <c r="D517" s="19"/>
      <c r="E517" s="19"/>
      <c r="F517" s="19"/>
      <c r="G517" s="19"/>
      <c r="H517" s="19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9"/>
      <c r="D518" s="19"/>
      <c r="E518" s="19"/>
      <c r="F518" s="19"/>
      <c r="G518" s="19"/>
      <c r="H518" s="19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9"/>
      <c r="D519" s="19"/>
      <c r="E519" s="19"/>
      <c r="F519" s="19"/>
      <c r="G519" s="19"/>
      <c r="H519" s="19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9"/>
      <c r="D520" s="19"/>
      <c r="E520" s="19"/>
      <c r="F520" s="19"/>
      <c r="G520" s="19"/>
      <c r="H520" s="19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9"/>
      <c r="D521" s="19"/>
      <c r="E521" s="19"/>
      <c r="F521" s="19"/>
      <c r="G521" s="19"/>
      <c r="H521" s="19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9"/>
      <c r="D522" s="19"/>
      <c r="E522" s="19"/>
      <c r="F522" s="19"/>
      <c r="G522" s="19"/>
      <c r="H522" s="19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9"/>
      <c r="D523" s="19"/>
      <c r="E523" s="19"/>
      <c r="F523" s="19"/>
      <c r="G523" s="19"/>
      <c r="H523" s="19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9"/>
      <c r="D524" s="19"/>
      <c r="E524" s="19"/>
      <c r="F524" s="19"/>
      <c r="G524" s="19"/>
      <c r="H524" s="19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9"/>
      <c r="D525" s="19"/>
      <c r="E525" s="19"/>
      <c r="F525" s="19"/>
      <c r="G525" s="19"/>
      <c r="H525" s="19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9"/>
      <c r="D526" s="19"/>
      <c r="E526" s="19"/>
      <c r="F526" s="19"/>
      <c r="G526" s="19"/>
      <c r="H526" s="19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9"/>
      <c r="D527" s="19"/>
      <c r="E527" s="19"/>
      <c r="F527" s="19"/>
      <c r="G527" s="19"/>
      <c r="H527" s="19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9"/>
      <c r="D528" s="19"/>
      <c r="E528" s="19"/>
      <c r="F528" s="19"/>
      <c r="G528" s="19"/>
      <c r="H528" s="19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9"/>
      <c r="D529" s="19"/>
      <c r="E529" s="19"/>
      <c r="F529" s="19"/>
      <c r="G529" s="19"/>
      <c r="H529" s="19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9"/>
      <c r="D530" s="19"/>
      <c r="E530" s="19"/>
      <c r="F530" s="19"/>
      <c r="G530" s="19"/>
      <c r="H530" s="19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9"/>
      <c r="D531" s="19"/>
      <c r="E531" s="19"/>
      <c r="F531" s="19"/>
      <c r="G531" s="19"/>
      <c r="H531" s="19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9"/>
      <c r="D532" s="19"/>
      <c r="E532" s="19"/>
      <c r="F532" s="19"/>
      <c r="G532" s="19"/>
      <c r="H532" s="19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9"/>
      <c r="D533" s="19"/>
      <c r="E533" s="19"/>
      <c r="F533" s="19"/>
      <c r="G533" s="19"/>
      <c r="H533" s="19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9"/>
      <c r="D534" s="19"/>
      <c r="E534" s="19"/>
      <c r="F534" s="19"/>
      <c r="G534" s="19"/>
      <c r="H534" s="19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9"/>
      <c r="D535" s="19"/>
      <c r="E535" s="19"/>
      <c r="F535" s="19"/>
      <c r="G535" s="19"/>
      <c r="H535" s="19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9"/>
      <c r="D536" s="19"/>
      <c r="E536" s="19"/>
      <c r="F536" s="19"/>
      <c r="G536" s="19"/>
      <c r="H536" s="19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9"/>
      <c r="D537" s="19"/>
      <c r="E537" s="19"/>
      <c r="F537" s="19"/>
      <c r="G537" s="19"/>
      <c r="H537" s="19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9"/>
      <c r="D538" s="19"/>
      <c r="E538" s="19"/>
      <c r="F538" s="19"/>
      <c r="G538" s="19"/>
      <c r="H538" s="19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9"/>
      <c r="D539" s="19"/>
      <c r="E539" s="19"/>
      <c r="F539" s="19"/>
      <c r="G539" s="19"/>
      <c r="H539" s="19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9"/>
      <c r="D540" s="19"/>
      <c r="E540" s="19"/>
      <c r="F540" s="19"/>
      <c r="G540" s="19"/>
      <c r="H540" s="19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9"/>
      <c r="D541" s="19"/>
      <c r="E541" s="19"/>
      <c r="F541" s="19"/>
      <c r="G541" s="19"/>
      <c r="H541" s="19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9"/>
      <c r="D542" s="19"/>
      <c r="E542" s="19"/>
      <c r="F542" s="19"/>
      <c r="G542" s="19"/>
      <c r="H542" s="19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9"/>
      <c r="D543" s="19"/>
      <c r="E543" s="19"/>
      <c r="F543" s="19"/>
      <c r="G543" s="19"/>
      <c r="H543" s="19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9"/>
      <c r="D544" s="19"/>
      <c r="E544" s="19"/>
      <c r="F544" s="19"/>
      <c r="G544" s="19"/>
      <c r="H544" s="19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9"/>
      <c r="D545" s="19"/>
      <c r="E545" s="19"/>
      <c r="F545" s="19"/>
      <c r="G545" s="19"/>
      <c r="H545" s="19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9"/>
      <c r="D546" s="19"/>
      <c r="E546" s="19"/>
      <c r="F546" s="19"/>
      <c r="G546" s="19"/>
      <c r="H546" s="19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9"/>
      <c r="D547" s="19"/>
      <c r="E547" s="19"/>
      <c r="F547" s="19"/>
      <c r="G547" s="19"/>
      <c r="H547" s="19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9"/>
      <c r="D548" s="19"/>
      <c r="E548" s="19"/>
      <c r="F548" s="19"/>
      <c r="G548" s="19"/>
      <c r="H548" s="19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9"/>
      <c r="D549" s="19"/>
      <c r="E549" s="19"/>
      <c r="F549" s="19"/>
      <c r="G549" s="19"/>
      <c r="H549" s="19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9"/>
      <c r="D550" s="19"/>
      <c r="E550" s="19"/>
      <c r="F550" s="19"/>
      <c r="G550" s="19"/>
      <c r="H550" s="19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9"/>
      <c r="D551" s="19"/>
      <c r="E551" s="19"/>
      <c r="F551" s="19"/>
      <c r="G551" s="19"/>
      <c r="H551" s="19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9"/>
      <c r="D552" s="19"/>
      <c r="E552" s="19"/>
      <c r="F552" s="19"/>
      <c r="G552" s="19"/>
      <c r="H552" s="19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9"/>
      <c r="D553" s="19"/>
      <c r="E553" s="19"/>
      <c r="F553" s="19"/>
      <c r="G553" s="19"/>
      <c r="H553" s="19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9"/>
      <c r="D554" s="19"/>
      <c r="E554" s="19"/>
      <c r="F554" s="19"/>
      <c r="G554" s="19"/>
      <c r="H554" s="19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9"/>
      <c r="D555" s="19"/>
      <c r="E555" s="19"/>
      <c r="F555" s="19"/>
      <c r="G555" s="19"/>
      <c r="H555" s="19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9"/>
      <c r="D556" s="19"/>
      <c r="E556" s="19"/>
      <c r="F556" s="19"/>
      <c r="G556" s="19"/>
      <c r="H556" s="19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9"/>
      <c r="D557" s="19"/>
      <c r="E557" s="19"/>
      <c r="F557" s="19"/>
      <c r="G557" s="19"/>
      <c r="H557" s="19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9"/>
      <c r="D558" s="19"/>
      <c r="E558" s="19"/>
      <c r="F558" s="19"/>
      <c r="G558" s="19"/>
      <c r="H558" s="19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9"/>
      <c r="D559" s="19"/>
      <c r="E559" s="19"/>
      <c r="F559" s="19"/>
      <c r="G559" s="19"/>
      <c r="H559" s="19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9"/>
      <c r="D560" s="19"/>
      <c r="E560" s="19"/>
      <c r="F560" s="19"/>
      <c r="G560" s="19"/>
      <c r="H560" s="19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9"/>
      <c r="D561" s="19"/>
      <c r="E561" s="19"/>
      <c r="F561" s="19"/>
      <c r="G561" s="19"/>
      <c r="H561" s="19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9"/>
      <c r="D562" s="19"/>
      <c r="E562" s="19"/>
      <c r="F562" s="19"/>
      <c r="G562" s="19"/>
      <c r="H562" s="19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9"/>
      <c r="D563" s="19"/>
      <c r="E563" s="19"/>
      <c r="F563" s="19"/>
      <c r="G563" s="19"/>
      <c r="H563" s="19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9"/>
      <c r="D564" s="19"/>
      <c r="E564" s="19"/>
      <c r="F564" s="19"/>
      <c r="G564" s="19"/>
      <c r="H564" s="19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9"/>
      <c r="D565" s="19"/>
      <c r="E565" s="19"/>
      <c r="F565" s="19"/>
      <c r="G565" s="19"/>
      <c r="H565" s="19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9"/>
      <c r="D566" s="19"/>
      <c r="E566" s="19"/>
      <c r="F566" s="19"/>
      <c r="G566" s="19"/>
      <c r="H566" s="19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9"/>
      <c r="D567" s="19"/>
      <c r="E567" s="19"/>
      <c r="F567" s="19"/>
      <c r="G567" s="19"/>
      <c r="H567" s="19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9"/>
      <c r="D568" s="19"/>
      <c r="E568" s="19"/>
      <c r="F568" s="19"/>
      <c r="G568" s="19"/>
      <c r="H568" s="19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9"/>
      <c r="D569" s="19"/>
      <c r="E569" s="19"/>
      <c r="F569" s="19"/>
      <c r="G569" s="19"/>
      <c r="H569" s="19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9"/>
      <c r="D570" s="19"/>
      <c r="E570" s="19"/>
      <c r="F570" s="19"/>
      <c r="G570" s="19"/>
      <c r="H570" s="19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9"/>
      <c r="D571" s="19"/>
      <c r="E571" s="19"/>
      <c r="F571" s="19"/>
      <c r="G571" s="19"/>
      <c r="H571" s="19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9"/>
      <c r="D572" s="19"/>
      <c r="E572" s="19"/>
      <c r="F572" s="19"/>
      <c r="G572" s="19"/>
      <c r="H572" s="19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9"/>
      <c r="D573" s="19"/>
      <c r="E573" s="19"/>
      <c r="F573" s="19"/>
      <c r="G573" s="19"/>
      <c r="H573" s="19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9"/>
      <c r="D574" s="19"/>
      <c r="E574" s="19"/>
      <c r="F574" s="19"/>
      <c r="G574" s="19"/>
      <c r="H574" s="19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9"/>
      <c r="D575" s="19"/>
      <c r="E575" s="19"/>
      <c r="F575" s="19"/>
      <c r="G575" s="19"/>
      <c r="H575" s="19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9"/>
      <c r="D576" s="19"/>
      <c r="E576" s="19"/>
      <c r="F576" s="19"/>
      <c r="G576" s="19"/>
      <c r="H576" s="19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9"/>
      <c r="D577" s="19"/>
      <c r="E577" s="19"/>
      <c r="F577" s="19"/>
      <c r="G577" s="19"/>
      <c r="H577" s="19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9"/>
      <c r="D578" s="19"/>
      <c r="E578" s="19"/>
      <c r="F578" s="19"/>
      <c r="G578" s="19"/>
      <c r="H578" s="19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9"/>
      <c r="D579" s="19"/>
      <c r="E579" s="19"/>
      <c r="F579" s="19"/>
      <c r="G579" s="19"/>
      <c r="H579" s="19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9"/>
      <c r="D580" s="19"/>
      <c r="E580" s="19"/>
      <c r="F580" s="19"/>
      <c r="G580" s="19"/>
      <c r="H580" s="19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9"/>
      <c r="D581" s="19"/>
      <c r="E581" s="19"/>
      <c r="F581" s="19"/>
      <c r="G581" s="19"/>
      <c r="H581" s="19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9"/>
      <c r="D582" s="19"/>
      <c r="E582" s="19"/>
      <c r="F582" s="19"/>
      <c r="G582" s="19"/>
      <c r="H582" s="19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9"/>
      <c r="D583" s="19"/>
      <c r="E583" s="19"/>
      <c r="F583" s="19"/>
      <c r="G583" s="19"/>
      <c r="H583" s="19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9"/>
      <c r="D584" s="19"/>
      <c r="E584" s="19"/>
      <c r="F584" s="19"/>
      <c r="G584" s="19"/>
      <c r="H584" s="19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9"/>
      <c r="D585" s="19"/>
      <c r="E585" s="19"/>
      <c r="F585" s="19"/>
      <c r="G585" s="19"/>
      <c r="H585" s="19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9"/>
      <c r="D586" s="19"/>
      <c r="E586" s="19"/>
      <c r="F586" s="19"/>
      <c r="G586" s="19"/>
      <c r="H586" s="19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9"/>
      <c r="D587" s="19"/>
      <c r="E587" s="19"/>
      <c r="F587" s="19"/>
      <c r="G587" s="19"/>
      <c r="H587" s="19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9"/>
      <c r="D588" s="19"/>
      <c r="E588" s="19"/>
      <c r="F588" s="19"/>
      <c r="G588" s="19"/>
      <c r="H588" s="19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9"/>
      <c r="D589" s="19"/>
      <c r="E589" s="19"/>
      <c r="F589" s="19"/>
      <c r="G589" s="19"/>
      <c r="H589" s="19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9"/>
      <c r="D590" s="19"/>
      <c r="E590" s="19"/>
      <c r="F590" s="19"/>
      <c r="G590" s="19"/>
      <c r="H590" s="19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9"/>
      <c r="D591" s="19"/>
      <c r="E591" s="19"/>
      <c r="F591" s="19"/>
      <c r="G591" s="19"/>
      <c r="H591" s="19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9"/>
      <c r="D592" s="19"/>
      <c r="E592" s="19"/>
      <c r="F592" s="19"/>
      <c r="G592" s="19"/>
      <c r="H592" s="19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9"/>
      <c r="D593" s="19"/>
      <c r="E593" s="19"/>
      <c r="F593" s="19"/>
      <c r="G593" s="19"/>
      <c r="H593" s="19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9"/>
      <c r="D594" s="19"/>
      <c r="E594" s="19"/>
      <c r="F594" s="19"/>
      <c r="G594" s="19"/>
      <c r="H594" s="19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9"/>
      <c r="D595" s="19"/>
      <c r="E595" s="19"/>
      <c r="F595" s="19"/>
      <c r="G595" s="19"/>
      <c r="H595" s="19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9"/>
      <c r="D596" s="19"/>
      <c r="E596" s="19"/>
      <c r="F596" s="19"/>
      <c r="G596" s="19"/>
      <c r="H596" s="19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9"/>
      <c r="D597" s="19"/>
      <c r="E597" s="19"/>
      <c r="F597" s="19"/>
      <c r="G597" s="19"/>
      <c r="H597" s="19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9"/>
      <c r="D598" s="19"/>
      <c r="E598" s="19"/>
      <c r="F598" s="19"/>
      <c r="G598" s="19"/>
      <c r="H598" s="19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9"/>
      <c r="D599" s="19"/>
      <c r="E599" s="19"/>
      <c r="F599" s="19"/>
      <c r="G599" s="19"/>
      <c r="H599" s="19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9"/>
      <c r="D600" s="19"/>
      <c r="E600" s="19"/>
      <c r="F600" s="19"/>
      <c r="G600" s="19"/>
      <c r="H600" s="19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9"/>
      <c r="D601" s="19"/>
      <c r="E601" s="19"/>
      <c r="F601" s="19"/>
      <c r="G601" s="19"/>
      <c r="H601" s="19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9"/>
      <c r="D602" s="19"/>
      <c r="E602" s="19"/>
      <c r="F602" s="19"/>
      <c r="G602" s="19"/>
      <c r="H602" s="19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9"/>
      <c r="D603" s="19"/>
      <c r="E603" s="19"/>
      <c r="F603" s="19"/>
      <c r="G603" s="19"/>
      <c r="H603" s="19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9"/>
      <c r="D604" s="19"/>
      <c r="E604" s="19"/>
      <c r="F604" s="19"/>
      <c r="G604" s="19"/>
      <c r="H604" s="19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9"/>
      <c r="D605" s="19"/>
      <c r="E605" s="19"/>
      <c r="F605" s="19"/>
      <c r="G605" s="19"/>
      <c r="H605" s="19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9"/>
      <c r="D606" s="19"/>
      <c r="E606" s="19"/>
      <c r="F606" s="19"/>
      <c r="G606" s="19"/>
      <c r="H606" s="19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9"/>
      <c r="D607" s="19"/>
      <c r="E607" s="19"/>
      <c r="F607" s="19"/>
      <c r="G607" s="19"/>
      <c r="H607" s="19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9"/>
      <c r="D608" s="19"/>
      <c r="E608" s="19"/>
      <c r="F608" s="19"/>
      <c r="G608" s="19"/>
      <c r="H608" s="19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9"/>
      <c r="D609" s="19"/>
      <c r="E609" s="19"/>
      <c r="F609" s="19"/>
      <c r="G609" s="19"/>
      <c r="H609" s="19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9"/>
      <c r="D610" s="19"/>
      <c r="E610" s="19"/>
      <c r="F610" s="19"/>
      <c r="G610" s="19"/>
      <c r="H610" s="19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9"/>
      <c r="D611" s="19"/>
      <c r="E611" s="19"/>
      <c r="F611" s="19"/>
      <c r="G611" s="19"/>
      <c r="H611" s="19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9"/>
      <c r="D612" s="19"/>
      <c r="E612" s="19"/>
      <c r="F612" s="19"/>
      <c r="G612" s="19"/>
      <c r="H612" s="19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9"/>
      <c r="D613" s="19"/>
      <c r="E613" s="19"/>
      <c r="F613" s="19"/>
      <c r="G613" s="19"/>
      <c r="H613" s="19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9"/>
      <c r="D614" s="19"/>
      <c r="E614" s="19"/>
      <c r="F614" s="19"/>
      <c r="G614" s="19"/>
      <c r="H614" s="19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9"/>
      <c r="D615" s="19"/>
      <c r="E615" s="19"/>
      <c r="F615" s="19"/>
      <c r="G615" s="19"/>
      <c r="H615" s="19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9"/>
      <c r="D616" s="19"/>
      <c r="E616" s="19"/>
      <c r="F616" s="19"/>
      <c r="G616" s="19"/>
      <c r="H616" s="19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9"/>
      <c r="D617" s="19"/>
      <c r="E617" s="19"/>
      <c r="F617" s="19"/>
      <c r="G617" s="19"/>
      <c r="H617" s="19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9"/>
      <c r="D618" s="19"/>
      <c r="E618" s="19"/>
      <c r="F618" s="19"/>
      <c r="G618" s="19"/>
      <c r="H618" s="19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9"/>
      <c r="D619" s="19"/>
      <c r="E619" s="19"/>
      <c r="F619" s="19"/>
      <c r="G619" s="19"/>
      <c r="H619" s="19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9"/>
      <c r="D620" s="19"/>
      <c r="E620" s="19"/>
      <c r="F620" s="19"/>
      <c r="G620" s="19"/>
      <c r="H620" s="19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9"/>
      <c r="D621" s="19"/>
      <c r="E621" s="19"/>
      <c r="F621" s="19"/>
      <c r="G621" s="19"/>
      <c r="H621" s="19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9"/>
      <c r="D622" s="19"/>
      <c r="E622" s="19"/>
      <c r="F622" s="19"/>
      <c r="G622" s="19"/>
      <c r="H622" s="19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9"/>
      <c r="D623" s="19"/>
      <c r="E623" s="19"/>
      <c r="F623" s="19"/>
      <c r="G623" s="19"/>
      <c r="H623" s="19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9"/>
      <c r="D624" s="19"/>
      <c r="E624" s="19"/>
      <c r="F624" s="19"/>
      <c r="G624" s="19"/>
      <c r="H624" s="19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9"/>
      <c r="D625" s="19"/>
      <c r="E625" s="19"/>
      <c r="F625" s="19"/>
      <c r="G625" s="19"/>
      <c r="H625" s="19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9"/>
      <c r="D626" s="19"/>
      <c r="E626" s="19"/>
      <c r="F626" s="19"/>
      <c r="G626" s="19"/>
      <c r="H626" s="19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9"/>
      <c r="D627" s="19"/>
      <c r="E627" s="19"/>
      <c r="F627" s="19"/>
      <c r="G627" s="19"/>
      <c r="H627" s="19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9"/>
      <c r="D628" s="19"/>
      <c r="E628" s="19"/>
      <c r="F628" s="19"/>
      <c r="G628" s="19"/>
      <c r="H628" s="19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9"/>
      <c r="D629" s="19"/>
      <c r="E629" s="19"/>
      <c r="F629" s="19"/>
      <c r="G629" s="19"/>
      <c r="H629" s="19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9"/>
      <c r="D630" s="19"/>
      <c r="E630" s="19"/>
      <c r="F630" s="19"/>
      <c r="G630" s="19"/>
      <c r="H630" s="19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9"/>
      <c r="D631" s="19"/>
      <c r="E631" s="19"/>
      <c r="F631" s="19"/>
      <c r="G631" s="19"/>
      <c r="H631" s="19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9"/>
      <c r="D632" s="19"/>
      <c r="E632" s="19"/>
      <c r="F632" s="19"/>
      <c r="G632" s="19"/>
      <c r="H632" s="19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9"/>
      <c r="D633" s="19"/>
      <c r="E633" s="19"/>
      <c r="F633" s="19"/>
      <c r="G633" s="19"/>
      <c r="H633" s="19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9"/>
      <c r="D634" s="19"/>
      <c r="E634" s="19"/>
      <c r="F634" s="19"/>
      <c r="G634" s="19"/>
      <c r="H634" s="19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9"/>
      <c r="D635" s="19"/>
      <c r="E635" s="19"/>
      <c r="F635" s="19"/>
      <c r="G635" s="19"/>
      <c r="H635" s="19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9"/>
      <c r="D636" s="19"/>
      <c r="E636" s="19"/>
      <c r="F636" s="19"/>
      <c r="G636" s="19"/>
      <c r="H636" s="19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9"/>
      <c r="D637" s="19"/>
      <c r="E637" s="19"/>
      <c r="F637" s="19"/>
      <c r="G637" s="19"/>
      <c r="H637" s="19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9"/>
      <c r="D638" s="19"/>
      <c r="E638" s="19"/>
      <c r="F638" s="19"/>
      <c r="G638" s="19"/>
      <c r="H638" s="19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9"/>
      <c r="D639" s="19"/>
      <c r="E639" s="19"/>
      <c r="F639" s="19"/>
      <c r="G639" s="19"/>
      <c r="H639" s="19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9"/>
      <c r="D640" s="19"/>
      <c r="E640" s="19"/>
      <c r="F640" s="19"/>
      <c r="G640" s="19"/>
      <c r="H640" s="19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9"/>
      <c r="D641" s="19"/>
      <c r="E641" s="19"/>
      <c r="F641" s="19"/>
      <c r="G641" s="19"/>
      <c r="H641" s="19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9"/>
      <c r="D642" s="19"/>
      <c r="E642" s="19"/>
      <c r="F642" s="19"/>
      <c r="G642" s="19"/>
      <c r="H642" s="19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9"/>
      <c r="D643" s="19"/>
      <c r="E643" s="19"/>
      <c r="F643" s="19"/>
      <c r="G643" s="19"/>
      <c r="H643" s="19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9"/>
      <c r="D644" s="19"/>
      <c r="E644" s="19"/>
      <c r="F644" s="19"/>
      <c r="G644" s="19"/>
      <c r="H644" s="19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9"/>
      <c r="D645" s="19"/>
      <c r="E645" s="19"/>
      <c r="F645" s="19"/>
      <c r="G645" s="19"/>
      <c r="H645" s="19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9"/>
      <c r="D646" s="19"/>
      <c r="E646" s="19"/>
      <c r="F646" s="19"/>
      <c r="G646" s="19"/>
      <c r="H646" s="19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9"/>
      <c r="D647" s="19"/>
      <c r="E647" s="19"/>
      <c r="F647" s="19"/>
      <c r="G647" s="19"/>
      <c r="H647" s="19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9"/>
      <c r="D648" s="19"/>
      <c r="E648" s="19"/>
      <c r="F648" s="19"/>
      <c r="G648" s="19"/>
      <c r="H648" s="19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9"/>
      <c r="D649" s="19"/>
      <c r="E649" s="19"/>
      <c r="F649" s="19"/>
      <c r="G649" s="19"/>
      <c r="H649" s="19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9"/>
      <c r="D650" s="19"/>
      <c r="E650" s="19"/>
      <c r="F650" s="19"/>
      <c r="G650" s="19"/>
      <c r="H650" s="19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9"/>
      <c r="D651" s="19"/>
      <c r="E651" s="19"/>
      <c r="F651" s="19"/>
      <c r="G651" s="19"/>
      <c r="H651" s="19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9"/>
      <c r="D652" s="19"/>
      <c r="E652" s="19"/>
      <c r="F652" s="19"/>
      <c r="G652" s="19"/>
      <c r="H652" s="19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9"/>
      <c r="D653" s="19"/>
      <c r="E653" s="19"/>
      <c r="F653" s="19"/>
      <c r="G653" s="19"/>
      <c r="H653" s="19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9"/>
      <c r="D654" s="19"/>
      <c r="E654" s="19"/>
      <c r="F654" s="19"/>
      <c r="G654" s="19"/>
      <c r="H654" s="19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9"/>
      <c r="D655" s="19"/>
      <c r="E655" s="19"/>
      <c r="F655" s="19"/>
      <c r="G655" s="19"/>
      <c r="H655" s="19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9"/>
      <c r="D656" s="19"/>
      <c r="E656" s="19"/>
      <c r="F656" s="19"/>
      <c r="G656" s="19"/>
      <c r="H656" s="19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9"/>
      <c r="D657" s="19"/>
      <c r="E657" s="19"/>
      <c r="F657" s="19"/>
      <c r="G657" s="19"/>
      <c r="H657" s="19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9"/>
      <c r="D658" s="19"/>
      <c r="E658" s="19"/>
      <c r="F658" s="19"/>
      <c r="G658" s="19"/>
      <c r="H658" s="19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9"/>
      <c r="D659" s="19"/>
      <c r="E659" s="19"/>
      <c r="F659" s="19"/>
      <c r="G659" s="19"/>
      <c r="H659" s="19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9"/>
      <c r="D660" s="19"/>
      <c r="E660" s="19"/>
      <c r="F660" s="19"/>
      <c r="G660" s="19"/>
      <c r="H660" s="19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9"/>
      <c r="D661" s="19"/>
      <c r="E661" s="19"/>
      <c r="F661" s="19"/>
      <c r="G661" s="19"/>
      <c r="H661" s="19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9"/>
      <c r="D662" s="19"/>
      <c r="E662" s="19"/>
      <c r="F662" s="19"/>
      <c r="G662" s="19"/>
      <c r="H662" s="19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9"/>
      <c r="D663" s="19"/>
      <c r="E663" s="19"/>
      <c r="F663" s="19"/>
      <c r="G663" s="19"/>
      <c r="H663" s="19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9"/>
      <c r="D664" s="19"/>
      <c r="E664" s="19"/>
      <c r="F664" s="19"/>
      <c r="G664" s="19"/>
      <c r="H664" s="19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9"/>
      <c r="D665" s="19"/>
      <c r="E665" s="19"/>
      <c r="F665" s="19"/>
      <c r="G665" s="19"/>
      <c r="H665" s="19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9"/>
      <c r="D666" s="19"/>
      <c r="E666" s="19"/>
      <c r="F666" s="19"/>
      <c r="G666" s="19"/>
      <c r="H666" s="19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9"/>
      <c r="D667" s="19"/>
      <c r="E667" s="19"/>
      <c r="F667" s="19"/>
      <c r="G667" s="19"/>
      <c r="H667" s="19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9"/>
      <c r="D668" s="19"/>
      <c r="E668" s="19"/>
      <c r="F668" s="19"/>
      <c r="G668" s="19"/>
      <c r="H668" s="19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9"/>
      <c r="D669" s="19"/>
      <c r="E669" s="19"/>
      <c r="F669" s="19"/>
      <c r="G669" s="19"/>
      <c r="H669" s="19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9"/>
      <c r="D670" s="19"/>
      <c r="E670" s="19"/>
      <c r="F670" s="19"/>
      <c r="G670" s="19"/>
      <c r="H670" s="19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9"/>
      <c r="D671" s="19"/>
      <c r="E671" s="19"/>
      <c r="F671" s="19"/>
      <c r="G671" s="19"/>
      <c r="H671" s="19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9"/>
      <c r="D672" s="19"/>
      <c r="E672" s="19"/>
      <c r="F672" s="19"/>
      <c r="G672" s="19"/>
      <c r="H672" s="19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9"/>
      <c r="D673" s="19"/>
      <c r="E673" s="19"/>
      <c r="F673" s="19"/>
      <c r="G673" s="19"/>
      <c r="H673" s="19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9"/>
      <c r="D674" s="19"/>
      <c r="E674" s="19"/>
      <c r="F674" s="19"/>
      <c r="G674" s="19"/>
      <c r="H674" s="19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9"/>
      <c r="D675" s="19"/>
      <c r="E675" s="19"/>
      <c r="F675" s="19"/>
      <c r="G675" s="19"/>
      <c r="H675" s="19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9"/>
      <c r="D676" s="19"/>
      <c r="E676" s="19"/>
      <c r="F676" s="19"/>
      <c r="G676" s="19"/>
      <c r="H676" s="19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9"/>
      <c r="D677" s="19"/>
      <c r="E677" s="19"/>
      <c r="F677" s="19"/>
      <c r="G677" s="19"/>
      <c r="H677" s="19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9"/>
      <c r="D678" s="19"/>
      <c r="E678" s="19"/>
      <c r="F678" s="19"/>
      <c r="G678" s="19"/>
      <c r="H678" s="19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9"/>
      <c r="D679" s="19"/>
      <c r="E679" s="19"/>
      <c r="F679" s="19"/>
      <c r="G679" s="19"/>
      <c r="H679" s="19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9"/>
      <c r="D680" s="19"/>
      <c r="E680" s="19"/>
      <c r="F680" s="19"/>
      <c r="G680" s="19"/>
      <c r="H680" s="19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9"/>
      <c r="D681" s="19"/>
      <c r="E681" s="19"/>
      <c r="F681" s="19"/>
      <c r="G681" s="19"/>
      <c r="H681" s="19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9"/>
      <c r="D682" s="19"/>
      <c r="E682" s="19"/>
      <c r="F682" s="19"/>
      <c r="G682" s="19"/>
      <c r="H682" s="19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9"/>
      <c r="D683" s="19"/>
      <c r="E683" s="19"/>
      <c r="F683" s="19"/>
      <c r="G683" s="19"/>
      <c r="H683" s="19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9"/>
      <c r="D684" s="19"/>
      <c r="E684" s="19"/>
      <c r="F684" s="19"/>
      <c r="G684" s="19"/>
      <c r="H684" s="19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9"/>
      <c r="D685" s="19"/>
      <c r="E685" s="19"/>
      <c r="F685" s="19"/>
      <c r="G685" s="19"/>
      <c r="H685" s="19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9"/>
      <c r="D686" s="19"/>
      <c r="E686" s="19"/>
      <c r="F686" s="19"/>
      <c r="G686" s="19"/>
      <c r="H686" s="19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9"/>
      <c r="D687" s="19"/>
      <c r="E687" s="19"/>
      <c r="F687" s="19"/>
      <c r="G687" s="19"/>
      <c r="H687" s="19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9"/>
      <c r="D688" s="19"/>
      <c r="E688" s="19"/>
      <c r="F688" s="19"/>
      <c r="G688" s="19"/>
      <c r="H688" s="19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9"/>
      <c r="D689" s="19"/>
      <c r="E689" s="19"/>
      <c r="F689" s="19"/>
      <c r="G689" s="19"/>
      <c r="H689" s="19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9"/>
      <c r="D690" s="19"/>
      <c r="E690" s="19"/>
      <c r="F690" s="19"/>
      <c r="G690" s="19"/>
      <c r="H690" s="19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9"/>
      <c r="D691" s="19"/>
      <c r="E691" s="19"/>
      <c r="F691" s="19"/>
      <c r="G691" s="19"/>
      <c r="H691" s="19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9"/>
      <c r="D692" s="19"/>
      <c r="E692" s="19"/>
      <c r="F692" s="19"/>
      <c r="G692" s="19"/>
      <c r="H692" s="19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9"/>
      <c r="D693" s="19"/>
      <c r="E693" s="19"/>
      <c r="F693" s="19"/>
      <c r="G693" s="19"/>
      <c r="H693" s="19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9"/>
      <c r="D694" s="19"/>
      <c r="E694" s="19"/>
      <c r="F694" s="19"/>
      <c r="G694" s="19"/>
      <c r="H694" s="19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9"/>
      <c r="D695" s="19"/>
      <c r="E695" s="19"/>
      <c r="F695" s="19"/>
      <c r="G695" s="19"/>
      <c r="H695" s="19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9"/>
      <c r="D696" s="19"/>
      <c r="E696" s="19"/>
      <c r="F696" s="19"/>
      <c r="G696" s="19"/>
      <c r="H696" s="19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9"/>
      <c r="D697" s="19"/>
      <c r="E697" s="19"/>
      <c r="F697" s="19"/>
      <c r="G697" s="19"/>
      <c r="H697" s="19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9"/>
      <c r="D698" s="19"/>
      <c r="E698" s="19"/>
      <c r="F698" s="19"/>
      <c r="G698" s="19"/>
      <c r="H698" s="19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9"/>
      <c r="D699" s="19"/>
      <c r="E699" s="19"/>
      <c r="F699" s="19"/>
      <c r="G699" s="19"/>
      <c r="H699" s="19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9"/>
      <c r="D700" s="19"/>
      <c r="E700" s="19"/>
      <c r="F700" s="19"/>
      <c r="G700" s="19"/>
      <c r="H700" s="19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9"/>
      <c r="D701" s="19"/>
      <c r="E701" s="19"/>
      <c r="F701" s="19"/>
      <c r="G701" s="19"/>
      <c r="H701" s="19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9"/>
      <c r="D702" s="19"/>
      <c r="E702" s="19"/>
      <c r="F702" s="19"/>
      <c r="G702" s="19"/>
      <c r="H702" s="19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9"/>
      <c r="D703" s="19"/>
      <c r="E703" s="19"/>
      <c r="F703" s="19"/>
      <c r="G703" s="19"/>
      <c r="H703" s="19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9"/>
      <c r="D704" s="19"/>
      <c r="E704" s="19"/>
      <c r="F704" s="19"/>
      <c r="G704" s="19"/>
      <c r="H704" s="19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9"/>
      <c r="D705" s="19"/>
      <c r="E705" s="19"/>
      <c r="F705" s="19"/>
      <c r="G705" s="19"/>
      <c r="H705" s="19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9"/>
      <c r="D706" s="19"/>
      <c r="E706" s="19"/>
      <c r="F706" s="19"/>
      <c r="G706" s="19"/>
      <c r="H706" s="19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9"/>
      <c r="D707" s="19"/>
      <c r="E707" s="19"/>
      <c r="F707" s="19"/>
      <c r="G707" s="19"/>
      <c r="H707" s="19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9"/>
      <c r="D708" s="19"/>
      <c r="E708" s="19"/>
      <c r="F708" s="19"/>
      <c r="G708" s="19"/>
      <c r="H708" s="19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9"/>
      <c r="D709" s="19"/>
      <c r="E709" s="19"/>
      <c r="F709" s="19"/>
      <c r="G709" s="19"/>
      <c r="H709" s="19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9"/>
      <c r="D710" s="19"/>
      <c r="E710" s="19"/>
      <c r="F710" s="19"/>
      <c r="G710" s="19"/>
      <c r="H710" s="19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9"/>
      <c r="D711" s="19"/>
      <c r="E711" s="19"/>
      <c r="F711" s="19"/>
      <c r="G711" s="19"/>
      <c r="H711" s="19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9"/>
      <c r="D712" s="19"/>
      <c r="E712" s="19"/>
      <c r="F712" s="19"/>
      <c r="G712" s="19"/>
      <c r="H712" s="19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9"/>
      <c r="D713" s="19"/>
      <c r="E713" s="19"/>
      <c r="F713" s="19"/>
      <c r="G713" s="19"/>
      <c r="H713" s="19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9"/>
      <c r="D714" s="19"/>
      <c r="E714" s="19"/>
      <c r="F714" s="19"/>
      <c r="G714" s="19"/>
      <c r="H714" s="19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9"/>
      <c r="D715" s="19"/>
      <c r="E715" s="19"/>
      <c r="F715" s="19"/>
      <c r="G715" s="19"/>
      <c r="H715" s="19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9"/>
      <c r="D716" s="19"/>
      <c r="E716" s="19"/>
      <c r="F716" s="19"/>
      <c r="G716" s="19"/>
      <c r="H716" s="19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9"/>
      <c r="D717" s="19"/>
      <c r="E717" s="19"/>
      <c r="F717" s="19"/>
      <c r="G717" s="19"/>
      <c r="H717" s="19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9"/>
      <c r="D718" s="19"/>
      <c r="E718" s="19"/>
      <c r="F718" s="19"/>
      <c r="G718" s="19"/>
      <c r="H718" s="19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9"/>
      <c r="D719" s="19"/>
      <c r="E719" s="19"/>
      <c r="F719" s="19"/>
      <c r="G719" s="19"/>
      <c r="H719" s="19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9"/>
      <c r="D720" s="19"/>
      <c r="E720" s="19"/>
      <c r="F720" s="19"/>
      <c r="G720" s="19"/>
      <c r="H720" s="19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9"/>
      <c r="D721" s="19"/>
      <c r="E721" s="19"/>
      <c r="F721" s="19"/>
      <c r="G721" s="19"/>
      <c r="H721" s="19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9"/>
      <c r="D722" s="19"/>
      <c r="E722" s="19"/>
      <c r="F722" s="19"/>
      <c r="G722" s="19"/>
      <c r="H722" s="19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9"/>
      <c r="D723" s="19"/>
      <c r="E723" s="19"/>
      <c r="F723" s="19"/>
      <c r="G723" s="19"/>
      <c r="H723" s="19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9"/>
      <c r="D724" s="19"/>
      <c r="E724" s="19"/>
      <c r="F724" s="19"/>
      <c r="G724" s="19"/>
      <c r="H724" s="19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9"/>
      <c r="D725" s="19"/>
      <c r="E725" s="19"/>
      <c r="F725" s="19"/>
      <c r="G725" s="19"/>
      <c r="H725" s="19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9"/>
      <c r="D726" s="19"/>
      <c r="E726" s="19"/>
      <c r="F726" s="19"/>
      <c r="G726" s="19"/>
      <c r="H726" s="19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9"/>
      <c r="D727" s="19"/>
      <c r="E727" s="19"/>
      <c r="F727" s="19"/>
      <c r="G727" s="19"/>
      <c r="H727" s="19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9"/>
      <c r="D728" s="19"/>
      <c r="E728" s="19"/>
      <c r="F728" s="19"/>
      <c r="G728" s="19"/>
      <c r="H728" s="19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9"/>
      <c r="D729" s="19"/>
      <c r="E729" s="19"/>
      <c r="F729" s="19"/>
      <c r="G729" s="19"/>
      <c r="H729" s="19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9"/>
      <c r="D730" s="19"/>
      <c r="E730" s="19"/>
      <c r="F730" s="19"/>
      <c r="G730" s="19"/>
      <c r="H730" s="19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9"/>
      <c r="D731" s="19"/>
      <c r="E731" s="19"/>
      <c r="F731" s="19"/>
      <c r="G731" s="19"/>
      <c r="H731" s="19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9"/>
      <c r="D732" s="19"/>
      <c r="E732" s="19"/>
      <c r="F732" s="19"/>
      <c r="G732" s="19"/>
      <c r="H732" s="19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9"/>
      <c r="D733" s="19"/>
      <c r="E733" s="19"/>
      <c r="F733" s="19"/>
      <c r="G733" s="19"/>
      <c r="H733" s="19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9"/>
      <c r="D734" s="19"/>
      <c r="E734" s="19"/>
      <c r="F734" s="19"/>
      <c r="G734" s="19"/>
      <c r="H734" s="19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9"/>
      <c r="D735" s="19"/>
      <c r="E735" s="19"/>
      <c r="F735" s="19"/>
      <c r="G735" s="19"/>
      <c r="H735" s="19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9"/>
      <c r="D736" s="19"/>
      <c r="E736" s="19"/>
      <c r="F736" s="19"/>
      <c r="G736" s="19"/>
      <c r="H736" s="19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9"/>
      <c r="D737" s="19"/>
      <c r="E737" s="19"/>
      <c r="F737" s="19"/>
      <c r="G737" s="19"/>
      <c r="H737" s="19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9"/>
      <c r="D738" s="19"/>
      <c r="E738" s="19"/>
      <c r="F738" s="19"/>
      <c r="G738" s="19"/>
      <c r="H738" s="19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9"/>
      <c r="D739" s="19"/>
      <c r="E739" s="19"/>
      <c r="F739" s="19"/>
      <c r="G739" s="19"/>
      <c r="H739" s="19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9"/>
      <c r="D740" s="19"/>
      <c r="E740" s="19"/>
      <c r="F740" s="19"/>
      <c r="G740" s="19"/>
      <c r="H740" s="19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9"/>
      <c r="D741" s="19"/>
      <c r="E741" s="19"/>
      <c r="F741" s="19"/>
      <c r="G741" s="19"/>
      <c r="H741" s="19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9"/>
      <c r="D742" s="19"/>
      <c r="E742" s="19"/>
      <c r="F742" s="19"/>
      <c r="G742" s="19"/>
      <c r="H742" s="19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9"/>
      <c r="D743" s="19"/>
      <c r="E743" s="19"/>
      <c r="F743" s="19"/>
      <c r="G743" s="19"/>
      <c r="H743" s="19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9"/>
      <c r="D744" s="19"/>
      <c r="E744" s="19"/>
      <c r="F744" s="19"/>
      <c r="G744" s="19"/>
      <c r="H744" s="19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9"/>
      <c r="D745" s="19"/>
      <c r="E745" s="19"/>
      <c r="F745" s="19"/>
      <c r="G745" s="19"/>
      <c r="H745" s="19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9"/>
      <c r="D746" s="19"/>
      <c r="E746" s="19"/>
      <c r="F746" s="19"/>
      <c r="G746" s="19"/>
      <c r="H746" s="19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9"/>
      <c r="D747" s="19"/>
      <c r="E747" s="19"/>
      <c r="F747" s="19"/>
      <c r="G747" s="19"/>
      <c r="H747" s="19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9"/>
      <c r="D748" s="19"/>
      <c r="E748" s="19"/>
      <c r="F748" s="19"/>
      <c r="G748" s="19"/>
      <c r="H748" s="19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9"/>
      <c r="D749" s="19"/>
      <c r="E749" s="19"/>
      <c r="F749" s="19"/>
      <c r="G749" s="19"/>
      <c r="H749" s="19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9"/>
      <c r="D750" s="19"/>
      <c r="E750" s="19"/>
      <c r="F750" s="19"/>
      <c r="G750" s="19"/>
      <c r="H750" s="19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9"/>
      <c r="D751" s="19"/>
      <c r="E751" s="19"/>
      <c r="F751" s="19"/>
      <c r="G751" s="19"/>
      <c r="H751" s="19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9"/>
      <c r="D752" s="19"/>
      <c r="E752" s="19"/>
      <c r="F752" s="19"/>
      <c r="G752" s="19"/>
      <c r="H752" s="19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9"/>
      <c r="D753" s="19"/>
      <c r="E753" s="19"/>
      <c r="F753" s="19"/>
      <c r="G753" s="19"/>
      <c r="H753" s="19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9"/>
      <c r="D754" s="19"/>
      <c r="E754" s="19"/>
      <c r="F754" s="19"/>
      <c r="G754" s="19"/>
      <c r="H754" s="19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9"/>
      <c r="D755" s="19"/>
      <c r="E755" s="19"/>
      <c r="F755" s="19"/>
      <c r="G755" s="19"/>
      <c r="H755" s="19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9"/>
      <c r="D756" s="19"/>
      <c r="E756" s="19"/>
      <c r="F756" s="19"/>
      <c r="G756" s="19"/>
      <c r="H756" s="19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9"/>
      <c r="D757" s="19"/>
      <c r="E757" s="19"/>
      <c r="F757" s="19"/>
      <c r="G757" s="19"/>
      <c r="H757" s="19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9"/>
      <c r="D758" s="19"/>
      <c r="E758" s="19"/>
      <c r="F758" s="19"/>
      <c r="G758" s="19"/>
      <c r="H758" s="19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9"/>
      <c r="D759" s="19"/>
      <c r="E759" s="19"/>
      <c r="F759" s="19"/>
      <c r="G759" s="19"/>
      <c r="H759" s="19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9"/>
      <c r="D760" s="19"/>
      <c r="E760" s="19"/>
      <c r="F760" s="19"/>
      <c r="G760" s="19"/>
      <c r="H760" s="19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9"/>
      <c r="D761" s="19"/>
      <c r="E761" s="19"/>
      <c r="F761" s="19"/>
      <c r="G761" s="19"/>
      <c r="H761" s="19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9"/>
      <c r="D762" s="19"/>
      <c r="E762" s="19"/>
      <c r="F762" s="19"/>
      <c r="G762" s="19"/>
      <c r="H762" s="19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9"/>
      <c r="D763" s="19"/>
      <c r="E763" s="19"/>
      <c r="F763" s="19"/>
      <c r="G763" s="19"/>
      <c r="H763" s="19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9"/>
      <c r="D764" s="19"/>
      <c r="E764" s="19"/>
      <c r="F764" s="19"/>
      <c r="G764" s="19"/>
      <c r="H764" s="19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9"/>
      <c r="D765" s="19"/>
      <c r="E765" s="19"/>
      <c r="F765" s="19"/>
      <c r="G765" s="19"/>
      <c r="H765" s="19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9"/>
      <c r="D766" s="19"/>
      <c r="E766" s="19"/>
      <c r="F766" s="19"/>
      <c r="G766" s="19"/>
      <c r="H766" s="19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9"/>
      <c r="D767" s="19"/>
      <c r="E767" s="19"/>
      <c r="F767" s="19"/>
      <c r="G767" s="19"/>
      <c r="H767" s="19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9"/>
      <c r="D768" s="19"/>
      <c r="E768" s="19"/>
      <c r="F768" s="19"/>
      <c r="G768" s="19"/>
      <c r="H768" s="19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9"/>
      <c r="D769" s="19"/>
      <c r="E769" s="19"/>
      <c r="F769" s="19"/>
      <c r="G769" s="19"/>
      <c r="H769" s="19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9"/>
      <c r="D770" s="19"/>
      <c r="E770" s="19"/>
      <c r="F770" s="19"/>
      <c r="G770" s="19"/>
      <c r="H770" s="19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9"/>
      <c r="D771" s="19"/>
      <c r="E771" s="19"/>
      <c r="F771" s="19"/>
      <c r="G771" s="19"/>
      <c r="H771" s="19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9"/>
      <c r="D772" s="19"/>
      <c r="E772" s="19"/>
      <c r="F772" s="19"/>
      <c r="G772" s="19"/>
      <c r="H772" s="19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9"/>
      <c r="D773" s="19"/>
      <c r="E773" s="19"/>
      <c r="F773" s="19"/>
      <c r="G773" s="19"/>
      <c r="H773" s="19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9"/>
      <c r="D774" s="19"/>
      <c r="E774" s="19"/>
      <c r="F774" s="19"/>
      <c r="G774" s="19"/>
      <c r="H774" s="19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9"/>
      <c r="D775" s="19"/>
      <c r="E775" s="19"/>
      <c r="F775" s="19"/>
      <c r="G775" s="19"/>
      <c r="H775" s="19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9"/>
      <c r="D776" s="19"/>
      <c r="E776" s="19"/>
      <c r="F776" s="19"/>
      <c r="G776" s="19"/>
      <c r="H776" s="19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9"/>
      <c r="D777" s="19"/>
      <c r="E777" s="19"/>
      <c r="F777" s="19"/>
      <c r="G777" s="19"/>
      <c r="H777" s="19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9"/>
      <c r="D778" s="19"/>
      <c r="E778" s="19"/>
      <c r="F778" s="19"/>
      <c r="G778" s="19"/>
      <c r="H778" s="19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9"/>
      <c r="D779" s="19"/>
      <c r="E779" s="19"/>
      <c r="F779" s="19"/>
      <c r="G779" s="19"/>
      <c r="H779" s="19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9"/>
      <c r="D780" s="19"/>
      <c r="E780" s="19"/>
      <c r="F780" s="19"/>
      <c r="G780" s="19"/>
      <c r="H780" s="19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9"/>
      <c r="D781" s="19"/>
      <c r="E781" s="19"/>
      <c r="F781" s="19"/>
      <c r="G781" s="19"/>
      <c r="H781" s="19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9"/>
      <c r="D782" s="19"/>
      <c r="E782" s="19"/>
      <c r="F782" s="19"/>
      <c r="G782" s="19"/>
      <c r="H782" s="19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9"/>
      <c r="D783" s="19"/>
      <c r="E783" s="19"/>
      <c r="F783" s="19"/>
      <c r="G783" s="19"/>
      <c r="H783" s="19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9"/>
      <c r="D784" s="19"/>
      <c r="E784" s="19"/>
      <c r="F784" s="19"/>
      <c r="G784" s="19"/>
      <c r="H784" s="19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9"/>
      <c r="D785" s="19"/>
      <c r="E785" s="19"/>
      <c r="F785" s="19"/>
      <c r="G785" s="19"/>
      <c r="H785" s="19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9"/>
      <c r="D786" s="19"/>
      <c r="E786" s="19"/>
      <c r="F786" s="19"/>
      <c r="G786" s="19"/>
      <c r="H786" s="19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9"/>
      <c r="D787" s="19"/>
      <c r="E787" s="19"/>
      <c r="F787" s="19"/>
      <c r="G787" s="19"/>
      <c r="H787" s="19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9"/>
      <c r="D788" s="19"/>
      <c r="E788" s="19"/>
      <c r="F788" s="19"/>
      <c r="G788" s="19"/>
      <c r="H788" s="19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9"/>
      <c r="D789" s="19"/>
      <c r="E789" s="19"/>
      <c r="F789" s="19"/>
      <c r="G789" s="19"/>
      <c r="H789" s="19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9"/>
      <c r="D790" s="19"/>
      <c r="E790" s="19"/>
      <c r="F790" s="19"/>
      <c r="G790" s="19"/>
      <c r="H790" s="19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9"/>
      <c r="D791" s="19"/>
      <c r="E791" s="19"/>
      <c r="F791" s="19"/>
      <c r="G791" s="19"/>
      <c r="H791" s="19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9"/>
      <c r="D792" s="19"/>
      <c r="E792" s="19"/>
      <c r="F792" s="19"/>
      <c r="G792" s="19"/>
      <c r="H792" s="19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9"/>
      <c r="D793" s="19"/>
      <c r="E793" s="19"/>
      <c r="F793" s="19"/>
      <c r="G793" s="19"/>
      <c r="H793" s="19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9"/>
      <c r="D794" s="19"/>
      <c r="E794" s="19"/>
      <c r="F794" s="19"/>
      <c r="G794" s="19"/>
      <c r="H794" s="19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9"/>
      <c r="D795" s="19"/>
      <c r="E795" s="19"/>
      <c r="F795" s="19"/>
      <c r="G795" s="19"/>
      <c r="H795" s="19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9"/>
      <c r="D796" s="19"/>
      <c r="E796" s="19"/>
      <c r="F796" s="19"/>
      <c r="G796" s="19"/>
      <c r="H796" s="19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9"/>
      <c r="D797" s="19"/>
      <c r="E797" s="19"/>
      <c r="F797" s="19"/>
      <c r="G797" s="19"/>
      <c r="H797" s="19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9"/>
      <c r="D798" s="19"/>
      <c r="E798" s="19"/>
      <c r="F798" s="19"/>
      <c r="G798" s="19"/>
      <c r="H798" s="19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9"/>
      <c r="D799" s="19"/>
      <c r="E799" s="19"/>
      <c r="F799" s="19"/>
      <c r="G799" s="19"/>
      <c r="H799" s="19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9"/>
      <c r="D800" s="19"/>
      <c r="E800" s="19"/>
      <c r="F800" s="19"/>
      <c r="G800" s="19"/>
      <c r="H800" s="19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9"/>
      <c r="D801" s="19"/>
      <c r="E801" s="19"/>
      <c r="F801" s="19"/>
      <c r="G801" s="19"/>
      <c r="H801" s="19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9"/>
      <c r="D802" s="19"/>
      <c r="E802" s="19"/>
      <c r="F802" s="19"/>
      <c r="G802" s="19"/>
      <c r="H802" s="19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9"/>
      <c r="D803" s="19"/>
      <c r="E803" s="19"/>
      <c r="F803" s="19"/>
      <c r="G803" s="19"/>
      <c r="H803" s="19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9"/>
      <c r="D804" s="19"/>
      <c r="E804" s="19"/>
      <c r="F804" s="19"/>
      <c r="G804" s="19"/>
      <c r="H804" s="19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9"/>
      <c r="D805" s="19"/>
      <c r="E805" s="19"/>
      <c r="F805" s="19"/>
      <c r="G805" s="19"/>
      <c r="H805" s="19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9"/>
      <c r="D806" s="19"/>
      <c r="E806" s="19"/>
      <c r="F806" s="19"/>
      <c r="G806" s="19"/>
      <c r="H806" s="19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9"/>
      <c r="D807" s="19"/>
      <c r="E807" s="19"/>
      <c r="F807" s="19"/>
      <c r="G807" s="19"/>
      <c r="H807" s="19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9"/>
      <c r="D808" s="19"/>
      <c r="E808" s="19"/>
      <c r="F808" s="19"/>
      <c r="G808" s="19"/>
      <c r="H808" s="19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9"/>
      <c r="D809" s="19"/>
      <c r="E809" s="19"/>
      <c r="F809" s="19"/>
      <c r="G809" s="19"/>
      <c r="H809" s="19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9"/>
      <c r="D810" s="19"/>
      <c r="E810" s="19"/>
      <c r="F810" s="19"/>
      <c r="G810" s="19"/>
      <c r="H810" s="19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9"/>
      <c r="D811" s="19"/>
      <c r="E811" s="19"/>
      <c r="F811" s="19"/>
      <c r="G811" s="19"/>
      <c r="H811" s="19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9"/>
      <c r="D812" s="19"/>
      <c r="E812" s="19"/>
      <c r="F812" s="19"/>
      <c r="G812" s="19"/>
      <c r="H812" s="19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9"/>
      <c r="D813" s="19"/>
      <c r="E813" s="19"/>
      <c r="F813" s="19"/>
      <c r="G813" s="19"/>
      <c r="H813" s="19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9"/>
      <c r="D814" s="19"/>
      <c r="E814" s="19"/>
      <c r="F814" s="19"/>
      <c r="G814" s="19"/>
      <c r="H814" s="19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9"/>
      <c r="D815" s="19"/>
      <c r="E815" s="19"/>
      <c r="F815" s="19"/>
      <c r="G815" s="19"/>
      <c r="H815" s="19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9"/>
      <c r="D816" s="19"/>
      <c r="E816" s="19"/>
      <c r="F816" s="19"/>
      <c r="G816" s="19"/>
      <c r="H816" s="19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9"/>
      <c r="D817" s="19"/>
      <c r="E817" s="19"/>
      <c r="F817" s="19"/>
      <c r="G817" s="19"/>
      <c r="H817" s="19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9"/>
      <c r="D818" s="19"/>
      <c r="E818" s="19"/>
      <c r="F818" s="19"/>
      <c r="G818" s="19"/>
      <c r="H818" s="19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9"/>
      <c r="D819" s="19"/>
      <c r="E819" s="19"/>
      <c r="F819" s="19"/>
      <c r="G819" s="19"/>
      <c r="H819" s="19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9"/>
      <c r="D820" s="19"/>
      <c r="E820" s="19"/>
      <c r="F820" s="19"/>
      <c r="G820" s="19"/>
      <c r="H820" s="19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9"/>
      <c r="D821" s="19"/>
      <c r="E821" s="19"/>
      <c r="F821" s="19"/>
      <c r="G821" s="19"/>
      <c r="H821" s="19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9"/>
      <c r="D822" s="19"/>
      <c r="E822" s="19"/>
      <c r="F822" s="19"/>
      <c r="G822" s="19"/>
      <c r="H822" s="19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9"/>
      <c r="D823" s="19"/>
      <c r="E823" s="19"/>
      <c r="F823" s="19"/>
      <c r="G823" s="19"/>
      <c r="H823" s="19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9"/>
      <c r="D824" s="19"/>
      <c r="E824" s="19"/>
      <c r="F824" s="19"/>
      <c r="G824" s="19"/>
      <c r="H824" s="19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9"/>
      <c r="D825" s="19"/>
      <c r="E825" s="19"/>
      <c r="F825" s="19"/>
      <c r="G825" s="19"/>
      <c r="H825" s="19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9"/>
      <c r="D826" s="19"/>
      <c r="E826" s="19"/>
      <c r="F826" s="19"/>
      <c r="G826" s="19"/>
      <c r="H826" s="19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9"/>
      <c r="D827" s="19"/>
      <c r="E827" s="19"/>
      <c r="F827" s="19"/>
      <c r="G827" s="19"/>
      <c r="H827" s="19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9"/>
      <c r="D828" s="19"/>
      <c r="E828" s="19"/>
      <c r="F828" s="19"/>
      <c r="G828" s="19"/>
      <c r="H828" s="19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9"/>
      <c r="D829" s="19"/>
      <c r="E829" s="19"/>
      <c r="F829" s="19"/>
      <c r="G829" s="19"/>
      <c r="H829" s="19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9"/>
      <c r="D830" s="19"/>
      <c r="E830" s="19"/>
      <c r="F830" s="19"/>
      <c r="G830" s="19"/>
      <c r="H830" s="19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9"/>
      <c r="D831" s="19"/>
      <c r="E831" s="19"/>
      <c r="F831" s="19"/>
      <c r="G831" s="19"/>
      <c r="H831" s="19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9"/>
      <c r="D832" s="19"/>
      <c r="E832" s="19"/>
      <c r="F832" s="19"/>
      <c r="G832" s="19"/>
      <c r="H832" s="19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9"/>
      <c r="D833" s="19"/>
      <c r="E833" s="19"/>
      <c r="F833" s="19"/>
      <c r="G833" s="19"/>
      <c r="H833" s="19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9"/>
      <c r="D834" s="19"/>
      <c r="E834" s="19"/>
      <c r="F834" s="19"/>
      <c r="G834" s="19"/>
      <c r="H834" s="19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9"/>
      <c r="D835" s="19"/>
      <c r="E835" s="19"/>
      <c r="F835" s="19"/>
      <c r="G835" s="19"/>
      <c r="H835" s="19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9"/>
      <c r="D836" s="19"/>
      <c r="E836" s="19"/>
      <c r="F836" s="19"/>
      <c r="G836" s="19"/>
      <c r="H836" s="19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9"/>
      <c r="D837" s="19"/>
      <c r="E837" s="19"/>
      <c r="F837" s="19"/>
      <c r="G837" s="19"/>
      <c r="H837" s="19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9"/>
      <c r="D838" s="19"/>
      <c r="E838" s="19"/>
      <c r="F838" s="19"/>
      <c r="G838" s="19"/>
      <c r="H838" s="19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9"/>
      <c r="D839" s="19"/>
      <c r="E839" s="19"/>
      <c r="F839" s="19"/>
      <c r="G839" s="19"/>
      <c r="H839" s="19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9"/>
      <c r="D840" s="19"/>
      <c r="E840" s="19"/>
      <c r="F840" s="19"/>
      <c r="G840" s="19"/>
      <c r="H840" s="19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9"/>
      <c r="D841" s="19"/>
      <c r="E841" s="19"/>
      <c r="F841" s="19"/>
      <c r="G841" s="19"/>
      <c r="H841" s="19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9"/>
      <c r="D842" s="19"/>
      <c r="E842" s="19"/>
      <c r="F842" s="19"/>
      <c r="G842" s="19"/>
      <c r="H842" s="19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9"/>
      <c r="D843" s="19"/>
      <c r="E843" s="19"/>
      <c r="F843" s="19"/>
      <c r="G843" s="19"/>
      <c r="H843" s="19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9"/>
      <c r="D844" s="19"/>
      <c r="E844" s="19"/>
      <c r="F844" s="19"/>
      <c r="G844" s="19"/>
      <c r="H844" s="19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9"/>
      <c r="D845" s="19"/>
      <c r="E845" s="19"/>
      <c r="F845" s="19"/>
      <c r="G845" s="19"/>
      <c r="H845" s="19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9"/>
      <c r="D846" s="19"/>
      <c r="E846" s="19"/>
      <c r="F846" s="19"/>
      <c r="G846" s="19"/>
      <c r="H846" s="19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9"/>
      <c r="D847" s="19"/>
      <c r="E847" s="19"/>
      <c r="F847" s="19"/>
      <c r="G847" s="19"/>
      <c r="H847" s="19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9"/>
      <c r="D848" s="19"/>
      <c r="E848" s="19"/>
      <c r="F848" s="19"/>
      <c r="G848" s="19"/>
      <c r="H848" s="19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9"/>
      <c r="D849" s="19"/>
      <c r="E849" s="19"/>
      <c r="F849" s="19"/>
      <c r="G849" s="19"/>
      <c r="H849" s="19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9"/>
      <c r="D850" s="19"/>
      <c r="E850" s="19"/>
      <c r="F850" s="19"/>
      <c r="G850" s="19"/>
      <c r="H850" s="19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9"/>
      <c r="D851" s="19"/>
      <c r="E851" s="19"/>
      <c r="F851" s="19"/>
      <c r="G851" s="19"/>
      <c r="H851" s="19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9"/>
      <c r="D852" s="19"/>
      <c r="E852" s="19"/>
      <c r="F852" s="19"/>
      <c r="G852" s="19"/>
      <c r="H852" s="19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9"/>
      <c r="D853" s="19"/>
      <c r="E853" s="19"/>
      <c r="F853" s="19"/>
      <c r="G853" s="19"/>
      <c r="H853" s="19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9"/>
      <c r="D854" s="19"/>
      <c r="E854" s="19"/>
      <c r="F854" s="19"/>
      <c r="G854" s="19"/>
      <c r="H854" s="19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9"/>
      <c r="D855" s="19"/>
      <c r="E855" s="19"/>
      <c r="F855" s="19"/>
      <c r="G855" s="19"/>
      <c r="H855" s="19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9"/>
      <c r="D856" s="19"/>
      <c r="E856" s="19"/>
      <c r="F856" s="19"/>
      <c r="G856" s="19"/>
      <c r="H856" s="19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9"/>
      <c r="D857" s="19"/>
      <c r="E857" s="19"/>
      <c r="F857" s="19"/>
      <c r="G857" s="19"/>
      <c r="H857" s="19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9"/>
      <c r="D858" s="19"/>
      <c r="E858" s="19"/>
      <c r="F858" s="19"/>
      <c r="G858" s="19"/>
      <c r="H858" s="19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9"/>
      <c r="D859" s="19"/>
      <c r="E859" s="19"/>
      <c r="F859" s="19"/>
      <c r="G859" s="19"/>
      <c r="H859" s="19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9"/>
      <c r="D860" s="19"/>
      <c r="E860" s="19"/>
      <c r="F860" s="19"/>
      <c r="G860" s="19"/>
      <c r="H860" s="19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9"/>
      <c r="D861" s="19"/>
      <c r="E861" s="19"/>
      <c r="F861" s="19"/>
      <c r="G861" s="19"/>
      <c r="H861" s="19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9"/>
      <c r="D862" s="19"/>
      <c r="E862" s="19"/>
      <c r="F862" s="19"/>
      <c r="G862" s="19"/>
      <c r="H862" s="19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9"/>
      <c r="D863" s="19"/>
      <c r="E863" s="19"/>
      <c r="F863" s="19"/>
      <c r="G863" s="19"/>
      <c r="H863" s="19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9"/>
      <c r="D864" s="19"/>
      <c r="E864" s="19"/>
      <c r="F864" s="19"/>
      <c r="G864" s="19"/>
      <c r="H864" s="19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9"/>
      <c r="D865" s="19"/>
      <c r="E865" s="19"/>
      <c r="F865" s="19"/>
      <c r="G865" s="19"/>
      <c r="H865" s="19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9"/>
      <c r="D866" s="19"/>
      <c r="E866" s="19"/>
      <c r="F866" s="19"/>
      <c r="G866" s="19"/>
      <c r="H866" s="19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9"/>
      <c r="D867" s="19"/>
      <c r="E867" s="19"/>
      <c r="F867" s="19"/>
      <c r="G867" s="19"/>
      <c r="H867" s="19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9"/>
      <c r="D868" s="19"/>
      <c r="E868" s="19"/>
      <c r="F868" s="19"/>
      <c r="G868" s="19"/>
      <c r="H868" s="19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9"/>
      <c r="D869" s="19"/>
      <c r="E869" s="19"/>
      <c r="F869" s="19"/>
      <c r="G869" s="19"/>
      <c r="H869" s="19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9"/>
      <c r="D870" s="19"/>
      <c r="E870" s="19"/>
      <c r="F870" s="19"/>
      <c r="G870" s="19"/>
      <c r="H870" s="19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9"/>
      <c r="D871" s="19"/>
      <c r="E871" s="19"/>
      <c r="F871" s="19"/>
      <c r="G871" s="19"/>
      <c r="H871" s="19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9"/>
      <c r="D872" s="19"/>
      <c r="E872" s="19"/>
      <c r="F872" s="19"/>
      <c r="G872" s="19"/>
      <c r="H872" s="19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9"/>
      <c r="D873" s="19"/>
      <c r="E873" s="19"/>
      <c r="F873" s="19"/>
      <c r="G873" s="19"/>
      <c r="H873" s="19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9"/>
      <c r="D874" s="19"/>
      <c r="E874" s="19"/>
      <c r="F874" s="19"/>
      <c r="G874" s="19"/>
      <c r="H874" s="19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9"/>
      <c r="D875" s="19"/>
      <c r="E875" s="19"/>
      <c r="F875" s="19"/>
      <c r="G875" s="19"/>
      <c r="H875" s="19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9"/>
      <c r="D876" s="19"/>
      <c r="E876" s="19"/>
      <c r="F876" s="19"/>
      <c r="G876" s="19"/>
      <c r="H876" s="19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9"/>
      <c r="D877" s="19"/>
      <c r="E877" s="19"/>
      <c r="F877" s="19"/>
      <c r="G877" s="19"/>
      <c r="H877" s="19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9"/>
      <c r="D878" s="19"/>
      <c r="E878" s="19"/>
      <c r="F878" s="19"/>
      <c r="G878" s="19"/>
      <c r="H878" s="19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9"/>
      <c r="D879" s="19"/>
      <c r="E879" s="19"/>
      <c r="F879" s="19"/>
      <c r="G879" s="19"/>
      <c r="H879" s="19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9"/>
      <c r="D880" s="19"/>
      <c r="E880" s="19"/>
      <c r="F880" s="19"/>
      <c r="G880" s="19"/>
      <c r="H880" s="19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9"/>
      <c r="D881" s="19"/>
      <c r="E881" s="19"/>
      <c r="F881" s="19"/>
      <c r="G881" s="19"/>
      <c r="H881" s="19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9"/>
      <c r="D882" s="19"/>
      <c r="E882" s="19"/>
      <c r="F882" s="19"/>
      <c r="G882" s="19"/>
      <c r="H882" s="19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9"/>
      <c r="D883" s="19"/>
      <c r="E883" s="19"/>
      <c r="F883" s="19"/>
      <c r="G883" s="19"/>
      <c r="H883" s="19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9"/>
      <c r="D884" s="19"/>
      <c r="E884" s="19"/>
      <c r="F884" s="19"/>
      <c r="G884" s="19"/>
      <c r="H884" s="19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9"/>
      <c r="D885" s="19"/>
      <c r="E885" s="19"/>
      <c r="F885" s="19"/>
      <c r="G885" s="19"/>
      <c r="H885" s="19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9"/>
      <c r="D886" s="19"/>
      <c r="E886" s="19"/>
      <c r="F886" s="19"/>
      <c r="G886" s="19"/>
      <c r="H886" s="19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9"/>
      <c r="D887" s="19"/>
      <c r="E887" s="19"/>
      <c r="F887" s="19"/>
      <c r="G887" s="19"/>
      <c r="H887" s="19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9"/>
      <c r="D888" s="19"/>
      <c r="E888" s="19"/>
      <c r="F888" s="19"/>
      <c r="G888" s="19"/>
      <c r="H888" s="19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9"/>
      <c r="D889" s="19"/>
      <c r="E889" s="19"/>
      <c r="F889" s="19"/>
      <c r="G889" s="19"/>
      <c r="H889" s="19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9"/>
      <c r="D890" s="19"/>
      <c r="E890" s="19"/>
      <c r="F890" s="19"/>
      <c r="G890" s="19"/>
      <c r="H890" s="19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9"/>
      <c r="D891" s="19"/>
      <c r="E891" s="19"/>
      <c r="F891" s="19"/>
      <c r="G891" s="19"/>
      <c r="H891" s="19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9"/>
      <c r="D892" s="19"/>
      <c r="E892" s="19"/>
      <c r="F892" s="19"/>
      <c r="G892" s="19"/>
      <c r="H892" s="19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9"/>
      <c r="D893" s="19"/>
      <c r="E893" s="19"/>
      <c r="F893" s="19"/>
      <c r="G893" s="19"/>
      <c r="H893" s="19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9"/>
      <c r="D894" s="19"/>
      <c r="E894" s="19"/>
      <c r="F894" s="19"/>
      <c r="G894" s="19"/>
      <c r="H894" s="19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9"/>
      <c r="D895" s="19"/>
      <c r="E895" s="19"/>
      <c r="F895" s="19"/>
      <c r="G895" s="19"/>
      <c r="H895" s="19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9"/>
      <c r="D896" s="19"/>
      <c r="E896" s="19"/>
      <c r="F896" s="19"/>
      <c r="G896" s="19"/>
      <c r="H896" s="19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9"/>
      <c r="D897" s="19"/>
      <c r="E897" s="19"/>
      <c r="F897" s="19"/>
      <c r="G897" s="19"/>
      <c r="H897" s="19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9"/>
      <c r="D898" s="19"/>
      <c r="E898" s="19"/>
      <c r="F898" s="19"/>
      <c r="G898" s="19"/>
      <c r="H898" s="19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9"/>
      <c r="D899" s="19"/>
      <c r="E899" s="19"/>
      <c r="F899" s="19"/>
      <c r="G899" s="19"/>
      <c r="H899" s="19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9"/>
      <c r="D900" s="19"/>
      <c r="E900" s="19"/>
      <c r="F900" s="19"/>
      <c r="G900" s="19"/>
      <c r="H900" s="19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9"/>
      <c r="D901" s="19"/>
      <c r="E901" s="19"/>
      <c r="F901" s="19"/>
      <c r="G901" s="19"/>
      <c r="H901" s="19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9"/>
      <c r="D902" s="19"/>
      <c r="E902" s="19"/>
      <c r="F902" s="19"/>
      <c r="G902" s="19"/>
      <c r="H902" s="19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9"/>
      <c r="D903" s="19"/>
      <c r="E903" s="19"/>
      <c r="F903" s="19"/>
      <c r="G903" s="19"/>
      <c r="H903" s="19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9"/>
      <c r="D904" s="19"/>
      <c r="E904" s="19"/>
      <c r="F904" s="19"/>
      <c r="G904" s="19"/>
      <c r="H904" s="19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9"/>
      <c r="D905" s="19"/>
      <c r="E905" s="19"/>
      <c r="F905" s="19"/>
      <c r="G905" s="19"/>
      <c r="H905" s="19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9"/>
      <c r="D906" s="19"/>
      <c r="E906" s="19"/>
      <c r="F906" s="19"/>
      <c r="G906" s="19"/>
      <c r="H906" s="19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9"/>
      <c r="D907" s="19"/>
      <c r="E907" s="19"/>
      <c r="F907" s="19"/>
      <c r="G907" s="19"/>
      <c r="H907" s="19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9"/>
      <c r="D908" s="19"/>
      <c r="E908" s="19"/>
      <c r="F908" s="19"/>
      <c r="G908" s="19"/>
      <c r="H908" s="19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9"/>
      <c r="D909" s="19"/>
      <c r="E909" s="19"/>
      <c r="F909" s="19"/>
      <c r="G909" s="19"/>
      <c r="H909" s="19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9"/>
      <c r="D910" s="19"/>
      <c r="E910" s="19"/>
      <c r="F910" s="19"/>
      <c r="G910" s="19"/>
      <c r="H910" s="19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9"/>
      <c r="D911" s="19"/>
      <c r="E911" s="19"/>
      <c r="F911" s="19"/>
      <c r="G911" s="19"/>
      <c r="H911" s="19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9"/>
      <c r="D912" s="19"/>
      <c r="E912" s="19"/>
      <c r="F912" s="19"/>
      <c r="G912" s="19"/>
      <c r="H912" s="19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9"/>
      <c r="D913" s="19"/>
      <c r="E913" s="19"/>
      <c r="F913" s="19"/>
      <c r="G913" s="19"/>
      <c r="H913" s="19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9"/>
      <c r="D914" s="19"/>
      <c r="E914" s="19"/>
      <c r="F914" s="19"/>
      <c r="G914" s="19"/>
      <c r="H914" s="19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9"/>
      <c r="D915" s="19"/>
      <c r="E915" s="19"/>
      <c r="F915" s="19"/>
      <c r="G915" s="19"/>
      <c r="H915" s="19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9"/>
      <c r="D916" s="19"/>
      <c r="E916" s="19"/>
      <c r="F916" s="19"/>
      <c r="G916" s="19"/>
      <c r="H916" s="19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9"/>
      <c r="D917" s="19"/>
      <c r="E917" s="19"/>
      <c r="F917" s="19"/>
      <c r="G917" s="19"/>
      <c r="H917" s="19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9"/>
      <c r="D918" s="19"/>
      <c r="E918" s="19"/>
      <c r="F918" s="19"/>
      <c r="G918" s="19"/>
      <c r="H918" s="19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9"/>
      <c r="D919" s="19"/>
      <c r="E919" s="19"/>
      <c r="F919" s="19"/>
      <c r="G919" s="19"/>
      <c r="H919" s="19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9"/>
      <c r="D920" s="19"/>
      <c r="E920" s="19"/>
      <c r="F920" s="19"/>
      <c r="G920" s="19"/>
      <c r="H920" s="19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9"/>
      <c r="D921" s="19"/>
      <c r="E921" s="19"/>
      <c r="F921" s="19"/>
      <c r="G921" s="19"/>
      <c r="H921" s="19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9"/>
      <c r="D922" s="19"/>
      <c r="E922" s="19"/>
      <c r="F922" s="19"/>
      <c r="G922" s="19"/>
      <c r="H922" s="19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9"/>
      <c r="D923" s="19"/>
      <c r="E923" s="19"/>
      <c r="F923" s="19"/>
      <c r="G923" s="19"/>
      <c r="H923" s="19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9"/>
      <c r="D924" s="19"/>
      <c r="E924" s="19"/>
      <c r="F924" s="19"/>
      <c r="G924" s="19"/>
      <c r="H924" s="19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9"/>
      <c r="D925" s="19"/>
      <c r="E925" s="19"/>
      <c r="F925" s="19"/>
      <c r="G925" s="19"/>
      <c r="H925" s="19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9"/>
      <c r="D926" s="19"/>
      <c r="E926" s="19"/>
      <c r="F926" s="19"/>
      <c r="G926" s="19"/>
      <c r="H926" s="19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9"/>
      <c r="D927" s="19"/>
      <c r="E927" s="19"/>
      <c r="F927" s="19"/>
      <c r="G927" s="19"/>
      <c r="H927" s="19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9"/>
      <c r="D928" s="19"/>
      <c r="E928" s="19"/>
      <c r="F928" s="19"/>
      <c r="G928" s="19"/>
      <c r="H928" s="19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9"/>
      <c r="D929" s="19"/>
      <c r="E929" s="19"/>
      <c r="F929" s="19"/>
      <c r="G929" s="19"/>
      <c r="H929" s="19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9"/>
      <c r="D930" s="19"/>
      <c r="E930" s="19"/>
      <c r="F930" s="19"/>
      <c r="G930" s="19"/>
      <c r="H930" s="19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9"/>
      <c r="D931" s="19"/>
      <c r="E931" s="19"/>
      <c r="F931" s="19"/>
      <c r="G931" s="19"/>
      <c r="H931" s="19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9"/>
      <c r="D932" s="19"/>
      <c r="E932" s="19"/>
      <c r="F932" s="19"/>
      <c r="G932" s="19"/>
      <c r="H932" s="19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9"/>
      <c r="D933" s="19"/>
      <c r="E933" s="19"/>
      <c r="F933" s="19"/>
      <c r="G933" s="19"/>
      <c r="H933" s="19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9"/>
      <c r="D934" s="19"/>
      <c r="E934" s="19"/>
      <c r="F934" s="19"/>
      <c r="G934" s="19"/>
      <c r="H934" s="19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9"/>
      <c r="D935" s="19"/>
      <c r="E935" s="19"/>
      <c r="F935" s="19"/>
      <c r="G935" s="19"/>
      <c r="H935" s="19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9"/>
      <c r="D936" s="19"/>
      <c r="E936" s="19"/>
      <c r="F936" s="19"/>
      <c r="G936" s="19"/>
      <c r="H936" s="19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9"/>
      <c r="D937" s="19"/>
      <c r="E937" s="19"/>
      <c r="F937" s="19"/>
      <c r="G937" s="19"/>
      <c r="H937" s="19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9"/>
      <c r="D938" s="19"/>
      <c r="E938" s="19"/>
      <c r="F938" s="19"/>
      <c r="G938" s="19"/>
      <c r="H938" s="19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9"/>
      <c r="D939" s="19"/>
      <c r="E939" s="19"/>
      <c r="F939" s="19"/>
      <c r="G939" s="19"/>
      <c r="H939" s="19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9"/>
      <c r="D940" s="19"/>
      <c r="E940" s="19"/>
      <c r="F940" s="19"/>
      <c r="G940" s="19"/>
      <c r="H940" s="19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9"/>
      <c r="D941" s="19"/>
      <c r="E941" s="19"/>
      <c r="F941" s="19"/>
      <c r="G941" s="19"/>
      <c r="H941" s="19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9"/>
      <c r="D942" s="19"/>
      <c r="E942" s="19"/>
      <c r="F942" s="19"/>
      <c r="G942" s="19"/>
      <c r="H942" s="19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9"/>
      <c r="D943" s="19"/>
      <c r="E943" s="19"/>
      <c r="F943" s="19"/>
      <c r="G943" s="19"/>
      <c r="H943" s="19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9"/>
      <c r="D944" s="19"/>
      <c r="E944" s="19"/>
      <c r="F944" s="19"/>
      <c r="G944" s="19"/>
      <c r="H944" s="19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9"/>
      <c r="D945" s="19"/>
      <c r="E945" s="19"/>
      <c r="F945" s="19"/>
      <c r="G945" s="19"/>
      <c r="H945" s="19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9"/>
      <c r="D946" s="19"/>
      <c r="E946" s="19"/>
      <c r="F946" s="19"/>
      <c r="G946" s="19"/>
      <c r="H946" s="19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9"/>
      <c r="D947" s="19"/>
      <c r="E947" s="19"/>
      <c r="F947" s="19"/>
      <c r="G947" s="19"/>
      <c r="H947" s="19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9"/>
      <c r="D948" s="19"/>
      <c r="E948" s="19"/>
      <c r="F948" s="19"/>
      <c r="G948" s="19"/>
      <c r="H948" s="19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9"/>
      <c r="D949" s="19"/>
      <c r="E949" s="19"/>
      <c r="F949" s="19"/>
      <c r="G949" s="19"/>
      <c r="H949" s="19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9"/>
      <c r="D950" s="19"/>
      <c r="E950" s="19"/>
      <c r="F950" s="19"/>
      <c r="G950" s="19"/>
      <c r="H950" s="19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9"/>
      <c r="D951" s="19"/>
      <c r="E951" s="19"/>
      <c r="F951" s="19"/>
      <c r="G951" s="19"/>
      <c r="H951" s="19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9"/>
      <c r="D952" s="19"/>
      <c r="E952" s="19"/>
      <c r="F952" s="19"/>
      <c r="G952" s="19"/>
      <c r="H952" s="19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9"/>
      <c r="D953" s="19"/>
      <c r="E953" s="19"/>
      <c r="F953" s="19"/>
      <c r="G953" s="19"/>
      <c r="H953" s="19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9"/>
      <c r="D954" s="19"/>
      <c r="E954" s="19"/>
      <c r="F954" s="19"/>
      <c r="G954" s="19"/>
      <c r="H954" s="19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9"/>
      <c r="D955" s="19"/>
      <c r="E955" s="19"/>
      <c r="F955" s="19"/>
      <c r="G955" s="19"/>
      <c r="H955" s="19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9"/>
      <c r="D956" s="19"/>
      <c r="E956" s="19"/>
      <c r="F956" s="19"/>
      <c r="G956" s="19"/>
      <c r="H956" s="19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9"/>
      <c r="D957" s="19"/>
      <c r="E957" s="19"/>
      <c r="F957" s="19"/>
      <c r="G957" s="19"/>
      <c r="H957" s="19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9"/>
      <c r="D958" s="19"/>
      <c r="E958" s="19"/>
      <c r="F958" s="19"/>
      <c r="G958" s="19"/>
      <c r="H958" s="19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9"/>
      <c r="D959" s="19"/>
      <c r="E959" s="19"/>
      <c r="F959" s="19"/>
      <c r="G959" s="19"/>
      <c r="H959" s="19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9"/>
      <c r="D960" s="19"/>
      <c r="E960" s="19"/>
      <c r="F960" s="19"/>
      <c r="G960" s="19"/>
      <c r="H960" s="19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9"/>
      <c r="D961" s="19"/>
      <c r="E961" s="19"/>
      <c r="F961" s="19"/>
      <c r="G961" s="19"/>
      <c r="H961" s="19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9"/>
      <c r="D962" s="19"/>
      <c r="E962" s="19"/>
      <c r="F962" s="19"/>
      <c r="G962" s="19"/>
      <c r="H962" s="19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9"/>
      <c r="D963" s="19"/>
      <c r="E963" s="19"/>
      <c r="F963" s="19"/>
      <c r="G963" s="19"/>
      <c r="H963" s="19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9"/>
      <c r="D964" s="19"/>
      <c r="E964" s="19"/>
      <c r="F964" s="19"/>
      <c r="G964" s="19"/>
      <c r="H964" s="19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9"/>
      <c r="D965" s="19"/>
      <c r="E965" s="19"/>
      <c r="F965" s="19"/>
      <c r="G965" s="19"/>
      <c r="H965" s="19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9"/>
      <c r="D966" s="19"/>
      <c r="E966" s="19"/>
      <c r="F966" s="19"/>
      <c r="G966" s="19"/>
      <c r="H966" s="19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9"/>
      <c r="D967" s="19"/>
      <c r="E967" s="19"/>
      <c r="F967" s="19"/>
      <c r="G967" s="19"/>
      <c r="H967" s="19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9"/>
      <c r="D968" s="19"/>
      <c r="E968" s="19"/>
      <c r="F968" s="19"/>
      <c r="G968" s="19"/>
      <c r="H968" s="19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9"/>
      <c r="D969" s="19"/>
      <c r="E969" s="19"/>
      <c r="F969" s="19"/>
      <c r="G969" s="19"/>
      <c r="H969" s="19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9"/>
      <c r="D970" s="19"/>
      <c r="E970" s="19"/>
      <c r="F970" s="19"/>
      <c r="G970" s="19"/>
      <c r="H970" s="19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9"/>
      <c r="D971" s="19"/>
      <c r="E971" s="19"/>
      <c r="F971" s="19"/>
      <c r="G971" s="19"/>
      <c r="H971" s="19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19"/>
      <c r="D972" s="19"/>
      <c r="E972" s="19"/>
      <c r="F972" s="19"/>
      <c r="G972" s="19"/>
      <c r="H972" s="19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19"/>
      <c r="D973" s="19"/>
      <c r="E973" s="19"/>
      <c r="F973" s="19"/>
      <c r="G973" s="19"/>
      <c r="H973" s="19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19"/>
      <c r="D974" s="19"/>
      <c r="E974" s="19"/>
      <c r="F974" s="19"/>
      <c r="G974" s="19"/>
      <c r="H974" s="19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19"/>
      <c r="D975" s="19"/>
      <c r="E975" s="19"/>
      <c r="F975" s="19"/>
      <c r="G975" s="19"/>
      <c r="H975" s="19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19"/>
      <c r="D976" s="19"/>
      <c r="E976" s="19"/>
      <c r="F976" s="19"/>
      <c r="G976" s="19"/>
      <c r="H976" s="19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19"/>
      <c r="D977" s="19"/>
      <c r="E977" s="19"/>
      <c r="F977" s="19"/>
      <c r="G977" s="19"/>
      <c r="H977" s="19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19"/>
      <c r="D978" s="19"/>
      <c r="E978" s="19"/>
      <c r="F978" s="19"/>
      <c r="G978" s="19"/>
      <c r="H978" s="19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19"/>
      <c r="D979" s="19"/>
      <c r="E979" s="19"/>
      <c r="F979" s="19"/>
      <c r="G979" s="19"/>
      <c r="H979" s="19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19"/>
      <c r="D980" s="19"/>
      <c r="E980" s="19"/>
      <c r="F980" s="19"/>
      <c r="G980" s="19"/>
      <c r="H980" s="19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19"/>
      <c r="D981" s="19"/>
      <c r="E981" s="19"/>
      <c r="F981" s="19"/>
      <c r="G981" s="19"/>
      <c r="H981" s="19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19"/>
      <c r="D982" s="19"/>
      <c r="E982" s="19"/>
      <c r="F982" s="19"/>
      <c r="G982" s="19"/>
      <c r="H982" s="19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19"/>
      <c r="D983" s="19"/>
      <c r="E983" s="19"/>
      <c r="F983" s="19"/>
      <c r="G983" s="19"/>
      <c r="H983" s="19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19"/>
      <c r="D984" s="19"/>
      <c r="E984" s="19"/>
      <c r="F984" s="19"/>
      <c r="G984" s="19"/>
      <c r="H984" s="19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19"/>
      <c r="D985" s="19"/>
      <c r="E985" s="19"/>
      <c r="F985" s="19"/>
      <c r="G985" s="19"/>
      <c r="H985" s="19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19"/>
      <c r="D986" s="19"/>
      <c r="E986" s="19"/>
      <c r="F986" s="19"/>
      <c r="G986" s="19"/>
      <c r="H986" s="19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19"/>
      <c r="D987" s="19"/>
      <c r="E987" s="19"/>
      <c r="F987" s="19"/>
      <c r="G987" s="19"/>
      <c r="H987" s="19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19"/>
      <c r="D988" s="19"/>
      <c r="E988" s="19"/>
      <c r="F988" s="19"/>
      <c r="G988" s="19"/>
      <c r="H988" s="19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19"/>
      <c r="D989" s="19"/>
      <c r="E989" s="19"/>
      <c r="F989" s="19"/>
      <c r="G989" s="19"/>
      <c r="H989" s="19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19"/>
      <c r="D990" s="19"/>
      <c r="E990" s="19"/>
      <c r="F990" s="19"/>
      <c r="G990" s="19"/>
      <c r="H990" s="19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19"/>
      <c r="D991" s="19"/>
      <c r="E991" s="19"/>
      <c r="F991" s="19"/>
      <c r="G991" s="19"/>
      <c r="H991" s="19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19"/>
      <c r="D992" s="19"/>
      <c r="E992" s="19"/>
      <c r="F992" s="19"/>
      <c r="G992" s="19"/>
      <c r="H992" s="19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19"/>
      <c r="D993" s="19"/>
      <c r="E993" s="19"/>
      <c r="F993" s="19"/>
      <c r="G993" s="19"/>
      <c r="H993" s="19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19"/>
      <c r="D994" s="19"/>
      <c r="E994" s="19"/>
      <c r="F994" s="19"/>
      <c r="G994" s="19"/>
      <c r="H994" s="19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19"/>
      <c r="D995" s="19"/>
      <c r="E995" s="19"/>
      <c r="F995" s="19"/>
      <c r="G995" s="19"/>
      <c r="H995" s="19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19"/>
      <c r="D996" s="19"/>
      <c r="E996" s="19"/>
      <c r="F996" s="19"/>
      <c r="G996" s="19"/>
      <c r="H996" s="19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19"/>
      <c r="D997" s="19"/>
      <c r="E997" s="19"/>
      <c r="F997" s="19"/>
      <c r="G997" s="19"/>
      <c r="H997" s="19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19"/>
      <c r="D998" s="19"/>
      <c r="E998" s="19"/>
      <c r="F998" s="19"/>
      <c r="G998" s="19"/>
      <c r="H998" s="19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19"/>
      <c r="D999" s="19"/>
      <c r="E999" s="19"/>
      <c r="F999" s="19"/>
      <c r="G999" s="19"/>
      <c r="H999" s="19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B1000" s="13"/>
      <c r="C1000" s="19"/>
      <c r="D1000" s="19"/>
      <c r="E1000" s="19"/>
      <c r="F1000" s="19"/>
      <c r="G1000" s="19"/>
      <c r="H1000" s="19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5.75" customHeight="1">
      <c r="A1001" s="13"/>
      <c r="B1001" s="13"/>
      <c r="C1001" s="19"/>
      <c r="D1001" s="19"/>
      <c r="E1001" s="19"/>
      <c r="F1001" s="19"/>
      <c r="G1001" s="19"/>
      <c r="H1001" s="19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15.75" customHeight="1">
      <c r="A1002" s="13"/>
      <c r="B1002" s="13"/>
      <c r="C1002" s="19"/>
      <c r="D1002" s="19"/>
      <c r="E1002" s="19"/>
      <c r="F1002" s="19"/>
      <c r="G1002" s="19"/>
      <c r="H1002" s="19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  <row r="1003" spans="1:26" ht="15" customHeight="1">
      <c r="B1003" s="13"/>
      <c r="C1003" s="19"/>
      <c r="D1003" s="19"/>
      <c r="E1003" s="19"/>
      <c r="F1003" s="19"/>
      <c r="G1003" s="19"/>
      <c r="H1003" s="19"/>
      <c r="I1003" s="13"/>
    </row>
  </sheetData>
  <pageMargins left="0.7" right="0.7" top="0.75" bottom="0.75" header="0" footer="0"/>
  <pageSetup orientation="landscape"/>
  <drawing r:id="rId1"/>
  <tableParts count="4">
    <tablePart r:id="rId2"/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Z902"/>
  <sheetViews>
    <sheetView showGridLines="0" topLeftCell="A23" workbookViewId="0">
      <selection activeCell="D70" sqref="D70"/>
    </sheetView>
  </sheetViews>
  <sheetFormatPr defaultColWidth="14.42578125" defaultRowHeight="15" customHeight="1"/>
  <cols>
    <col min="1" max="1" width="11.42578125" customWidth="1"/>
    <col min="2" max="2" width="49.140625" customWidth="1"/>
    <col min="3" max="3" width="17.7109375" customWidth="1"/>
    <col min="4" max="4" width="18.140625" customWidth="1"/>
    <col min="5" max="5" width="19.7109375" customWidth="1"/>
    <col min="6" max="6" width="18.85546875" customWidth="1"/>
    <col min="7" max="7" width="19.140625" customWidth="1"/>
    <col min="8" max="8" width="17.28515625" bestFit="1" customWidth="1"/>
    <col min="9" max="9" width="13.85546875" customWidth="1"/>
    <col min="10" max="10" width="15.28515625" customWidth="1"/>
    <col min="11" max="11" width="27.28515625" bestFit="1" customWidth="1"/>
    <col min="12" max="12" width="12.42578125" customWidth="1"/>
    <col min="13" max="26" width="11.42578125" customWidth="1"/>
  </cols>
  <sheetData>
    <row r="1" spans="1:26" ht="15.75">
      <c r="A1" s="13"/>
      <c r="B1" s="140"/>
      <c r="C1" s="140"/>
      <c r="D1" s="142"/>
      <c r="E1" s="140"/>
      <c r="F1" s="139"/>
      <c r="G1" s="142"/>
      <c r="H1" s="140"/>
      <c r="I1" s="140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3"/>
      <c r="B2" s="158" t="s">
        <v>208</v>
      </c>
      <c r="C2" s="140"/>
      <c r="D2" s="142"/>
      <c r="E2" s="140"/>
      <c r="F2" s="139"/>
      <c r="G2" s="142"/>
      <c r="H2" s="140"/>
      <c r="I2" s="140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3"/>
      <c r="B3" s="158" t="s">
        <v>87</v>
      </c>
      <c r="C3" s="158" t="s">
        <v>209</v>
      </c>
      <c r="D3" s="142"/>
      <c r="E3" s="140"/>
      <c r="F3" s="139"/>
      <c r="G3" s="142"/>
      <c r="H3" s="140"/>
      <c r="I3" s="140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3"/>
      <c r="B4" s="140"/>
      <c r="C4" s="140"/>
      <c r="D4" s="142"/>
      <c r="E4" s="239"/>
      <c r="F4" s="139"/>
      <c r="G4" s="142"/>
      <c r="H4" s="239"/>
      <c r="I4" s="239"/>
      <c r="J4" s="25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>
      <c r="A5" s="13"/>
      <c r="B5" s="140" t="s">
        <v>210</v>
      </c>
      <c r="C5" s="140"/>
      <c r="D5" s="142"/>
      <c r="E5" s="140"/>
      <c r="F5" s="139"/>
      <c r="G5" s="142"/>
      <c r="H5" s="239"/>
      <c r="I5" s="239"/>
      <c r="J5" s="25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3"/>
      <c r="B6" s="140"/>
      <c r="C6" s="154"/>
      <c r="D6" s="211"/>
      <c r="E6" s="178"/>
      <c r="F6" s="240"/>
      <c r="G6" s="211"/>
      <c r="H6" s="239"/>
      <c r="I6" s="241"/>
      <c r="J6" s="26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31.5">
      <c r="A7" s="13"/>
      <c r="B7" s="242" t="s">
        <v>211</v>
      </c>
      <c r="C7" s="242" t="s">
        <v>212</v>
      </c>
      <c r="D7" s="243" t="s">
        <v>213</v>
      </c>
      <c r="E7" s="244" t="s">
        <v>214</v>
      </c>
      <c r="F7" s="243" t="s">
        <v>215</v>
      </c>
      <c r="G7" s="245" t="s">
        <v>216</v>
      </c>
      <c r="H7" s="244" t="s">
        <v>217</v>
      </c>
      <c r="I7" s="241"/>
      <c r="J7" s="26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>
      <c r="A8" s="13"/>
      <c r="B8" s="246" t="s">
        <v>218</v>
      </c>
      <c r="C8" s="246" t="s">
        <v>219</v>
      </c>
      <c r="D8" s="247">
        <v>20.399999999999999</v>
      </c>
      <c r="E8" s="248">
        <f>+D8*VentasMes!$L$2</f>
        <v>293760</v>
      </c>
      <c r="F8" s="247">
        <v>12.8</v>
      </c>
      <c r="G8" s="248">
        <f>F8*VentasMes!$L$3</f>
        <v>122880</v>
      </c>
      <c r="H8" s="247">
        <f t="shared" ref="H8:H26" si="0">E8+G8</f>
        <v>416640</v>
      </c>
      <c r="I8" s="241"/>
      <c r="J8" s="26"/>
      <c r="K8" s="133"/>
      <c r="L8" s="136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3"/>
      <c r="B9" s="249" t="s">
        <v>220</v>
      </c>
      <c r="C9" s="249" t="s">
        <v>221</v>
      </c>
      <c r="D9" s="250">
        <v>720</v>
      </c>
      <c r="E9" s="248">
        <f>+D9*VentasMes!$L$2</f>
        <v>10368000</v>
      </c>
      <c r="F9" s="250">
        <v>460</v>
      </c>
      <c r="G9" s="248">
        <f>F9*VentasMes!$L$3</f>
        <v>4416000</v>
      </c>
      <c r="H9" s="250">
        <f t="shared" si="0"/>
        <v>14784000</v>
      </c>
      <c r="I9" s="241"/>
      <c r="J9" s="26"/>
      <c r="K9" s="137"/>
      <c r="L9" s="136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>
      <c r="A10" s="13"/>
      <c r="B10" s="246" t="s">
        <v>222</v>
      </c>
      <c r="C10" s="246" t="s">
        <v>219</v>
      </c>
      <c r="D10" s="247">
        <v>480.35</v>
      </c>
      <c r="E10" s="248">
        <f>+D10*VentasMes!$L$2</f>
        <v>6917040</v>
      </c>
      <c r="F10" s="247">
        <v>307</v>
      </c>
      <c r="G10" s="248">
        <f>F10*VentasMes!$L$3</f>
        <v>2947200</v>
      </c>
      <c r="H10" s="247">
        <f t="shared" si="0"/>
        <v>9864240</v>
      </c>
      <c r="I10" s="140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>
      <c r="A11" s="13"/>
      <c r="B11" s="249" t="s">
        <v>223</v>
      </c>
      <c r="C11" s="249" t="s">
        <v>219</v>
      </c>
      <c r="D11" s="250">
        <v>800</v>
      </c>
      <c r="E11" s="248">
        <f>+D11*VentasMes!$L$2</f>
        <v>11520000</v>
      </c>
      <c r="F11" s="250">
        <v>512</v>
      </c>
      <c r="G11" s="248">
        <f>F11*VentasMes!$L$3</f>
        <v>4915200</v>
      </c>
      <c r="H11" s="250">
        <f t="shared" si="0"/>
        <v>16435200</v>
      </c>
      <c r="I11" s="140"/>
      <c r="J11" s="13"/>
      <c r="K11" s="137"/>
      <c r="L11" s="134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>
      <c r="A12" s="13"/>
      <c r="B12" s="246" t="s">
        <v>224</v>
      </c>
      <c r="C12" s="246" t="s">
        <v>219</v>
      </c>
      <c r="D12" s="247">
        <v>700</v>
      </c>
      <c r="E12" s="248">
        <f>+D12*VentasMes!$L$2</f>
        <v>10080000</v>
      </c>
      <c r="F12" s="247">
        <v>448</v>
      </c>
      <c r="G12" s="248">
        <f>F12*VentasMes!$L$3</f>
        <v>4300800</v>
      </c>
      <c r="H12" s="247">
        <f t="shared" si="0"/>
        <v>14380800</v>
      </c>
      <c r="I12" s="142"/>
      <c r="J12" s="13"/>
      <c r="K12" s="137"/>
      <c r="L12" s="135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>
      <c r="A13" s="13"/>
      <c r="B13" s="249" t="s">
        <v>225</v>
      </c>
      <c r="C13" s="249" t="s">
        <v>219</v>
      </c>
      <c r="D13" s="250">
        <v>700</v>
      </c>
      <c r="E13" s="248">
        <f>+D13*VentasMes!$L$2</f>
        <v>10080000</v>
      </c>
      <c r="F13" s="250">
        <v>19.2</v>
      </c>
      <c r="G13" s="248">
        <f>F13*VentasMes!$L$3</f>
        <v>184320</v>
      </c>
      <c r="H13" s="250">
        <f t="shared" si="0"/>
        <v>10264320</v>
      </c>
      <c r="I13" s="251"/>
      <c r="J13" s="25"/>
      <c r="K13" s="137"/>
      <c r="L13" s="135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>
      <c r="A14" s="13"/>
      <c r="B14" s="246" t="s">
        <v>226</v>
      </c>
      <c r="C14" s="246" t="s">
        <v>219</v>
      </c>
      <c r="D14" s="247">
        <v>400</v>
      </c>
      <c r="E14" s="248">
        <f>+D14*VentasMes!$L$2</f>
        <v>5760000</v>
      </c>
      <c r="F14" s="247">
        <v>256</v>
      </c>
      <c r="G14" s="248">
        <f>F14*VentasMes!$L$3</f>
        <v>2457600</v>
      </c>
      <c r="H14" s="247">
        <f t="shared" si="0"/>
        <v>8217600</v>
      </c>
      <c r="I14" s="140"/>
      <c r="J14" s="13"/>
      <c r="K14" s="137"/>
      <c r="L14" s="135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>
      <c r="A15" s="13"/>
      <c r="B15" s="249" t="s">
        <v>227</v>
      </c>
      <c r="C15" s="249" t="s">
        <v>219</v>
      </c>
      <c r="D15" s="250">
        <v>150</v>
      </c>
      <c r="E15" s="248">
        <f>+D15*VentasMes!$L$2</f>
        <v>2160000</v>
      </c>
      <c r="F15" s="250">
        <v>96</v>
      </c>
      <c r="G15" s="248">
        <f>F15*VentasMes!$L$3</f>
        <v>921600</v>
      </c>
      <c r="H15" s="250">
        <f t="shared" si="0"/>
        <v>3081600</v>
      </c>
      <c r="I15" s="210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>
      <c r="A16" s="13"/>
      <c r="B16" s="246" t="s">
        <v>228</v>
      </c>
      <c r="C16" s="246" t="s">
        <v>219</v>
      </c>
      <c r="D16" s="247">
        <v>900</v>
      </c>
      <c r="E16" s="248">
        <f>+D16*VentasMes!$L$2</f>
        <v>12960000</v>
      </c>
      <c r="F16" s="247">
        <v>576</v>
      </c>
      <c r="G16" s="248">
        <f>F16*VentasMes!$L$3</f>
        <v>5529600</v>
      </c>
      <c r="H16" s="247">
        <f t="shared" si="0"/>
        <v>18489600</v>
      </c>
      <c r="I16" s="140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>
      <c r="A17" s="13"/>
      <c r="B17" s="249" t="s">
        <v>229</v>
      </c>
      <c r="C17" s="249" t="s">
        <v>219</v>
      </c>
      <c r="D17" s="250">
        <v>15</v>
      </c>
      <c r="E17" s="248">
        <f>+D17*VentasMes!$L$2</f>
        <v>216000</v>
      </c>
      <c r="F17" s="250">
        <v>6</v>
      </c>
      <c r="G17" s="248">
        <f>F17*VentasMes!$L$3</f>
        <v>57600</v>
      </c>
      <c r="H17" s="250">
        <f t="shared" si="0"/>
        <v>273600</v>
      </c>
      <c r="I17" s="140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>
      <c r="A18" s="13"/>
      <c r="B18" s="246" t="s">
        <v>230</v>
      </c>
      <c r="C18" s="246" t="s">
        <v>219</v>
      </c>
      <c r="D18" s="247">
        <v>10</v>
      </c>
      <c r="E18" s="248">
        <f>+D18*VentasMes!$L$2</f>
        <v>144000</v>
      </c>
      <c r="F18" s="247">
        <v>5</v>
      </c>
      <c r="G18" s="248">
        <f>F18*VentasMes!$L$3</f>
        <v>48000</v>
      </c>
      <c r="H18" s="247">
        <f t="shared" si="0"/>
        <v>192000</v>
      </c>
      <c r="I18" s="142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>
      <c r="A19" s="13"/>
      <c r="B19" s="249" t="s">
        <v>231</v>
      </c>
      <c r="C19" s="249" t="s">
        <v>219</v>
      </c>
      <c r="D19" s="250">
        <v>40</v>
      </c>
      <c r="E19" s="248">
        <f>+D19*VentasMes!$L$2</f>
        <v>576000</v>
      </c>
      <c r="F19" s="250">
        <v>25</v>
      </c>
      <c r="G19" s="248">
        <f>F19*VentasMes!$L$3</f>
        <v>240000</v>
      </c>
      <c r="H19" s="250">
        <f t="shared" si="0"/>
        <v>816000</v>
      </c>
      <c r="I19" s="142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>
      <c r="A20" s="13"/>
      <c r="B20" s="246" t="s">
        <v>232</v>
      </c>
      <c r="C20" s="246" t="s">
        <v>219</v>
      </c>
      <c r="D20" s="247">
        <v>175</v>
      </c>
      <c r="E20" s="248">
        <f>+D20*VentasMes!$L$2</f>
        <v>2520000</v>
      </c>
      <c r="F20" s="247">
        <v>112</v>
      </c>
      <c r="G20" s="248">
        <f>F20*VentasMes!$L$3</f>
        <v>1075200</v>
      </c>
      <c r="H20" s="247">
        <f t="shared" si="0"/>
        <v>3595200</v>
      </c>
      <c r="I20" s="142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>
      <c r="A21" s="13"/>
      <c r="B21" s="249" t="s">
        <v>233</v>
      </c>
      <c r="C21" s="249" t="s">
        <v>219</v>
      </c>
      <c r="D21" s="250">
        <v>600</v>
      </c>
      <c r="E21" s="248">
        <f>+D21*VentasMes!$L$2</f>
        <v>8640000</v>
      </c>
      <c r="F21" s="250">
        <v>384</v>
      </c>
      <c r="G21" s="248">
        <f>F21*VentasMes!$L$3</f>
        <v>3686400</v>
      </c>
      <c r="H21" s="250">
        <f t="shared" si="0"/>
        <v>12326400</v>
      </c>
      <c r="I21" s="142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>
      <c r="A22" s="13"/>
      <c r="B22" s="246" t="s">
        <v>234</v>
      </c>
      <c r="C22" s="246" t="s">
        <v>219</v>
      </c>
      <c r="D22" s="247">
        <v>900</v>
      </c>
      <c r="E22" s="248">
        <f>+D22*VentasMes!$L$2</f>
        <v>12960000</v>
      </c>
      <c r="F22" s="247">
        <v>570</v>
      </c>
      <c r="G22" s="248">
        <f>F22*VentasMes!$L$3</f>
        <v>5472000</v>
      </c>
      <c r="H22" s="247">
        <f t="shared" si="0"/>
        <v>18432000</v>
      </c>
      <c r="I22" s="142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>
      <c r="A23" s="13"/>
      <c r="B23" s="249" t="s">
        <v>235</v>
      </c>
      <c r="C23" s="249" t="s">
        <v>236</v>
      </c>
      <c r="D23" s="250">
        <v>2000</v>
      </c>
      <c r="E23" s="248">
        <f>+D23*VentasMes!$L$2</f>
        <v>28800000</v>
      </c>
      <c r="F23" s="250"/>
      <c r="G23" s="250"/>
      <c r="H23" s="250">
        <f t="shared" si="0"/>
        <v>28800000</v>
      </c>
      <c r="I23" s="142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>
      <c r="A24" s="13"/>
      <c r="B24" s="246" t="s">
        <v>237</v>
      </c>
      <c r="C24" s="246" t="s">
        <v>236</v>
      </c>
      <c r="D24" s="247">
        <v>400</v>
      </c>
      <c r="E24" s="248">
        <f>+D24*VentasMes!$L$2</f>
        <v>5760000</v>
      </c>
      <c r="F24" s="247"/>
      <c r="G24" s="247"/>
      <c r="H24" s="247">
        <f t="shared" si="0"/>
        <v>5760000</v>
      </c>
      <c r="I24" s="142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>
      <c r="A25" s="13"/>
      <c r="B25" s="249" t="s">
        <v>238</v>
      </c>
      <c r="C25" s="249" t="s">
        <v>236</v>
      </c>
      <c r="D25" s="250">
        <v>300</v>
      </c>
      <c r="E25" s="248">
        <f>+D25*VentasMes!$L$2</f>
        <v>4320000</v>
      </c>
      <c r="F25" s="250"/>
      <c r="G25" s="250"/>
      <c r="H25" s="250">
        <f t="shared" si="0"/>
        <v>4320000</v>
      </c>
      <c r="I25" s="142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>
      <c r="A26" s="13"/>
      <c r="B26" s="246" t="s">
        <v>239</v>
      </c>
      <c r="C26" s="246" t="s">
        <v>236</v>
      </c>
      <c r="D26" s="247"/>
      <c r="E26" s="247"/>
      <c r="F26" s="247"/>
      <c r="G26" s="247">
        <f>F26*8736</f>
        <v>0</v>
      </c>
      <c r="H26" s="247">
        <f t="shared" si="0"/>
        <v>0</v>
      </c>
      <c r="I26" s="142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>
      <c r="A27" s="13"/>
      <c r="B27" s="92" t="s">
        <v>240</v>
      </c>
      <c r="C27" s="92"/>
      <c r="D27" s="93">
        <f>SUM(D8:D26)</f>
        <v>9310.75</v>
      </c>
      <c r="E27" s="93">
        <f>SUM(E8:E25)</f>
        <v>134074800</v>
      </c>
      <c r="F27" s="93">
        <f>SUM(F8:F22)</f>
        <v>3789</v>
      </c>
      <c r="G27" s="93">
        <f>SUM(G8:G26)</f>
        <v>36374400</v>
      </c>
      <c r="H27" s="414">
        <f>SUM(H8:H26)</f>
        <v>170449200</v>
      </c>
      <c r="I27" s="140"/>
      <c r="J27" s="67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>
      <c r="A28" s="13"/>
      <c r="B28" s="94" t="s">
        <v>241</v>
      </c>
      <c r="C28" s="95"/>
      <c r="D28" s="95"/>
      <c r="E28" s="96">
        <f>E27/12</f>
        <v>11172900</v>
      </c>
      <c r="F28" s="97"/>
      <c r="G28" s="97">
        <f>G27/12</f>
        <v>3031200</v>
      </c>
      <c r="H28" s="98">
        <f>(H27/12)</f>
        <v>14204100</v>
      </c>
      <c r="I28" s="140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3"/>
      <c r="B29" s="140"/>
      <c r="C29" s="140"/>
      <c r="D29" s="142"/>
      <c r="E29" s="140"/>
      <c r="F29" s="139"/>
      <c r="G29" s="142"/>
      <c r="H29" s="252"/>
      <c r="I29" s="140"/>
      <c r="J29" s="67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3"/>
      <c r="B30" s="140" t="s">
        <v>242</v>
      </c>
      <c r="C30" s="140"/>
      <c r="D30" s="142"/>
      <c r="E30" s="140"/>
      <c r="F30" s="139"/>
      <c r="G30" s="142"/>
      <c r="H30" s="140"/>
      <c r="I30" s="140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3"/>
      <c r="B31" s="140" t="s">
        <v>120</v>
      </c>
      <c r="C31" s="154" t="s">
        <v>243</v>
      </c>
      <c r="D31" s="211" t="s">
        <v>121</v>
      </c>
      <c r="E31" s="178" t="s">
        <v>244</v>
      </c>
      <c r="F31" s="139" t="s">
        <v>40</v>
      </c>
      <c r="G31" s="211" t="s">
        <v>51</v>
      </c>
      <c r="H31" s="140"/>
      <c r="I31" s="140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3"/>
      <c r="B32" s="140" t="s">
        <v>245</v>
      </c>
      <c r="C32" s="154" t="s">
        <v>246</v>
      </c>
      <c r="D32" s="211">
        <v>2</v>
      </c>
      <c r="E32" s="154" t="s">
        <v>236</v>
      </c>
      <c r="F32" s="139">
        <v>13000</v>
      </c>
      <c r="G32" s="211">
        <f t="shared" ref="G32:G37" si="1">(F32*D32)</f>
        <v>26000</v>
      </c>
      <c r="H32" s="140"/>
      <c r="I32" s="140"/>
      <c r="J32" s="67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3"/>
      <c r="B33" s="140" t="s">
        <v>247</v>
      </c>
      <c r="C33" s="154" t="s">
        <v>246</v>
      </c>
      <c r="D33" s="211">
        <v>10</v>
      </c>
      <c r="E33" s="154" t="s">
        <v>248</v>
      </c>
      <c r="F33" s="139">
        <v>700</v>
      </c>
      <c r="G33" s="211">
        <f t="shared" si="1"/>
        <v>7000</v>
      </c>
      <c r="H33" s="140"/>
      <c r="I33" s="140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3"/>
      <c r="B34" s="140" t="s">
        <v>249</v>
      </c>
      <c r="C34" s="154" t="s">
        <v>250</v>
      </c>
      <c r="D34" s="211">
        <v>4</v>
      </c>
      <c r="E34" s="154" t="s">
        <v>248</v>
      </c>
      <c r="F34" s="139">
        <v>15000</v>
      </c>
      <c r="G34" s="211">
        <f t="shared" si="1"/>
        <v>60000</v>
      </c>
      <c r="H34" s="140"/>
      <c r="I34" s="140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3"/>
      <c r="B35" s="140" t="s">
        <v>251</v>
      </c>
      <c r="C35" s="154" t="s">
        <v>250</v>
      </c>
      <c r="D35" s="211">
        <v>2</v>
      </c>
      <c r="E35" s="154" t="s">
        <v>248</v>
      </c>
      <c r="F35" s="139">
        <v>7000</v>
      </c>
      <c r="G35" s="211">
        <f t="shared" si="1"/>
        <v>14000</v>
      </c>
      <c r="H35" s="140"/>
      <c r="I35" s="140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3"/>
      <c r="B36" s="140" t="s">
        <v>252</v>
      </c>
      <c r="C36" s="154" t="s">
        <v>250</v>
      </c>
      <c r="D36" s="211">
        <v>2</v>
      </c>
      <c r="E36" s="154" t="s">
        <v>248</v>
      </c>
      <c r="F36" s="139">
        <v>5000</v>
      </c>
      <c r="G36" s="211">
        <f t="shared" si="1"/>
        <v>10000</v>
      </c>
      <c r="H36" s="140"/>
      <c r="I36" s="140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3"/>
      <c r="B37" s="140" t="s">
        <v>253</v>
      </c>
      <c r="C37" s="154" t="s">
        <v>246</v>
      </c>
      <c r="D37" s="211">
        <v>12</v>
      </c>
      <c r="E37" s="154" t="s">
        <v>236</v>
      </c>
      <c r="F37" s="139">
        <v>1000</v>
      </c>
      <c r="G37" s="211">
        <f t="shared" si="1"/>
        <v>12000</v>
      </c>
      <c r="H37" s="140"/>
      <c r="I37" s="140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3"/>
      <c r="B38" s="140" t="s">
        <v>51</v>
      </c>
      <c r="C38" s="154"/>
      <c r="D38" s="211">
        <f>SUM(D32:D37)</f>
        <v>32</v>
      </c>
      <c r="E38" s="154"/>
      <c r="F38" s="139"/>
      <c r="G38" s="211">
        <f>SUM(G32:G37)</f>
        <v>129000</v>
      </c>
      <c r="H38" s="140"/>
      <c r="I38" s="140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3"/>
      <c r="B39" s="99" t="s">
        <v>254</v>
      </c>
      <c r="C39" s="100"/>
      <c r="D39" s="100"/>
      <c r="E39" s="100"/>
      <c r="F39" s="100"/>
      <c r="G39" s="101">
        <f>SUM(F32:F37)</f>
        <v>41700</v>
      </c>
      <c r="H39" s="140"/>
      <c r="I39" s="140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3"/>
      <c r="B40" s="99" t="s">
        <v>104</v>
      </c>
      <c r="C40" s="100"/>
      <c r="D40" s="100"/>
      <c r="E40" s="100"/>
      <c r="F40" s="100"/>
      <c r="G40" s="101">
        <f>(G32*12)+(G33*12)+(G37*12)+(G34+G35+G36)</f>
        <v>624000</v>
      </c>
      <c r="H40" s="140"/>
      <c r="I40" s="140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3"/>
      <c r="B41" s="140"/>
      <c r="C41" s="140"/>
      <c r="D41" s="142"/>
      <c r="E41" s="140"/>
      <c r="F41" s="139"/>
      <c r="G41" s="142"/>
      <c r="H41" s="140"/>
      <c r="I41" s="140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3"/>
      <c r="B42" s="140" t="s">
        <v>255</v>
      </c>
      <c r="C42" s="140"/>
      <c r="D42" s="142"/>
      <c r="E42" s="140"/>
      <c r="F42" s="139"/>
      <c r="G42" s="142"/>
      <c r="H42" s="140"/>
      <c r="I42" s="140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3"/>
      <c r="B43" s="154" t="s">
        <v>120</v>
      </c>
      <c r="C43" s="154" t="s">
        <v>243</v>
      </c>
      <c r="D43" s="211" t="s">
        <v>121</v>
      </c>
      <c r="E43" s="178" t="s">
        <v>244</v>
      </c>
      <c r="F43" s="139" t="s">
        <v>40</v>
      </c>
      <c r="G43" s="211" t="s">
        <v>51</v>
      </c>
      <c r="H43" s="140"/>
      <c r="I43" s="140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3"/>
      <c r="B44" s="154" t="s">
        <v>256</v>
      </c>
      <c r="C44" s="154" t="s">
        <v>246</v>
      </c>
      <c r="D44" s="211">
        <v>1</v>
      </c>
      <c r="E44" s="154" t="s">
        <v>257</v>
      </c>
      <c r="F44" s="139">
        <v>21500</v>
      </c>
      <c r="G44" s="211">
        <f>(F44*D44)</f>
        <v>21500</v>
      </c>
      <c r="H44" s="140"/>
      <c r="I44" s="140">
        <v>258000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3"/>
      <c r="B45" s="154" t="s">
        <v>258</v>
      </c>
      <c r="C45" s="154" t="s">
        <v>246</v>
      </c>
      <c r="D45" s="211">
        <v>2</v>
      </c>
      <c r="E45" s="154" t="s">
        <v>259</v>
      </c>
      <c r="F45" s="139">
        <v>22500</v>
      </c>
      <c r="G45" s="211">
        <f t="shared" ref="G45:G50" si="2">(F45*D45)</f>
        <v>45000</v>
      </c>
      <c r="H45" s="140"/>
      <c r="I45" s="140">
        <v>540000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154" t="s">
        <v>260</v>
      </c>
      <c r="C46" s="154" t="s">
        <v>261</v>
      </c>
      <c r="D46" s="211">
        <v>2</v>
      </c>
      <c r="E46" s="154" t="s">
        <v>262</v>
      </c>
      <c r="F46" s="139">
        <v>5000</v>
      </c>
      <c r="G46" s="211">
        <f t="shared" si="2"/>
        <v>10000</v>
      </c>
      <c r="H46" s="140"/>
      <c r="I46" s="140">
        <v>10000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54" t="s">
        <v>263</v>
      </c>
      <c r="C47" s="154" t="s">
        <v>261</v>
      </c>
      <c r="D47" s="211">
        <v>2</v>
      </c>
      <c r="E47" s="154" t="s">
        <v>248</v>
      </c>
      <c r="F47" s="139">
        <v>5000</v>
      </c>
      <c r="G47" s="211">
        <f>(F47*D47)</f>
        <v>10000</v>
      </c>
      <c r="H47" s="140"/>
      <c r="I47" s="140">
        <v>10000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430" t="s">
        <v>264</v>
      </c>
      <c r="C48" s="430" t="s">
        <v>246</v>
      </c>
      <c r="D48" s="431">
        <v>2</v>
      </c>
      <c r="E48" s="430" t="s">
        <v>265</v>
      </c>
      <c r="F48" s="432">
        <v>15200</v>
      </c>
      <c r="G48" s="211">
        <f>(F48*D48)</f>
        <v>30400</v>
      </c>
      <c r="H48" s="140"/>
      <c r="I48" s="140">
        <v>364000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54" t="s">
        <v>266</v>
      </c>
      <c r="C49" s="154" t="s">
        <v>267</v>
      </c>
      <c r="D49" s="211">
        <v>2</v>
      </c>
      <c r="E49" s="154" t="s">
        <v>248</v>
      </c>
      <c r="F49" s="139">
        <v>18500</v>
      </c>
      <c r="G49" s="211">
        <f t="shared" si="2"/>
        <v>37000</v>
      </c>
      <c r="H49" s="140"/>
      <c r="I49" s="140">
        <v>444000</v>
      </c>
      <c r="J49" s="27"/>
      <c r="K49" s="13"/>
      <c r="L49" s="27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54" t="s">
        <v>268</v>
      </c>
      <c r="C50" s="154" t="s">
        <v>261</v>
      </c>
      <c r="D50" s="211">
        <v>1</v>
      </c>
      <c r="E50" s="154" t="s">
        <v>248</v>
      </c>
      <c r="F50" s="139">
        <v>5000</v>
      </c>
      <c r="G50" s="211">
        <f t="shared" si="2"/>
        <v>5000</v>
      </c>
      <c r="H50" s="140"/>
      <c r="I50" s="140">
        <v>5000</v>
      </c>
      <c r="J50" s="27"/>
      <c r="K50" s="13"/>
      <c r="L50" s="27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54" t="s">
        <v>51</v>
      </c>
      <c r="C51" s="154"/>
      <c r="D51" s="211">
        <f>SUM(D44:D50)</f>
        <v>12</v>
      </c>
      <c r="E51" s="154"/>
      <c r="F51" s="139"/>
      <c r="G51" s="211">
        <f>SUM(G44:G50)</f>
        <v>158900</v>
      </c>
      <c r="H51" s="140"/>
      <c r="I51" s="140"/>
      <c r="J51" s="27"/>
      <c r="K51" s="13"/>
      <c r="L51" s="27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02" t="s">
        <v>254</v>
      </c>
      <c r="C52" s="103"/>
      <c r="D52" s="104"/>
      <c r="E52" s="103"/>
      <c r="F52" s="103"/>
      <c r="G52" s="101">
        <f>SUM(G44:G51)</f>
        <v>317800</v>
      </c>
      <c r="H52" s="140"/>
      <c r="I52" s="140">
        <f>SUM(I44:I50)</f>
        <v>1631000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02" t="s">
        <v>104</v>
      </c>
      <c r="C53" s="103"/>
      <c r="D53" s="104"/>
      <c r="E53" s="103"/>
      <c r="F53" s="103"/>
      <c r="G53" s="101">
        <f>(G44+G45+G48+G49)*12+(G46+G47+G50)</f>
        <v>1631800</v>
      </c>
      <c r="H53" s="140"/>
      <c r="I53" s="140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40"/>
      <c r="C54" s="140"/>
      <c r="D54" s="142"/>
      <c r="E54" s="140"/>
      <c r="F54" s="139"/>
      <c r="G54" s="142"/>
      <c r="H54" s="140"/>
      <c r="I54" s="140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40" t="s">
        <v>269</v>
      </c>
      <c r="C55" s="140"/>
      <c r="D55" s="142"/>
      <c r="E55" s="140"/>
      <c r="F55" s="139"/>
      <c r="G55" s="142"/>
      <c r="H55" s="140"/>
      <c r="I55" s="140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40" t="s">
        <v>120</v>
      </c>
      <c r="C56" s="140" t="s">
        <v>243</v>
      </c>
      <c r="D56" s="142" t="s">
        <v>121</v>
      </c>
      <c r="E56" s="210" t="s">
        <v>244</v>
      </c>
      <c r="F56" s="139" t="s">
        <v>270</v>
      </c>
      <c r="G56" s="142" t="s">
        <v>51</v>
      </c>
      <c r="H56" s="140"/>
      <c r="I56" s="140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40" t="s">
        <v>271</v>
      </c>
      <c r="C57" s="140" t="s">
        <v>246</v>
      </c>
      <c r="D57" s="141">
        <v>1</v>
      </c>
      <c r="E57" s="140" t="s">
        <v>272</v>
      </c>
      <c r="F57" s="139">
        <f>120000/D61</f>
        <v>100</v>
      </c>
      <c r="G57" s="142">
        <f>(D57*F57)*D61</f>
        <v>120000</v>
      </c>
      <c r="H57" s="140"/>
      <c r="I57" s="140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40" t="str">
        <f>+Gastos!B21</f>
        <v>Servicio de energía</v>
      </c>
      <c r="C58" s="140" t="str">
        <f>+C57</f>
        <v xml:space="preserve">Mensual </v>
      </c>
      <c r="D58" s="141">
        <f>+D57</f>
        <v>1</v>
      </c>
      <c r="E58" s="140" t="str">
        <f>+E57</f>
        <v xml:space="preserve">dimensional </v>
      </c>
      <c r="F58" s="139">
        <f>+((Gastos!C21/0.3)*0.7)/D61</f>
        <v>441</v>
      </c>
      <c r="G58" s="142">
        <f>+Table_17[[#This Row],[CI Unitario]]*D61</f>
        <v>529200</v>
      </c>
      <c r="H58" s="140"/>
      <c r="I58" s="140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40" t="s">
        <v>273</v>
      </c>
      <c r="C59" s="140" t="s">
        <v>246</v>
      </c>
      <c r="D59" s="143">
        <v>1</v>
      </c>
      <c r="E59" s="140" t="s">
        <v>272</v>
      </c>
      <c r="F59" s="139">
        <f>50000/D61</f>
        <v>41.666666666666664</v>
      </c>
      <c r="G59" s="142">
        <f>(D59*F59)*D61</f>
        <v>50000</v>
      </c>
      <c r="H59" s="140"/>
      <c r="I59" s="140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40" t="str">
        <f>+Nomina!B9</f>
        <v>Operarios</v>
      </c>
      <c r="C60" s="140" t="str">
        <f>+C59</f>
        <v xml:space="preserve">Mensual </v>
      </c>
      <c r="D60" s="143">
        <v>4</v>
      </c>
      <c r="E60" s="140" t="s">
        <v>274</v>
      </c>
      <c r="F60" s="139">
        <f>+Nomina!J9/Compras!D61</f>
        <v>1438.6746970333334</v>
      </c>
      <c r="G60" s="142">
        <v>0</v>
      </c>
      <c r="H60" s="140"/>
      <c r="I60" s="140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40" t="s">
        <v>275</v>
      </c>
      <c r="C61" s="140" t="s">
        <v>276</v>
      </c>
      <c r="D61" s="253">
        <f>+VentasMes!M2</f>
        <v>1200</v>
      </c>
      <c r="E61" s="140" t="s">
        <v>236</v>
      </c>
      <c r="F61" s="139">
        <v>2000</v>
      </c>
      <c r="G61" s="142">
        <f t="shared" ref="G61:G63" si="3">(F61*D61)</f>
        <v>2400000</v>
      </c>
      <c r="H61" s="140"/>
      <c r="I61" s="140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40" t="s">
        <v>277</v>
      </c>
      <c r="C62" s="140" t="s">
        <v>276</v>
      </c>
      <c r="D62" s="253">
        <f>+D61</f>
        <v>1200</v>
      </c>
      <c r="E62" s="140" t="s">
        <v>236</v>
      </c>
      <c r="F62" s="139">
        <v>400</v>
      </c>
      <c r="G62" s="142">
        <f t="shared" si="3"/>
        <v>480000</v>
      </c>
      <c r="H62" s="140"/>
      <c r="I62" s="140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40" t="s">
        <v>238</v>
      </c>
      <c r="C63" s="140" t="s">
        <v>276</v>
      </c>
      <c r="D63" s="253">
        <f>+D62</f>
        <v>1200</v>
      </c>
      <c r="E63" s="140" t="s">
        <v>236</v>
      </c>
      <c r="F63" s="139">
        <v>300</v>
      </c>
      <c r="G63" s="142">
        <f t="shared" si="3"/>
        <v>360000</v>
      </c>
      <c r="H63" s="140"/>
      <c r="I63" s="140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40" t="s">
        <v>278</v>
      </c>
      <c r="C64" s="140" t="s">
        <v>276</v>
      </c>
      <c r="D64" s="253">
        <v>1</v>
      </c>
      <c r="E64" s="140" t="s">
        <v>272</v>
      </c>
      <c r="F64" s="139">
        <f>1000000/D63</f>
        <v>833.33333333333337</v>
      </c>
      <c r="G64" s="142">
        <f>(D64*F64)</f>
        <v>833.33333333333337</v>
      </c>
      <c r="H64" s="140"/>
      <c r="I64" s="140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40" t="s">
        <v>51</v>
      </c>
      <c r="C65" s="140"/>
      <c r="D65" s="221"/>
      <c r="E65" s="140"/>
      <c r="F65" s="139"/>
      <c r="G65" s="142">
        <f>SUM(G57:G64)</f>
        <v>3940033.3333333335</v>
      </c>
      <c r="H65" s="140"/>
      <c r="I65" s="140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99" t="s">
        <v>254</v>
      </c>
      <c r="C66" s="100"/>
      <c r="D66" s="100"/>
      <c r="E66" s="100"/>
      <c r="F66" s="101">
        <f>SUBTOTAL(109,Table_17[CI Unitario])</f>
        <v>5554.6746970333324</v>
      </c>
      <c r="G66" s="105">
        <f>SUM(G57:G64)</f>
        <v>3940033.3333333335</v>
      </c>
      <c r="H66" s="140"/>
      <c r="I66" s="140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99" t="s">
        <v>240</v>
      </c>
      <c r="C67" s="100"/>
      <c r="D67" s="100"/>
      <c r="E67" s="100"/>
      <c r="F67" s="101"/>
      <c r="G67" s="105">
        <f>(G66*12)</f>
        <v>47280400</v>
      </c>
      <c r="H67" s="140"/>
      <c r="I67" s="140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40"/>
      <c r="C68" s="140"/>
      <c r="D68" s="142"/>
      <c r="E68" s="140"/>
      <c r="F68" s="139" t="s">
        <v>279</v>
      </c>
      <c r="G68" s="142">
        <f>+F66+D27</f>
        <v>14865.424697033333</v>
      </c>
      <c r="H68" s="254">
        <f>+F66+F27</f>
        <v>9343.6746970333334</v>
      </c>
      <c r="I68" s="140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40"/>
      <c r="C69" s="140"/>
      <c r="D69" s="142"/>
      <c r="E69" s="140"/>
      <c r="F69" s="139" t="s">
        <v>280</v>
      </c>
      <c r="G69" s="142">
        <f>+G68*1.8</f>
        <v>26757.764454660002</v>
      </c>
      <c r="H69" s="254">
        <f>+H68*1.6</f>
        <v>14949.879515253335</v>
      </c>
      <c r="I69" s="140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255" t="s">
        <v>281</v>
      </c>
      <c r="C70" s="256">
        <f>$H$27+$G$40+$G$53+$G$67</f>
        <v>219985400</v>
      </c>
      <c r="D70" s="142"/>
      <c r="E70" s="140"/>
      <c r="F70" s="145" t="s">
        <v>282</v>
      </c>
      <c r="G70" s="257">
        <f>+G69*1.19</f>
        <v>31841.739701045401</v>
      </c>
      <c r="H70" s="254">
        <f>+H69*1.19</f>
        <v>17790.356623151467</v>
      </c>
      <c r="I70" s="146" t="s">
        <v>283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40" t="s">
        <v>284</v>
      </c>
      <c r="C71" s="396">
        <f>C70/4</f>
        <v>54996350</v>
      </c>
      <c r="D71" s="142"/>
      <c r="E71" s="140"/>
      <c r="F71" s="139"/>
      <c r="G71" s="142"/>
      <c r="H71" s="140"/>
      <c r="I71" s="140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40"/>
      <c r="C72" s="140"/>
      <c r="D72" s="142"/>
      <c r="E72" s="140"/>
      <c r="F72" s="139"/>
      <c r="G72" s="142"/>
      <c r="H72" s="140"/>
      <c r="I72" s="140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>
      <c r="A73" s="13"/>
      <c r="B73" s="258" t="s">
        <v>285</v>
      </c>
      <c r="C73" s="259" t="s">
        <v>212</v>
      </c>
      <c r="D73" s="260" t="s">
        <v>286</v>
      </c>
      <c r="E73" s="139" t="s">
        <v>287</v>
      </c>
      <c r="F73" s="142"/>
      <c r="G73" s="142"/>
      <c r="H73" s="140"/>
      <c r="I73" s="140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>
      <c r="A74" s="13"/>
      <c r="B74" s="261">
        <v>0.3</v>
      </c>
      <c r="C74" s="262" t="s">
        <v>219</v>
      </c>
      <c r="D74" s="263" t="s">
        <v>218</v>
      </c>
      <c r="E74" s="264">
        <v>20.399999999999999</v>
      </c>
      <c r="F74" s="264">
        <f t="shared" ref="F74:F91" si="4">E74*13105</f>
        <v>267342</v>
      </c>
      <c r="G74" s="265"/>
      <c r="H74" s="140"/>
      <c r="I74" s="140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31.5">
      <c r="A75" s="13"/>
      <c r="B75" s="261">
        <v>20</v>
      </c>
      <c r="C75" s="262" t="s">
        <v>221</v>
      </c>
      <c r="D75" s="266" t="s">
        <v>220</v>
      </c>
      <c r="E75" s="264">
        <v>720</v>
      </c>
      <c r="F75" s="264">
        <f t="shared" si="4"/>
        <v>9435600</v>
      </c>
      <c r="G75" s="265"/>
      <c r="H75" s="140"/>
      <c r="I75" s="140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>
      <c r="A76" s="13"/>
      <c r="B76" s="261">
        <v>11.25</v>
      </c>
      <c r="C76" s="262" t="s">
        <v>219</v>
      </c>
      <c r="D76" s="266" t="s">
        <v>222</v>
      </c>
      <c r="E76" s="264">
        <v>480.35</v>
      </c>
      <c r="F76" s="264">
        <f t="shared" si="4"/>
        <v>6294986.75</v>
      </c>
      <c r="G76" s="265"/>
      <c r="H76" s="133"/>
      <c r="I76" s="134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31.5">
      <c r="A77" s="13"/>
      <c r="B77" s="261">
        <v>11.25</v>
      </c>
      <c r="C77" s="262" t="s">
        <v>219</v>
      </c>
      <c r="D77" s="266" t="s">
        <v>288</v>
      </c>
      <c r="E77" s="264">
        <v>800</v>
      </c>
      <c r="F77" s="264">
        <f t="shared" si="4"/>
        <v>10484000</v>
      </c>
      <c r="G77" s="265"/>
      <c r="H77" s="133"/>
      <c r="I77" s="135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261">
        <v>7.5</v>
      </c>
      <c r="C78" s="262" t="s">
        <v>219</v>
      </c>
      <c r="D78" s="266" t="s">
        <v>224</v>
      </c>
      <c r="E78" s="264">
        <v>700</v>
      </c>
      <c r="F78" s="264">
        <f t="shared" si="4"/>
        <v>9173500</v>
      </c>
      <c r="G78" s="265"/>
      <c r="H78" s="133"/>
      <c r="I78" s="135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47.25">
      <c r="A79" s="13"/>
      <c r="B79" s="261">
        <v>3</v>
      </c>
      <c r="C79" s="262" t="s">
        <v>219</v>
      </c>
      <c r="D79" s="266" t="s">
        <v>289</v>
      </c>
      <c r="E79" s="264">
        <v>30</v>
      </c>
      <c r="F79" s="264">
        <f t="shared" si="4"/>
        <v>393150</v>
      </c>
      <c r="G79" s="265"/>
      <c r="H79" s="133"/>
      <c r="I79" s="135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>
      <c r="A80" s="13"/>
      <c r="B80" s="261">
        <v>4</v>
      </c>
      <c r="C80" s="262" t="s">
        <v>219</v>
      </c>
      <c r="D80" s="266" t="s">
        <v>226</v>
      </c>
      <c r="E80" s="264">
        <v>400</v>
      </c>
      <c r="F80" s="264">
        <f t="shared" si="4"/>
        <v>5242000</v>
      </c>
      <c r="G80" s="265"/>
      <c r="H80" s="140"/>
      <c r="I80" s="140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261">
        <v>0.5</v>
      </c>
      <c r="C81" s="262" t="s">
        <v>219</v>
      </c>
      <c r="D81" s="266" t="s">
        <v>227</v>
      </c>
      <c r="E81" s="264">
        <v>150</v>
      </c>
      <c r="F81" s="264">
        <f t="shared" si="4"/>
        <v>1965750</v>
      </c>
      <c r="G81" s="265"/>
      <c r="H81" s="140"/>
      <c r="I81" s="140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261">
        <v>30</v>
      </c>
      <c r="C82" s="262" t="s">
        <v>219</v>
      </c>
      <c r="D82" s="266" t="s">
        <v>228</v>
      </c>
      <c r="E82" s="264">
        <v>900</v>
      </c>
      <c r="F82" s="264">
        <f t="shared" si="4"/>
        <v>11794500</v>
      </c>
      <c r="G82" s="265"/>
      <c r="H82" s="140"/>
      <c r="I82" s="140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>
      <c r="A83" s="13"/>
      <c r="B83" s="261">
        <v>0.03</v>
      </c>
      <c r="C83" s="262" t="s">
        <v>219</v>
      </c>
      <c r="D83" s="266" t="s">
        <v>229</v>
      </c>
      <c r="E83" s="264">
        <v>15</v>
      </c>
      <c r="F83" s="264">
        <f t="shared" si="4"/>
        <v>196575</v>
      </c>
      <c r="G83" s="265"/>
      <c r="H83" s="140"/>
      <c r="I83" s="140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22.5" customHeight="1">
      <c r="A84" s="13"/>
      <c r="B84" s="261">
        <v>0.1</v>
      </c>
      <c r="C84" s="262" t="s">
        <v>219</v>
      </c>
      <c r="D84" s="266" t="s">
        <v>230</v>
      </c>
      <c r="E84" s="264">
        <v>10</v>
      </c>
      <c r="F84" s="264">
        <f t="shared" si="4"/>
        <v>131050</v>
      </c>
      <c r="G84" s="265"/>
      <c r="H84" s="140"/>
      <c r="I84" s="140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261">
        <v>0.1</v>
      </c>
      <c r="C85" s="262" t="s">
        <v>219</v>
      </c>
      <c r="D85" s="266" t="s">
        <v>231</v>
      </c>
      <c r="E85" s="264">
        <v>40</v>
      </c>
      <c r="F85" s="264">
        <f t="shared" si="4"/>
        <v>524200</v>
      </c>
      <c r="G85" s="265"/>
      <c r="H85" s="140"/>
      <c r="I85" s="140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47.25">
      <c r="A86" s="13"/>
      <c r="B86" s="261">
        <v>3.5</v>
      </c>
      <c r="C86" s="262" t="s">
        <v>219</v>
      </c>
      <c r="D86" s="266" t="s">
        <v>232</v>
      </c>
      <c r="E86" s="264">
        <v>175</v>
      </c>
      <c r="F86" s="264">
        <f t="shared" si="4"/>
        <v>2293375</v>
      </c>
      <c r="G86" s="265"/>
      <c r="H86" s="140"/>
      <c r="I86" s="140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>
      <c r="A87" s="13"/>
      <c r="B87" s="261">
        <v>10</v>
      </c>
      <c r="C87" s="262" t="s">
        <v>219</v>
      </c>
      <c r="D87" s="266" t="s">
        <v>233</v>
      </c>
      <c r="E87" s="264">
        <v>600</v>
      </c>
      <c r="F87" s="264">
        <f t="shared" si="4"/>
        <v>7863000</v>
      </c>
      <c r="G87" s="265"/>
      <c r="H87" s="140"/>
      <c r="I87" s="140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261">
        <v>30</v>
      </c>
      <c r="C88" s="262" t="s">
        <v>219</v>
      </c>
      <c r="D88" s="266" t="s">
        <v>290</v>
      </c>
      <c r="E88" s="264">
        <v>900</v>
      </c>
      <c r="F88" s="264">
        <f>E88*13105</f>
        <v>11794500</v>
      </c>
      <c r="G88" s="265"/>
      <c r="H88" s="140"/>
      <c r="I88" s="140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261">
        <v>1</v>
      </c>
      <c r="C89" s="262" t="s">
        <v>236</v>
      </c>
      <c r="D89" s="263" t="s">
        <v>235</v>
      </c>
      <c r="E89" s="264">
        <v>2000</v>
      </c>
      <c r="F89" s="264">
        <f t="shared" si="4"/>
        <v>26210000</v>
      </c>
      <c r="G89" s="265"/>
      <c r="H89" s="140"/>
      <c r="I89" s="140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261">
        <v>1</v>
      </c>
      <c r="C90" s="262" t="s">
        <v>236</v>
      </c>
      <c r="D90" s="263" t="s">
        <v>237</v>
      </c>
      <c r="E90" s="264">
        <v>400</v>
      </c>
      <c r="F90" s="264">
        <f t="shared" si="4"/>
        <v>5242000</v>
      </c>
      <c r="G90" s="265"/>
      <c r="H90" s="140"/>
      <c r="I90" s="140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261">
        <v>1</v>
      </c>
      <c r="C91" s="262" t="s">
        <v>236</v>
      </c>
      <c r="D91" s="263" t="s">
        <v>238</v>
      </c>
      <c r="E91" s="264">
        <v>300</v>
      </c>
      <c r="F91" s="264">
        <f t="shared" si="4"/>
        <v>3931500</v>
      </c>
      <c r="G91" s="265"/>
      <c r="H91" s="140"/>
      <c r="I91" s="140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40"/>
      <c r="C92" s="140"/>
      <c r="D92" s="142"/>
      <c r="E92" s="264"/>
      <c r="F92" s="267">
        <f>SUM(F74:F91)</f>
        <v>113237028.75</v>
      </c>
      <c r="G92" s="142">
        <f>SUM(G74:G91)</f>
        <v>0</v>
      </c>
      <c r="H92" s="140"/>
      <c r="I92" s="140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40"/>
      <c r="C93" s="140"/>
      <c r="D93" s="265"/>
      <c r="E93" s="140"/>
      <c r="F93" s="139"/>
      <c r="G93" s="142"/>
      <c r="H93" s="140"/>
      <c r="I93" s="140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40"/>
      <c r="C94" s="140"/>
      <c r="D94" s="142"/>
      <c r="E94" s="140"/>
      <c r="F94" s="139"/>
      <c r="G94" s="142"/>
      <c r="H94" s="140"/>
      <c r="I94" s="140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268" t="s">
        <v>291</v>
      </c>
      <c r="C95" s="269" t="s">
        <v>212</v>
      </c>
      <c r="D95" s="269" t="s">
        <v>286</v>
      </c>
      <c r="E95" s="139" t="s">
        <v>287</v>
      </c>
      <c r="F95" s="142"/>
      <c r="G95" s="142"/>
      <c r="H95" s="140"/>
      <c r="I95" s="140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270">
        <v>0.1</v>
      </c>
      <c r="C96" s="271" t="s">
        <v>219</v>
      </c>
      <c r="D96" s="271" t="s">
        <v>218</v>
      </c>
      <c r="E96" s="264">
        <v>12.8</v>
      </c>
      <c r="F96" s="264">
        <f t="shared" ref="F96:F111" si="5">E96*8736</f>
        <v>111820.8</v>
      </c>
      <c r="G96" s="272"/>
      <c r="H96" s="140"/>
      <c r="I96" s="140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270">
        <v>12.8</v>
      </c>
      <c r="C97" s="271" t="s">
        <v>221</v>
      </c>
      <c r="D97" s="273" t="s">
        <v>220</v>
      </c>
      <c r="E97" s="264">
        <v>460</v>
      </c>
      <c r="F97" s="264">
        <f t="shared" si="5"/>
        <v>4018560</v>
      </c>
      <c r="G97" s="272"/>
      <c r="H97" s="140"/>
      <c r="I97" s="140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270">
        <v>7.2</v>
      </c>
      <c r="C98" s="271" t="s">
        <v>219</v>
      </c>
      <c r="D98" s="274" t="s">
        <v>222</v>
      </c>
      <c r="E98" s="264">
        <v>307</v>
      </c>
      <c r="F98" s="264">
        <f t="shared" si="5"/>
        <v>2681952</v>
      </c>
      <c r="G98" s="272"/>
      <c r="H98" s="140"/>
      <c r="I98" s="140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270">
        <v>7.2</v>
      </c>
      <c r="C99" s="271" t="s">
        <v>219</v>
      </c>
      <c r="D99" s="274" t="s">
        <v>288</v>
      </c>
      <c r="E99" s="264">
        <v>512</v>
      </c>
      <c r="F99" s="264">
        <f t="shared" si="5"/>
        <v>4472832</v>
      </c>
      <c r="G99" s="272"/>
      <c r="H99" s="140"/>
      <c r="I99" s="140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270">
        <v>4.8</v>
      </c>
      <c r="C100" s="271" t="s">
        <v>219</v>
      </c>
      <c r="D100" s="274" t="s">
        <v>224</v>
      </c>
      <c r="E100" s="264">
        <v>448</v>
      </c>
      <c r="F100" s="264">
        <f t="shared" si="5"/>
        <v>3913728</v>
      </c>
      <c r="G100" s="272"/>
      <c r="H100" s="140"/>
      <c r="I100" s="140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270">
        <v>1.9</v>
      </c>
      <c r="C101" s="271" t="s">
        <v>219</v>
      </c>
      <c r="D101" s="274" t="s">
        <v>289</v>
      </c>
      <c r="E101" s="264">
        <v>19.2</v>
      </c>
      <c r="F101" s="264">
        <f t="shared" si="5"/>
        <v>167731.19999999998</v>
      </c>
      <c r="G101" s="272"/>
      <c r="H101" s="140"/>
      <c r="I101" s="140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270">
        <v>2.5</v>
      </c>
      <c r="C102" s="271" t="s">
        <v>219</v>
      </c>
      <c r="D102" s="274" t="s">
        <v>226</v>
      </c>
      <c r="E102" s="264">
        <v>256</v>
      </c>
      <c r="F102" s="264">
        <f t="shared" si="5"/>
        <v>2236416</v>
      </c>
      <c r="G102" s="272"/>
      <c r="H102" s="140"/>
      <c r="I102" s="140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270">
        <v>0.3</v>
      </c>
      <c r="C103" s="271" t="s">
        <v>219</v>
      </c>
      <c r="D103" s="274" t="s">
        <v>227</v>
      </c>
      <c r="E103" s="264">
        <v>96</v>
      </c>
      <c r="F103" s="264">
        <f t="shared" si="5"/>
        <v>838656</v>
      </c>
      <c r="G103" s="272"/>
      <c r="H103" s="140"/>
      <c r="I103" s="140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270">
        <v>19.2</v>
      </c>
      <c r="C104" s="271" t="s">
        <v>219</v>
      </c>
      <c r="D104" s="274" t="s">
        <v>228</v>
      </c>
      <c r="E104" s="264">
        <v>576</v>
      </c>
      <c r="F104" s="264">
        <f t="shared" si="5"/>
        <v>5031936</v>
      </c>
      <c r="G104" s="272"/>
      <c r="H104" s="140"/>
      <c r="I104" s="140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270">
        <v>0.01</v>
      </c>
      <c r="C105" s="271" t="s">
        <v>219</v>
      </c>
      <c r="D105" s="274" t="s">
        <v>229</v>
      </c>
      <c r="E105" s="264">
        <v>6</v>
      </c>
      <c r="F105" s="264">
        <f t="shared" si="5"/>
        <v>52416</v>
      </c>
      <c r="G105" s="272"/>
      <c r="H105" s="140"/>
      <c r="I105" s="140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270">
        <v>0.06</v>
      </c>
      <c r="C106" s="271" t="s">
        <v>219</v>
      </c>
      <c r="D106" s="274" t="s">
        <v>230</v>
      </c>
      <c r="E106" s="264">
        <v>5</v>
      </c>
      <c r="F106" s="264">
        <f t="shared" si="5"/>
        <v>43680</v>
      </c>
      <c r="G106" s="272"/>
      <c r="H106" s="140"/>
      <c r="I106" s="140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270">
        <v>0.06</v>
      </c>
      <c r="C107" s="271" t="s">
        <v>219</v>
      </c>
      <c r="D107" s="274" t="s">
        <v>231</v>
      </c>
      <c r="E107" s="264">
        <v>25</v>
      </c>
      <c r="F107" s="264">
        <f t="shared" si="5"/>
        <v>218400</v>
      </c>
      <c r="G107" s="272"/>
      <c r="H107" s="140"/>
      <c r="I107" s="140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270">
        <v>2.2000000000000002</v>
      </c>
      <c r="C108" s="271" t="s">
        <v>219</v>
      </c>
      <c r="D108" s="274" t="s">
        <v>232</v>
      </c>
      <c r="E108" s="264">
        <v>112</v>
      </c>
      <c r="F108" s="264">
        <f t="shared" si="5"/>
        <v>978432</v>
      </c>
      <c r="G108" s="272"/>
      <c r="H108" s="140"/>
      <c r="I108" s="140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270">
        <v>6.4</v>
      </c>
      <c r="C109" s="271" t="s">
        <v>219</v>
      </c>
      <c r="D109" s="274" t="s">
        <v>233</v>
      </c>
      <c r="E109" s="264">
        <v>384</v>
      </c>
      <c r="F109" s="264">
        <f t="shared" si="5"/>
        <v>3354624</v>
      </c>
      <c r="G109" s="272"/>
      <c r="H109" s="140"/>
      <c r="I109" s="140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270">
        <v>19.2</v>
      </c>
      <c r="C110" s="271" t="s">
        <v>219</v>
      </c>
      <c r="D110" s="275" t="s">
        <v>234</v>
      </c>
      <c r="E110" s="264">
        <v>570</v>
      </c>
      <c r="F110" s="264">
        <f t="shared" si="5"/>
        <v>4979520</v>
      </c>
      <c r="G110" s="272"/>
      <c r="H110" s="140"/>
      <c r="I110" s="140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270">
        <v>12</v>
      </c>
      <c r="C111" s="271" t="s">
        <v>236</v>
      </c>
      <c r="D111" s="271" t="s">
        <v>239</v>
      </c>
      <c r="E111" s="264">
        <v>600</v>
      </c>
      <c r="F111" s="264">
        <f t="shared" si="5"/>
        <v>5241600</v>
      </c>
      <c r="G111" s="272"/>
      <c r="H111" s="140"/>
      <c r="I111" s="140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40"/>
      <c r="C112" s="140"/>
      <c r="D112" s="142"/>
      <c r="E112" s="264">
        <f>SUM(E96:E111)</f>
        <v>4389</v>
      </c>
      <c r="F112" s="267">
        <f>SUM(F96:F111)</f>
        <v>38342304</v>
      </c>
      <c r="G112" s="142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40"/>
      <c r="C113" s="140"/>
      <c r="D113" s="142"/>
      <c r="E113" s="140"/>
      <c r="F113" s="139"/>
      <c r="G113" s="142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3"/>
      <c r="D114" s="19"/>
      <c r="E114" s="13"/>
      <c r="F114" s="24"/>
      <c r="G114" s="19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3"/>
      <c r="D115" s="19"/>
      <c r="E115" s="13"/>
      <c r="F115" s="24"/>
      <c r="G115" s="19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3"/>
      <c r="D116" s="19"/>
      <c r="E116" s="13"/>
      <c r="F116" s="24"/>
      <c r="G116" s="19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3"/>
      <c r="D117" s="19"/>
      <c r="E117" s="13"/>
      <c r="F117" s="24"/>
      <c r="G117" s="19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3"/>
      <c r="D118" s="19"/>
      <c r="E118" s="13"/>
      <c r="F118" s="24"/>
      <c r="G118" s="19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3"/>
      <c r="D119" s="19"/>
      <c r="E119" s="13"/>
      <c r="F119" s="24"/>
      <c r="G119" s="19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3"/>
      <c r="D120" s="19"/>
      <c r="E120" s="13"/>
      <c r="F120" s="24"/>
      <c r="G120" s="19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3"/>
      <c r="D121" s="19"/>
      <c r="E121" s="13"/>
      <c r="F121" s="24"/>
      <c r="G121" s="19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3"/>
      <c r="D122" s="19"/>
      <c r="E122" s="13"/>
      <c r="F122" s="24"/>
      <c r="G122" s="19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3"/>
      <c r="D123" s="19"/>
      <c r="E123" s="13"/>
      <c r="F123" s="24"/>
      <c r="G123" s="19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3"/>
      <c r="D124" s="19"/>
      <c r="E124" s="13"/>
      <c r="F124" s="24"/>
      <c r="G124" s="19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3"/>
      <c r="D125" s="19"/>
      <c r="E125" s="13"/>
      <c r="F125" s="24"/>
      <c r="G125" s="19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3"/>
      <c r="D126" s="19"/>
      <c r="E126" s="13"/>
      <c r="F126" s="24"/>
      <c r="G126" s="19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3"/>
      <c r="D127" s="19"/>
      <c r="E127" s="13"/>
      <c r="F127" s="24"/>
      <c r="G127" s="19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3"/>
      <c r="D128" s="19"/>
      <c r="E128" s="13"/>
      <c r="F128" s="24"/>
      <c r="G128" s="19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3"/>
      <c r="D129" s="19"/>
      <c r="E129" s="13"/>
      <c r="F129" s="24"/>
      <c r="G129" s="19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3"/>
      <c r="D130" s="19"/>
      <c r="E130" s="13"/>
      <c r="F130" s="24"/>
      <c r="G130" s="19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3"/>
      <c r="D131" s="19"/>
      <c r="E131" s="13"/>
      <c r="F131" s="24"/>
      <c r="G131" s="19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3"/>
      <c r="D132" s="19"/>
      <c r="E132" s="13"/>
      <c r="F132" s="24"/>
      <c r="G132" s="19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3"/>
      <c r="D133" s="19"/>
      <c r="E133" s="13"/>
      <c r="F133" s="24"/>
      <c r="G133" s="19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3"/>
      <c r="D134" s="19"/>
      <c r="E134" s="13"/>
      <c r="F134" s="24"/>
      <c r="G134" s="19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3"/>
      <c r="D135" s="19"/>
      <c r="E135" s="13"/>
      <c r="F135" s="24"/>
      <c r="G135" s="19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3"/>
      <c r="D136" s="19"/>
      <c r="E136" s="13"/>
      <c r="F136" s="24"/>
      <c r="G136" s="19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3"/>
      <c r="D137" s="19"/>
      <c r="E137" s="13"/>
      <c r="F137" s="24"/>
      <c r="G137" s="19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3"/>
      <c r="D138" s="19"/>
      <c r="E138" s="13"/>
      <c r="F138" s="24"/>
      <c r="G138" s="19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3"/>
      <c r="D139" s="19"/>
      <c r="E139" s="13"/>
      <c r="F139" s="24"/>
      <c r="G139" s="19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3"/>
      <c r="D140" s="19"/>
      <c r="E140" s="13"/>
      <c r="F140" s="24"/>
      <c r="G140" s="19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3"/>
      <c r="D141" s="19"/>
      <c r="E141" s="13"/>
      <c r="F141" s="24"/>
      <c r="G141" s="19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3"/>
      <c r="D142" s="19"/>
      <c r="E142" s="13"/>
      <c r="F142" s="24"/>
      <c r="G142" s="19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3"/>
      <c r="D143" s="19"/>
      <c r="E143" s="13"/>
      <c r="F143" s="24"/>
      <c r="G143" s="19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3"/>
      <c r="D144" s="19"/>
      <c r="E144" s="13"/>
      <c r="F144" s="24"/>
      <c r="G144" s="19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3"/>
      <c r="D145" s="19"/>
      <c r="E145" s="13"/>
      <c r="F145" s="24"/>
      <c r="G145" s="19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3"/>
      <c r="D146" s="19"/>
      <c r="E146" s="13"/>
      <c r="F146" s="24"/>
      <c r="G146" s="19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3"/>
      <c r="D147" s="19"/>
      <c r="E147" s="13"/>
      <c r="F147" s="24"/>
      <c r="G147" s="19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3"/>
      <c r="D148" s="19"/>
      <c r="E148" s="13"/>
      <c r="F148" s="24"/>
      <c r="G148" s="19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3"/>
      <c r="D149" s="19"/>
      <c r="E149" s="13"/>
      <c r="F149" s="24"/>
      <c r="G149" s="19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3"/>
      <c r="D150" s="19"/>
      <c r="E150" s="13"/>
      <c r="F150" s="24"/>
      <c r="G150" s="19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3"/>
      <c r="D151" s="19"/>
      <c r="E151" s="13"/>
      <c r="F151" s="24"/>
      <c r="G151" s="19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3"/>
      <c r="D152" s="19"/>
      <c r="E152" s="13"/>
      <c r="F152" s="24"/>
      <c r="G152" s="19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3"/>
      <c r="D153" s="19"/>
      <c r="E153" s="13"/>
      <c r="F153" s="24"/>
      <c r="G153" s="19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3"/>
      <c r="D154" s="19"/>
      <c r="E154" s="13"/>
      <c r="F154" s="24"/>
      <c r="G154" s="19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3"/>
      <c r="D155" s="19"/>
      <c r="E155" s="13"/>
      <c r="F155" s="24"/>
      <c r="G155" s="19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3"/>
      <c r="D156" s="19"/>
      <c r="E156" s="13"/>
      <c r="F156" s="24"/>
      <c r="G156" s="19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3"/>
      <c r="D157" s="19"/>
      <c r="E157" s="13"/>
      <c r="F157" s="24"/>
      <c r="G157" s="19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3"/>
      <c r="D158" s="19"/>
      <c r="E158" s="13"/>
      <c r="F158" s="24"/>
      <c r="G158" s="19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3"/>
      <c r="D159" s="19"/>
      <c r="E159" s="13"/>
      <c r="F159" s="24"/>
      <c r="G159" s="19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3"/>
      <c r="D160" s="19"/>
      <c r="E160" s="13"/>
      <c r="F160" s="24"/>
      <c r="G160" s="19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3"/>
      <c r="D161" s="19"/>
      <c r="E161" s="13"/>
      <c r="F161" s="24"/>
      <c r="G161" s="19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3"/>
      <c r="D162" s="19"/>
      <c r="E162" s="13"/>
      <c r="F162" s="24"/>
      <c r="G162" s="19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3"/>
      <c r="D163" s="19"/>
      <c r="E163" s="13"/>
      <c r="F163" s="24"/>
      <c r="G163" s="19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3"/>
      <c r="D164" s="19"/>
      <c r="E164" s="13"/>
      <c r="F164" s="24"/>
      <c r="G164" s="19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3"/>
      <c r="D165" s="19"/>
      <c r="E165" s="13"/>
      <c r="F165" s="24"/>
      <c r="G165" s="19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3"/>
      <c r="D166" s="19"/>
      <c r="E166" s="13"/>
      <c r="F166" s="24"/>
      <c r="G166" s="19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3"/>
      <c r="D167" s="19"/>
      <c r="E167" s="13"/>
      <c r="F167" s="24"/>
      <c r="G167" s="19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3"/>
      <c r="D168" s="19"/>
      <c r="E168" s="13"/>
      <c r="F168" s="24"/>
      <c r="G168" s="19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3"/>
      <c r="D169" s="19"/>
      <c r="E169" s="13"/>
      <c r="F169" s="24"/>
      <c r="G169" s="19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3"/>
      <c r="D170" s="19"/>
      <c r="E170" s="13"/>
      <c r="F170" s="24"/>
      <c r="G170" s="19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3"/>
      <c r="D171" s="19"/>
      <c r="E171" s="13"/>
      <c r="F171" s="24"/>
      <c r="G171" s="19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3"/>
      <c r="D172" s="19"/>
      <c r="E172" s="13"/>
      <c r="F172" s="24"/>
      <c r="G172" s="19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3"/>
      <c r="D173" s="19"/>
      <c r="E173" s="13"/>
      <c r="F173" s="24"/>
      <c r="G173" s="19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3"/>
      <c r="D174" s="19"/>
      <c r="E174" s="13"/>
      <c r="F174" s="24"/>
      <c r="G174" s="19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3"/>
      <c r="D175" s="19"/>
      <c r="E175" s="13"/>
      <c r="F175" s="24"/>
      <c r="G175" s="19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3"/>
      <c r="D176" s="19"/>
      <c r="E176" s="13"/>
      <c r="F176" s="24"/>
      <c r="G176" s="19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3"/>
      <c r="D177" s="19"/>
      <c r="E177" s="13"/>
      <c r="F177" s="24"/>
      <c r="G177" s="19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3"/>
      <c r="D178" s="19"/>
      <c r="E178" s="13"/>
      <c r="F178" s="24"/>
      <c r="G178" s="19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3"/>
      <c r="D179" s="19"/>
      <c r="E179" s="13"/>
      <c r="F179" s="24"/>
      <c r="G179" s="19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3"/>
      <c r="D180" s="19"/>
      <c r="E180" s="13"/>
      <c r="F180" s="24"/>
      <c r="G180" s="19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3"/>
      <c r="D181" s="19"/>
      <c r="E181" s="13"/>
      <c r="F181" s="24"/>
      <c r="G181" s="19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3"/>
      <c r="D182" s="19"/>
      <c r="E182" s="13"/>
      <c r="F182" s="24"/>
      <c r="G182" s="19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3"/>
      <c r="D183" s="19"/>
      <c r="E183" s="13"/>
      <c r="F183" s="24"/>
      <c r="G183" s="19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3"/>
      <c r="D184" s="19"/>
      <c r="E184" s="13"/>
      <c r="F184" s="24"/>
      <c r="G184" s="19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3"/>
      <c r="D185" s="19"/>
      <c r="E185" s="13"/>
      <c r="F185" s="24"/>
      <c r="G185" s="19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3"/>
      <c r="D186" s="19"/>
      <c r="E186" s="13"/>
      <c r="F186" s="24"/>
      <c r="G186" s="19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3"/>
      <c r="D187" s="19"/>
      <c r="E187" s="13"/>
      <c r="F187" s="24"/>
      <c r="G187" s="19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3"/>
      <c r="D188" s="19"/>
      <c r="E188" s="13"/>
      <c r="F188" s="24"/>
      <c r="G188" s="19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3"/>
      <c r="D189" s="19"/>
      <c r="E189" s="13"/>
      <c r="F189" s="24"/>
      <c r="G189" s="19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3"/>
      <c r="D190" s="19"/>
      <c r="E190" s="13"/>
      <c r="F190" s="24"/>
      <c r="G190" s="19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3"/>
      <c r="D191" s="19"/>
      <c r="E191" s="13"/>
      <c r="F191" s="24"/>
      <c r="G191" s="19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3"/>
      <c r="D192" s="19"/>
      <c r="E192" s="13"/>
      <c r="F192" s="24"/>
      <c r="G192" s="19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3"/>
      <c r="D193" s="19"/>
      <c r="E193" s="13"/>
      <c r="F193" s="24"/>
      <c r="G193" s="19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3"/>
      <c r="D194" s="19"/>
      <c r="E194" s="13"/>
      <c r="F194" s="24"/>
      <c r="G194" s="19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3"/>
      <c r="D195" s="19"/>
      <c r="E195" s="13"/>
      <c r="F195" s="24"/>
      <c r="G195" s="19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3"/>
      <c r="D196" s="19"/>
      <c r="E196" s="13"/>
      <c r="F196" s="24"/>
      <c r="G196" s="19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3"/>
      <c r="D197" s="19"/>
      <c r="E197" s="13"/>
      <c r="F197" s="24"/>
      <c r="G197" s="19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3"/>
      <c r="D198" s="19"/>
      <c r="E198" s="13"/>
      <c r="F198" s="24"/>
      <c r="G198" s="19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3"/>
      <c r="D199" s="19"/>
      <c r="E199" s="13"/>
      <c r="F199" s="24"/>
      <c r="G199" s="19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3"/>
      <c r="D200" s="19"/>
      <c r="E200" s="13"/>
      <c r="F200" s="24"/>
      <c r="G200" s="19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3"/>
      <c r="D201" s="19"/>
      <c r="E201" s="13"/>
      <c r="F201" s="24"/>
      <c r="G201" s="19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3"/>
      <c r="D202" s="19"/>
      <c r="E202" s="13"/>
      <c r="F202" s="24"/>
      <c r="G202" s="19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3"/>
      <c r="D203" s="19"/>
      <c r="E203" s="13"/>
      <c r="F203" s="24"/>
      <c r="G203" s="19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3"/>
      <c r="D204" s="19"/>
      <c r="E204" s="13"/>
      <c r="F204" s="24"/>
      <c r="G204" s="19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3"/>
      <c r="D205" s="19"/>
      <c r="E205" s="13"/>
      <c r="F205" s="24"/>
      <c r="G205" s="19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3"/>
      <c r="D206" s="19"/>
      <c r="E206" s="13"/>
      <c r="F206" s="24"/>
      <c r="G206" s="19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3"/>
      <c r="D207" s="19"/>
      <c r="E207" s="13"/>
      <c r="F207" s="24"/>
      <c r="G207" s="19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3"/>
      <c r="D208" s="19"/>
      <c r="E208" s="13"/>
      <c r="F208" s="24"/>
      <c r="G208" s="19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3"/>
      <c r="D209" s="19"/>
      <c r="E209" s="13"/>
      <c r="F209" s="24"/>
      <c r="G209" s="19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3"/>
      <c r="D210" s="19"/>
      <c r="E210" s="13"/>
      <c r="F210" s="24"/>
      <c r="G210" s="19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3"/>
      <c r="D211" s="19"/>
      <c r="E211" s="13"/>
      <c r="F211" s="24"/>
      <c r="G211" s="19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3"/>
      <c r="D212" s="19"/>
      <c r="E212" s="13"/>
      <c r="F212" s="24"/>
      <c r="G212" s="19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3"/>
      <c r="D213" s="19"/>
      <c r="E213" s="13"/>
      <c r="F213" s="24"/>
      <c r="G213" s="19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3"/>
      <c r="D214" s="19"/>
      <c r="E214" s="13"/>
      <c r="F214" s="24"/>
      <c r="G214" s="19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3"/>
      <c r="D215" s="19"/>
      <c r="E215" s="13"/>
      <c r="F215" s="24"/>
      <c r="G215" s="19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3"/>
      <c r="D216" s="19"/>
      <c r="E216" s="13"/>
      <c r="F216" s="24"/>
      <c r="G216" s="19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3"/>
      <c r="D217" s="19"/>
      <c r="E217" s="13"/>
      <c r="F217" s="24"/>
      <c r="G217" s="19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3"/>
      <c r="D218" s="19"/>
      <c r="E218" s="13"/>
      <c r="F218" s="24"/>
      <c r="G218" s="19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3"/>
      <c r="D219" s="19"/>
      <c r="E219" s="13"/>
      <c r="F219" s="24"/>
      <c r="G219" s="19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3"/>
      <c r="D220" s="19"/>
      <c r="E220" s="13"/>
      <c r="F220" s="24"/>
      <c r="G220" s="19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3"/>
      <c r="D221" s="19"/>
      <c r="E221" s="13"/>
      <c r="F221" s="24"/>
      <c r="G221" s="19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3"/>
      <c r="D222" s="19"/>
      <c r="E222" s="13"/>
      <c r="F222" s="24"/>
      <c r="G222" s="19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3"/>
      <c r="D223" s="19"/>
      <c r="E223" s="13"/>
      <c r="F223" s="24"/>
      <c r="G223" s="19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3"/>
      <c r="D224" s="19"/>
      <c r="E224" s="13"/>
      <c r="F224" s="24"/>
      <c r="G224" s="19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3"/>
      <c r="D225" s="19"/>
      <c r="E225" s="13"/>
      <c r="F225" s="24"/>
      <c r="G225" s="19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3"/>
      <c r="D226" s="19"/>
      <c r="E226" s="13"/>
      <c r="F226" s="24"/>
      <c r="G226" s="19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3"/>
      <c r="D227" s="19"/>
      <c r="E227" s="13"/>
      <c r="F227" s="24"/>
      <c r="G227" s="19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3"/>
      <c r="D228" s="19"/>
      <c r="E228" s="13"/>
      <c r="F228" s="24"/>
      <c r="G228" s="19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3"/>
      <c r="D229" s="19"/>
      <c r="E229" s="13"/>
      <c r="F229" s="24"/>
      <c r="G229" s="19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3"/>
      <c r="D230" s="19"/>
      <c r="E230" s="13"/>
      <c r="F230" s="24"/>
      <c r="G230" s="19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3"/>
      <c r="D231" s="19"/>
      <c r="E231" s="13"/>
      <c r="F231" s="24"/>
      <c r="G231" s="19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3"/>
      <c r="D232" s="19"/>
      <c r="E232" s="13"/>
      <c r="F232" s="24"/>
      <c r="G232" s="19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3"/>
      <c r="D233" s="19"/>
      <c r="E233" s="13"/>
      <c r="F233" s="24"/>
      <c r="G233" s="19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3"/>
      <c r="D234" s="19"/>
      <c r="E234" s="13"/>
      <c r="F234" s="24"/>
      <c r="G234" s="19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3"/>
      <c r="D235" s="19"/>
      <c r="E235" s="13"/>
      <c r="F235" s="24"/>
      <c r="G235" s="19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3"/>
      <c r="D236" s="19"/>
      <c r="E236" s="13"/>
      <c r="F236" s="24"/>
      <c r="G236" s="19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3"/>
      <c r="D237" s="19"/>
      <c r="E237" s="13"/>
      <c r="F237" s="24"/>
      <c r="G237" s="19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3"/>
      <c r="D238" s="19"/>
      <c r="E238" s="13"/>
      <c r="F238" s="24"/>
      <c r="G238" s="19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3"/>
      <c r="D239" s="19"/>
      <c r="E239" s="13"/>
      <c r="F239" s="24"/>
      <c r="G239" s="19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3"/>
      <c r="D240" s="19"/>
      <c r="E240" s="13"/>
      <c r="F240" s="24"/>
      <c r="G240" s="19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3"/>
      <c r="D241" s="19"/>
      <c r="E241" s="13"/>
      <c r="F241" s="24"/>
      <c r="G241" s="19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3"/>
      <c r="D242" s="19"/>
      <c r="E242" s="13"/>
      <c r="F242" s="24"/>
      <c r="G242" s="19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3"/>
      <c r="D243" s="19"/>
      <c r="E243" s="13"/>
      <c r="F243" s="24"/>
      <c r="G243" s="19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3"/>
      <c r="D244" s="19"/>
      <c r="E244" s="13"/>
      <c r="F244" s="24"/>
      <c r="G244" s="19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3"/>
      <c r="D245" s="19"/>
      <c r="E245" s="13"/>
      <c r="F245" s="24"/>
      <c r="G245" s="19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3"/>
      <c r="D246" s="19"/>
      <c r="E246" s="13"/>
      <c r="F246" s="24"/>
      <c r="G246" s="19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3"/>
      <c r="D247" s="19"/>
      <c r="E247" s="13"/>
      <c r="F247" s="24"/>
      <c r="G247" s="19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3"/>
      <c r="D248" s="19"/>
      <c r="E248" s="13"/>
      <c r="F248" s="24"/>
      <c r="G248" s="19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3"/>
      <c r="D249" s="19"/>
      <c r="E249" s="13"/>
      <c r="F249" s="24"/>
      <c r="G249" s="19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3"/>
      <c r="D250" s="19"/>
      <c r="E250" s="13"/>
      <c r="F250" s="24"/>
      <c r="G250" s="19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3"/>
      <c r="D251" s="19"/>
      <c r="E251" s="13"/>
      <c r="F251" s="24"/>
      <c r="G251" s="19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3"/>
      <c r="D252" s="19"/>
      <c r="E252" s="13"/>
      <c r="F252" s="24"/>
      <c r="G252" s="19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3"/>
      <c r="D253" s="19"/>
      <c r="E253" s="13"/>
      <c r="F253" s="24"/>
      <c r="G253" s="19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3"/>
      <c r="D254" s="19"/>
      <c r="E254" s="13"/>
      <c r="F254" s="24"/>
      <c r="G254" s="19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3"/>
      <c r="D255" s="19"/>
      <c r="E255" s="13"/>
      <c r="F255" s="24"/>
      <c r="G255" s="19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3"/>
      <c r="D256" s="19"/>
      <c r="E256" s="13"/>
      <c r="F256" s="24"/>
      <c r="G256" s="19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3"/>
      <c r="D257" s="19"/>
      <c r="E257" s="13"/>
      <c r="F257" s="24"/>
      <c r="G257" s="19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3"/>
      <c r="D258" s="19"/>
      <c r="E258" s="13"/>
      <c r="F258" s="24"/>
      <c r="G258" s="19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3"/>
      <c r="D259" s="19"/>
      <c r="E259" s="13"/>
      <c r="F259" s="24"/>
      <c r="G259" s="19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3"/>
      <c r="D260" s="19"/>
      <c r="E260" s="13"/>
      <c r="F260" s="24"/>
      <c r="G260" s="19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3"/>
      <c r="D261" s="19"/>
      <c r="E261" s="13"/>
      <c r="F261" s="24"/>
      <c r="G261" s="19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3"/>
      <c r="D262" s="19"/>
      <c r="E262" s="13"/>
      <c r="F262" s="24"/>
      <c r="G262" s="19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3"/>
      <c r="D263" s="19"/>
      <c r="E263" s="13"/>
      <c r="F263" s="24"/>
      <c r="G263" s="19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3"/>
      <c r="D264" s="19"/>
      <c r="E264" s="13"/>
      <c r="F264" s="24"/>
      <c r="G264" s="19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3"/>
      <c r="D265" s="19"/>
      <c r="E265" s="13"/>
      <c r="F265" s="24"/>
      <c r="G265" s="19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3"/>
      <c r="D266" s="19"/>
      <c r="E266" s="13"/>
      <c r="F266" s="24"/>
      <c r="G266" s="19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3"/>
      <c r="D267" s="19"/>
      <c r="E267" s="13"/>
      <c r="F267" s="24"/>
      <c r="G267" s="19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3"/>
      <c r="D268" s="19"/>
      <c r="E268" s="13"/>
      <c r="F268" s="24"/>
      <c r="G268" s="19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3"/>
      <c r="D269" s="19"/>
      <c r="E269" s="13"/>
      <c r="F269" s="24"/>
      <c r="G269" s="19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3"/>
      <c r="D270" s="19"/>
      <c r="E270" s="13"/>
      <c r="F270" s="24"/>
      <c r="G270" s="19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3"/>
      <c r="D271" s="19"/>
      <c r="E271" s="13"/>
      <c r="F271" s="24"/>
      <c r="G271" s="19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3"/>
      <c r="D272" s="19"/>
      <c r="E272" s="13"/>
      <c r="F272" s="24"/>
      <c r="G272" s="19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3"/>
      <c r="D273" s="19"/>
      <c r="E273" s="13"/>
      <c r="F273" s="24"/>
      <c r="G273" s="19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3"/>
      <c r="D274" s="19"/>
      <c r="E274" s="13"/>
      <c r="F274" s="24"/>
      <c r="G274" s="19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3"/>
      <c r="D275" s="19"/>
      <c r="E275" s="13"/>
      <c r="F275" s="24"/>
      <c r="G275" s="19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3"/>
      <c r="D276" s="19"/>
      <c r="E276" s="13"/>
      <c r="F276" s="24"/>
      <c r="G276" s="19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3"/>
      <c r="D277" s="19"/>
      <c r="E277" s="13"/>
      <c r="F277" s="24"/>
      <c r="G277" s="19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3"/>
      <c r="D278" s="19"/>
      <c r="E278" s="13"/>
      <c r="F278" s="24"/>
      <c r="G278" s="19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3"/>
      <c r="D279" s="19"/>
      <c r="E279" s="13"/>
      <c r="F279" s="24"/>
      <c r="G279" s="19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3"/>
      <c r="D280" s="19"/>
      <c r="E280" s="13"/>
      <c r="F280" s="24"/>
      <c r="G280" s="19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3"/>
      <c r="D281" s="19"/>
      <c r="E281" s="13"/>
      <c r="F281" s="24"/>
      <c r="G281" s="19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3"/>
      <c r="D282" s="19"/>
      <c r="E282" s="13"/>
      <c r="F282" s="24"/>
      <c r="G282" s="19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3"/>
      <c r="D283" s="19"/>
      <c r="E283" s="13"/>
      <c r="F283" s="24"/>
      <c r="G283" s="19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3"/>
      <c r="D284" s="19"/>
      <c r="E284" s="13"/>
      <c r="F284" s="24"/>
      <c r="G284" s="19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3"/>
      <c r="D285" s="19"/>
      <c r="E285" s="13"/>
      <c r="F285" s="24"/>
      <c r="G285" s="19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3"/>
      <c r="D286" s="19"/>
      <c r="E286" s="13"/>
      <c r="F286" s="24"/>
      <c r="G286" s="19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3"/>
      <c r="D287" s="19"/>
      <c r="E287" s="13"/>
      <c r="F287" s="24"/>
      <c r="G287" s="19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3"/>
      <c r="D288" s="19"/>
      <c r="E288" s="13"/>
      <c r="F288" s="24"/>
      <c r="G288" s="19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3"/>
      <c r="D289" s="19"/>
      <c r="E289" s="13"/>
      <c r="F289" s="24"/>
      <c r="G289" s="19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3"/>
      <c r="D290" s="19"/>
      <c r="E290" s="13"/>
      <c r="F290" s="24"/>
      <c r="G290" s="19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3"/>
      <c r="D291" s="19"/>
      <c r="E291" s="13"/>
      <c r="F291" s="24"/>
      <c r="G291" s="19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3"/>
      <c r="D292" s="19"/>
      <c r="E292" s="13"/>
      <c r="F292" s="24"/>
      <c r="G292" s="19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3"/>
      <c r="D293" s="19"/>
      <c r="E293" s="13"/>
      <c r="F293" s="24"/>
      <c r="G293" s="19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3"/>
      <c r="D294" s="19"/>
      <c r="E294" s="13"/>
      <c r="F294" s="24"/>
      <c r="G294" s="19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3"/>
      <c r="D295" s="19"/>
      <c r="E295" s="13"/>
      <c r="F295" s="24"/>
      <c r="G295" s="19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3"/>
      <c r="D296" s="19"/>
      <c r="E296" s="13"/>
      <c r="F296" s="24"/>
      <c r="G296" s="19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3"/>
      <c r="D297" s="19"/>
      <c r="E297" s="13"/>
      <c r="F297" s="24"/>
      <c r="G297" s="19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3"/>
      <c r="D298" s="19"/>
      <c r="E298" s="13"/>
      <c r="F298" s="24"/>
      <c r="G298" s="19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3"/>
      <c r="D299" s="19"/>
      <c r="E299" s="13"/>
      <c r="F299" s="24"/>
      <c r="G299" s="19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3"/>
      <c r="D300" s="19"/>
      <c r="E300" s="13"/>
      <c r="F300" s="24"/>
      <c r="G300" s="19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3"/>
      <c r="D301" s="19"/>
      <c r="E301" s="13"/>
      <c r="F301" s="24"/>
      <c r="G301" s="19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3"/>
      <c r="D302" s="19"/>
      <c r="E302" s="13"/>
      <c r="F302" s="24"/>
      <c r="G302" s="19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3"/>
      <c r="D303" s="19"/>
      <c r="E303" s="13"/>
      <c r="F303" s="24"/>
      <c r="G303" s="19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3"/>
      <c r="D304" s="19"/>
      <c r="E304" s="13"/>
      <c r="F304" s="24"/>
      <c r="G304" s="19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3"/>
      <c r="D305" s="19"/>
      <c r="E305" s="13"/>
      <c r="F305" s="24"/>
      <c r="G305" s="19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3"/>
      <c r="D306" s="19"/>
      <c r="E306" s="13"/>
      <c r="F306" s="24"/>
      <c r="G306" s="19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3"/>
      <c r="D307" s="19"/>
      <c r="E307" s="13"/>
      <c r="F307" s="24"/>
      <c r="G307" s="19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3"/>
      <c r="D308" s="19"/>
      <c r="E308" s="13"/>
      <c r="F308" s="24"/>
      <c r="G308" s="19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3"/>
      <c r="D309" s="19"/>
      <c r="E309" s="13"/>
      <c r="F309" s="24"/>
      <c r="G309" s="19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3"/>
      <c r="D310" s="19"/>
      <c r="E310" s="13"/>
      <c r="F310" s="24"/>
      <c r="G310" s="19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3"/>
      <c r="D311" s="19"/>
      <c r="E311" s="13"/>
      <c r="F311" s="24"/>
      <c r="G311" s="19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3"/>
      <c r="D312" s="19"/>
      <c r="E312" s="13"/>
      <c r="F312" s="24"/>
      <c r="G312" s="19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3"/>
      <c r="D313" s="19"/>
      <c r="E313" s="13"/>
      <c r="F313" s="24"/>
      <c r="G313" s="19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3"/>
      <c r="D314" s="19"/>
      <c r="E314" s="13"/>
      <c r="F314" s="24"/>
      <c r="G314" s="19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3"/>
      <c r="D315" s="19"/>
      <c r="E315" s="13"/>
      <c r="F315" s="24"/>
      <c r="G315" s="19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3"/>
      <c r="D316" s="19"/>
      <c r="E316" s="13"/>
      <c r="F316" s="24"/>
      <c r="G316" s="19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3"/>
      <c r="D317" s="19"/>
      <c r="E317" s="13"/>
      <c r="F317" s="24"/>
      <c r="G317" s="19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3"/>
      <c r="D318" s="19"/>
      <c r="E318" s="13"/>
      <c r="F318" s="24"/>
      <c r="G318" s="19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3"/>
      <c r="D319" s="19"/>
      <c r="E319" s="13"/>
      <c r="F319" s="24"/>
      <c r="G319" s="19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3"/>
      <c r="D320" s="19"/>
      <c r="E320" s="13"/>
      <c r="F320" s="24"/>
      <c r="G320" s="19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3"/>
      <c r="D321" s="19"/>
      <c r="E321" s="13"/>
      <c r="F321" s="24"/>
      <c r="G321" s="19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3"/>
      <c r="D322" s="19"/>
      <c r="E322" s="13"/>
      <c r="F322" s="24"/>
      <c r="G322" s="19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3"/>
      <c r="D323" s="19"/>
      <c r="E323" s="13"/>
      <c r="F323" s="24"/>
      <c r="G323" s="19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3"/>
      <c r="D324" s="19"/>
      <c r="E324" s="13"/>
      <c r="F324" s="24"/>
      <c r="G324" s="19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3"/>
      <c r="D325" s="19"/>
      <c r="E325" s="13"/>
      <c r="F325" s="24"/>
      <c r="G325" s="19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3"/>
      <c r="D326" s="19"/>
      <c r="E326" s="13"/>
      <c r="F326" s="24"/>
      <c r="G326" s="19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3"/>
      <c r="D327" s="19"/>
      <c r="E327" s="13"/>
      <c r="F327" s="24"/>
      <c r="G327" s="19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3"/>
      <c r="D328" s="19"/>
      <c r="E328" s="13"/>
      <c r="F328" s="24"/>
      <c r="G328" s="19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3"/>
      <c r="D329" s="19"/>
      <c r="E329" s="13"/>
      <c r="F329" s="24"/>
      <c r="G329" s="19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3"/>
      <c r="D330" s="19"/>
      <c r="E330" s="13"/>
      <c r="F330" s="24"/>
      <c r="G330" s="19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3"/>
      <c r="D331" s="19"/>
      <c r="E331" s="13"/>
      <c r="F331" s="24"/>
      <c r="G331" s="19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3"/>
      <c r="D332" s="19"/>
      <c r="E332" s="13"/>
      <c r="F332" s="24"/>
      <c r="G332" s="19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3"/>
      <c r="D333" s="19"/>
      <c r="E333" s="13"/>
      <c r="F333" s="24"/>
      <c r="G333" s="19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3"/>
      <c r="D334" s="19"/>
      <c r="E334" s="13"/>
      <c r="F334" s="24"/>
      <c r="G334" s="19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3"/>
      <c r="D335" s="19"/>
      <c r="E335" s="13"/>
      <c r="F335" s="24"/>
      <c r="G335" s="19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3"/>
      <c r="D336" s="19"/>
      <c r="E336" s="13"/>
      <c r="F336" s="24"/>
      <c r="G336" s="19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3"/>
      <c r="D337" s="19"/>
      <c r="E337" s="13"/>
      <c r="F337" s="24"/>
      <c r="G337" s="19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3"/>
      <c r="D338" s="19"/>
      <c r="E338" s="13"/>
      <c r="F338" s="24"/>
      <c r="G338" s="19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3"/>
      <c r="D339" s="19"/>
      <c r="E339" s="13"/>
      <c r="F339" s="24"/>
      <c r="G339" s="19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3"/>
      <c r="D340" s="19"/>
      <c r="E340" s="13"/>
      <c r="F340" s="24"/>
      <c r="G340" s="19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3"/>
      <c r="D341" s="19"/>
      <c r="E341" s="13"/>
      <c r="F341" s="24"/>
      <c r="G341" s="19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3"/>
      <c r="D342" s="19"/>
      <c r="E342" s="13"/>
      <c r="F342" s="24"/>
      <c r="G342" s="19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3"/>
      <c r="D343" s="19"/>
      <c r="E343" s="13"/>
      <c r="F343" s="24"/>
      <c r="G343" s="19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3"/>
      <c r="D344" s="19"/>
      <c r="E344" s="13"/>
      <c r="F344" s="24"/>
      <c r="G344" s="19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3"/>
      <c r="D345" s="19"/>
      <c r="E345" s="13"/>
      <c r="F345" s="24"/>
      <c r="G345" s="19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3"/>
      <c r="D346" s="19"/>
      <c r="E346" s="13"/>
      <c r="F346" s="24"/>
      <c r="G346" s="19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3"/>
      <c r="D347" s="19"/>
      <c r="E347" s="13"/>
      <c r="F347" s="24"/>
      <c r="G347" s="19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3"/>
      <c r="D348" s="19"/>
      <c r="E348" s="13"/>
      <c r="F348" s="24"/>
      <c r="G348" s="19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3"/>
      <c r="D349" s="19"/>
      <c r="E349" s="13"/>
      <c r="F349" s="24"/>
      <c r="G349" s="19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3"/>
      <c r="D350" s="19"/>
      <c r="E350" s="13"/>
      <c r="F350" s="24"/>
      <c r="G350" s="19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3"/>
      <c r="D351" s="19"/>
      <c r="E351" s="13"/>
      <c r="F351" s="24"/>
      <c r="G351" s="19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3"/>
      <c r="D352" s="19"/>
      <c r="E352" s="13"/>
      <c r="F352" s="24"/>
      <c r="G352" s="19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3"/>
      <c r="D353" s="19"/>
      <c r="E353" s="13"/>
      <c r="F353" s="24"/>
      <c r="G353" s="19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3"/>
      <c r="D354" s="19"/>
      <c r="E354" s="13"/>
      <c r="F354" s="24"/>
      <c r="G354" s="19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3"/>
      <c r="D355" s="19"/>
      <c r="E355" s="13"/>
      <c r="F355" s="24"/>
      <c r="G355" s="19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3"/>
      <c r="D356" s="19"/>
      <c r="E356" s="13"/>
      <c r="F356" s="24"/>
      <c r="G356" s="19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3"/>
      <c r="D357" s="19"/>
      <c r="E357" s="13"/>
      <c r="F357" s="24"/>
      <c r="G357" s="19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3"/>
      <c r="D358" s="19"/>
      <c r="E358" s="13"/>
      <c r="F358" s="24"/>
      <c r="G358" s="19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3"/>
      <c r="D359" s="19"/>
      <c r="E359" s="13"/>
      <c r="F359" s="24"/>
      <c r="G359" s="19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3"/>
      <c r="D360" s="19"/>
      <c r="E360" s="13"/>
      <c r="F360" s="24"/>
      <c r="G360" s="19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3"/>
      <c r="D361" s="19"/>
      <c r="E361" s="13"/>
      <c r="F361" s="24"/>
      <c r="G361" s="19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3"/>
      <c r="D362" s="19"/>
      <c r="E362" s="13"/>
      <c r="F362" s="24"/>
      <c r="G362" s="19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3"/>
      <c r="D363" s="19"/>
      <c r="E363" s="13"/>
      <c r="F363" s="24"/>
      <c r="G363" s="19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3"/>
      <c r="D364" s="19"/>
      <c r="E364" s="13"/>
      <c r="F364" s="24"/>
      <c r="G364" s="19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3"/>
      <c r="D365" s="19"/>
      <c r="E365" s="13"/>
      <c r="F365" s="24"/>
      <c r="G365" s="19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3"/>
      <c r="D366" s="19"/>
      <c r="E366" s="13"/>
      <c r="F366" s="24"/>
      <c r="G366" s="19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3"/>
      <c r="D367" s="19"/>
      <c r="E367" s="13"/>
      <c r="F367" s="24"/>
      <c r="G367" s="19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3"/>
      <c r="D368" s="19"/>
      <c r="E368" s="13"/>
      <c r="F368" s="24"/>
      <c r="G368" s="19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3"/>
      <c r="D369" s="19"/>
      <c r="E369" s="13"/>
      <c r="F369" s="24"/>
      <c r="G369" s="19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3"/>
      <c r="D370" s="19"/>
      <c r="E370" s="13"/>
      <c r="F370" s="24"/>
      <c r="G370" s="19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3"/>
      <c r="D371" s="19"/>
      <c r="E371" s="13"/>
      <c r="F371" s="24"/>
      <c r="G371" s="19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3"/>
      <c r="D372" s="19"/>
      <c r="E372" s="13"/>
      <c r="F372" s="24"/>
      <c r="G372" s="19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3"/>
      <c r="D373" s="19"/>
      <c r="E373" s="13"/>
      <c r="F373" s="24"/>
      <c r="G373" s="19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3"/>
      <c r="D374" s="19"/>
      <c r="E374" s="13"/>
      <c r="F374" s="24"/>
      <c r="G374" s="19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3"/>
      <c r="D375" s="19"/>
      <c r="E375" s="13"/>
      <c r="F375" s="24"/>
      <c r="G375" s="19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3"/>
      <c r="D376" s="19"/>
      <c r="E376" s="13"/>
      <c r="F376" s="24"/>
      <c r="G376" s="19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3"/>
      <c r="D377" s="19"/>
      <c r="E377" s="13"/>
      <c r="F377" s="24"/>
      <c r="G377" s="19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3"/>
      <c r="D378" s="19"/>
      <c r="E378" s="13"/>
      <c r="F378" s="24"/>
      <c r="G378" s="19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3"/>
      <c r="D379" s="19"/>
      <c r="E379" s="13"/>
      <c r="F379" s="24"/>
      <c r="G379" s="19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3"/>
      <c r="D380" s="19"/>
      <c r="E380" s="13"/>
      <c r="F380" s="24"/>
      <c r="G380" s="19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3"/>
      <c r="D381" s="19"/>
      <c r="E381" s="13"/>
      <c r="F381" s="24"/>
      <c r="G381" s="19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3"/>
      <c r="D382" s="19"/>
      <c r="E382" s="13"/>
      <c r="F382" s="24"/>
      <c r="G382" s="19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3"/>
      <c r="D383" s="19"/>
      <c r="E383" s="13"/>
      <c r="F383" s="24"/>
      <c r="G383" s="19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3"/>
      <c r="D384" s="19"/>
      <c r="E384" s="13"/>
      <c r="F384" s="24"/>
      <c r="G384" s="19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3"/>
      <c r="D385" s="19"/>
      <c r="E385" s="13"/>
      <c r="F385" s="24"/>
      <c r="G385" s="19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3"/>
      <c r="D386" s="19"/>
      <c r="E386" s="13"/>
      <c r="F386" s="24"/>
      <c r="G386" s="19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3"/>
      <c r="D387" s="19"/>
      <c r="E387" s="13"/>
      <c r="F387" s="24"/>
      <c r="G387" s="19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3"/>
      <c r="D388" s="19"/>
      <c r="E388" s="13"/>
      <c r="F388" s="24"/>
      <c r="G388" s="19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3"/>
      <c r="D389" s="19"/>
      <c r="E389" s="13"/>
      <c r="F389" s="24"/>
      <c r="G389" s="19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3"/>
      <c r="D390" s="19"/>
      <c r="E390" s="13"/>
      <c r="F390" s="24"/>
      <c r="G390" s="19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3"/>
      <c r="D391" s="19"/>
      <c r="E391" s="13"/>
      <c r="F391" s="24"/>
      <c r="G391" s="19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3"/>
      <c r="D392" s="19"/>
      <c r="E392" s="13"/>
      <c r="F392" s="24"/>
      <c r="G392" s="19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3"/>
      <c r="D393" s="19"/>
      <c r="E393" s="13"/>
      <c r="F393" s="24"/>
      <c r="G393" s="19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3"/>
      <c r="D394" s="19"/>
      <c r="E394" s="13"/>
      <c r="F394" s="24"/>
      <c r="G394" s="19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3"/>
      <c r="D395" s="19"/>
      <c r="E395" s="13"/>
      <c r="F395" s="24"/>
      <c r="G395" s="19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3"/>
      <c r="D396" s="19"/>
      <c r="E396" s="13"/>
      <c r="F396" s="24"/>
      <c r="G396" s="19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3"/>
      <c r="D397" s="19"/>
      <c r="E397" s="13"/>
      <c r="F397" s="24"/>
      <c r="G397" s="19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3"/>
      <c r="D398" s="19"/>
      <c r="E398" s="13"/>
      <c r="F398" s="24"/>
      <c r="G398" s="19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3"/>
      <c r="D399" s="19"/>
      <c r="E399" s="13"/>
      <c r="F399" s="24"/>
      <c r="G399" s="19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3"/>
      <c r="D400" s="19"/>
      <c r="E400" s="13"/>
      <c r="F400" s="24"/>
      <c r="G400" s="19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3"/>
      <c r="D401" s="19"/>
      <c r="E401" s="13"/>
      <c r="F401" s="24"/>
      <c r="G401" s="19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3"/>
      <c r="D402" s="19"/>
      <c r="E402" s="13"/>
      <c r="F402" s="24"/>
      <c r="G402" s="19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3"/>
      <c r="D403" s="19"/>
      <c r="E403" s="13"/>
      <c r="F403" s="24"/>
      <c r="G403" s="19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3"/>
      <c r="D404" s="19"/>
      <c r="E404" s="13"/>
      <c r="F404" s="24"/>
      <c r="G404" s="19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3"/>
      <c r="D405" s="19"/>
      <c r="E405" s="13"/>
      <c r="F405" s="24"/>
      <c r="G405" s="19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3"/>
      <c r="D406" s="19"/>
      <c r="E406" s="13"/>
      <c r="F406" s="24"/>
      <c r="G406" s="19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3"/>
      <c r="D407" s="19"/>
      <c r="E407" s="13"/>
      <c r="F407" s="24"/>
      <c r="G407" s="19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3"/>
      <c r="D408" s="19"/>
      <c r="E408" s="13"/>
      <c r="F408" s="24"/>
      <c r="G408" s="19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3"/>
      <c r="D409" s="19"/>
      <c r="E409" s="13"/>
      <c r="F409" s="24"/>
      <c r="G409" s="19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3"/>
      <c r="D410" s="19"/>
      <c r="E410" s="13"/>
      <c r="F410" s="24"/>
      <c r="G410" s="19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3"/>
      <c r="D411" s="19"/>
      <c r="E411" s="13"/>
      <c r="F411" s="24"/>
      <c r="G411" s="19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3"/>
      <c r="D412" s="19"/>
      <c r="E412" s="13"/>
      <c r="F412" s="24"/>
      <c r="G412" s="19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3"/>
      <c r="D413" s="19"/>
      <c r="E413" s="13"/>
      <c r="F413" s="24"/>
      <c r="G413" s="19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3"/>
      <c r="D414" s="19"/>
      <c r="E414" s="13"/>
      <c r="F414" s="24"/>
      <c r="G414" s="19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3"/>
      <c r="D415" s="19"/>
      <c r="E415" s="13"/>
      <c r="F415" s="24"/>
      <c r="G415" s="19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3"/>
      <c r="D416" s="19"/>
      <c r="E416" s="13"/>
      <c r="F416" s="24"/>
      <c r="G416" s="19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3"/>
      <c r="D417" s="19"/>
      <c r="E417" s="13"/>
      <c r="F417" s="24"/>
      <c r="G417" s="19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3"/>
      <c r="D418" s="19"/>
      <c r="E418" s="13"/>
      <c r="F418" s="24"/>
      <c r="G418" s="19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3"/>
      <c r="D419" s="19"/>
      <c r="E419" s="13"/>
      <c r="F419" s="24"/>
      <c r="G419" s="19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3"/>
      <c r="D420" s="19"/>
      <c r="E420" s="13"/>
      <c r="F420" s="24"/>
      <c r="G420" s="19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3"/>
      <c r="D421" s="19"/>
      <c r="E421" s="13"/>
      <c r="F421" s="24"/>
      <c r="G421" s="19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3"/>
      <c r="D422" s="19"/>
      <c r="E422" s="13"/>
      <c r="F422" s="24"/>
      <c r="G422" s="19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3"/>
      <c r="D423" s="19"/>
      <c r="E423" s="13"/>
      <c r="F423" s="24"/>
      <c r="G423" s="19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3"/>
      <c r="D424" s="19"/>
      <c r="E424" s="13"/>
      <c r="F424" s="24"/>
      <c r="G424" s="19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3"/>
      <c r="D425" s="19"/>
      <c r="E425" s="13"/>
      <c r="F425" s="24"/>
      <c r="G425" s="19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3"/>
      <c r="D426" s="19"/>
      <c r="E426" s="13"/>
      <c r="F426" s="24"/>
      <c r="G426" s="19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3"/>
      <c r="D427" s="19"/>
      <c r="E427" s="13"/>
      <c r="F427" s="24"/>
      <c r="G427" s="19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3"/>
      <c r="D428" s="19"/>
      <c r="E428" s="13"/>
      <c r="F428" s="24"/>
      <c r="G428" s="19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3"/>
      <c r="D429" s="19"/>
      <c r="E429" s="13"/>
      <c r="F429" s="24"/>
      <c r="G429" s="19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3"/>
      <c r="D430" s="19"/>
      <c r="E430" s="13"/>
      <c r="F430" s="24"/>
      <c r="G430" s="19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3"/>
      <c r="D431" s="19"/>
      <c r="E431" s="13"/>
      <c r="F431" s="24"/>
      <c r="G431" s="19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3"/>
      <c r="D432" s="19"/>
      <c r="E432" s="13"/>
      <c r="F432" s="24"/>
      <c r="G432" s="19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3"/>
      <c r="D433" s="19"/>
      <c r="E433" s="13"/>
      <c r="F433" s="24"/>
      <c r="G433" s="19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3"/>
      <c r="D434" s="19"/>
      <c r="E434" s="13"/>
      <c r="F434" s="24"/>
      <c r="G434" s="19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3"/>
      <c r="D435" s="19"/>
      <c r="E435" s="13"/>
      <c r="F435" s="24"/>
      <c r="G435" s="19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3"/>
      <c r="D436" s="19"/>
      <c r="E436" s="13"/>
      <c r="F436" s="24"/>
      <c r="G436" s="19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3"/>
      <c r="D437" s="19"/>
      <c r="E437" s="13"/>
      <c r="F437" s="24"/>
      <c r="G437" s="19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3"/>
      <c r="D438" s="19"/>
      <c r="E438" s="13"/>
      <c r="F438" s="24"/>
      <c r="G438" s="19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3"/>
      <c r="D439" s="19"/>
      <c r="E439" s="13"/>
      <c r="F439" s="24"/>
      <c r="G439" s="19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3"/>
      <c r="D440" s="19"/>
      <c r="E440" s="13"/>
      <c r="F440" s="24"/>
      <c r="G440" s="19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3"/>
      <c r="D441" s="19"/>
      <c r="E441" s="13"/>
      <c r="F441" s="24"/>
      <c r="G441" s="19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3"/>
      <c r="D442" s="19"/>
      <c r="E442" s="13"/>
      <c r="F442" s="24"/>
      <c r="G442" s="19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3"/>
      <c r="D443" s="19"/>
      <c r="E443" s="13"/>
      <c r="F443" s="24"/>
      <c r="G443" s="19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3"/>
      <c r="D444" s="19"/>
      <c r="E444" s="13"/>
      <c r="F444" s="24"/>
      <c r="G444" s="19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3"/>
      <c r="D445" s="19"/>
      <c r="E445" s="13"/>
      <c r="F445" s="24"/>
      <c r="G445" s="19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3"/>
      <c r="D446" s="19"/>
      <c r="E446" s="13"/>
      <c r="F446" s="24"/>
      <c r="G446" s="19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3"/>
      <c r="D447" s="19"/>
      <c r="E447" s="13"/>
      <c r="F447" s="24"/>
      <c r="G447" s="19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3"/>
      <c r="D448" s="19"/>
      <c r="E448" s="13"/>
      <c r="F448" s="24"/>
      <c r="G448" s="19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3"/>
      <c r="D449" s="19"/>
      <c r="E449" s="13"/>
      <c r="F449" s="24"/>
      <c r="G449" s="19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3"/>
      <c r="D450" s="19"/>
      <c r="E450" s="13"/>
      <c r="F450" s="24"/>
      <c r="G450" s="19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3"/>
      <c r="D451" s="19"/>
      <c r="E451" s="13"/>
      <c r="F451" s="24"/>
      <c r="G451" s="19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3"/>
      <c r="D452" s="19"/>
      <c r="E452" s="13"/>
      <c r="F452" s="24"/>
      <c r="G452" s="19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3"/>
      <c r="D453" s="19"/>
      <c r="E453" s="13"/>
      <c r="F453" s="24"/>
      <c r="G453" s="19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3"/>
      <c r="D454" s="19"/>
      <c r="E454" s="13"/>
      <c r="F454" s="24"/>
      <c r="G454" s="19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3"/>
      <c r="D455" s="19"/>
      <c r="E455" s="13"/>
      <c r="F455" s="24"/>
      <c r="G455" s="19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3"/>
      <c r="D456" s="19"/>
      <c r="E456" s="13"/>
      <c r="F456" s="24"/>
      <c r="G456" s="19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3"/>
      <c r="D457" s="19"/>
      <c r="E457" s="13"/>
      <c r="F457" s="24"/>
      <c r="G457" s="19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3"/>
      <c r="D458" s="19"/>
      <c r="E458" s="13"/>
      <c r="F458" s="24"/>
      <c r="G458" s="19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3"/>
      <c r="D459" s="19"/>
      <c r="E459" s="13"/>
      <c r="F459" s="24"/>
      <c r="G459" s="19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3"/>
      <c r="D460" s="19"/>
      <c r="E460" s="13"/>
      <c r="F460" s="24"/>
      <c r="G460" s="19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3"/>
      <c r="D461" s="19"/>
      <c r="E461" s="13"/>
      <c r="F461" s="24"/>
      <c r="G461" s="19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3"/>
      <c r="D462" s="19"/>
      <c r="E462" s="13"/>
      <c r="F462" s="24"/>
      <c r="G462" s="19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3"/>
      <c r="D463" s="19"/>
      <c r="E463" s="13"/>
      <c r="F463" s="24"/>
      <c r="G463" s="19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3"/>
      <c r="D464" s="19"/>
      <c r="E464" s="13"/>
      <c r="F464" s="24"/>
      <c r="G464" s="19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3"/>
      <c r="D465" s="19"/>
      <c r="E465" s="13"/>
      <c r="F465" s="24"/>
      <c r="G465" s="19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3"/>
      <c r="D466" s="19"/>
      <c r="E466" s="13"/>
      <c r="F466" s="24"/>
      <c r="G466" s="19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3"/>
      <c r="D467" s="19"/>
      <c r="E467" s="13"/>
      <c r="F467" s="24"/>
      <c r="G467" s="19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3"/>
      <c r="D468" s="19"/>
      <c r="E468" s="13"/>
      <c r="F468" s="24"/>
      <c r="G468" s="19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3"/>
      <c r="D469" s="19"/>
      <c r="E469" s="13"/>
      <c r="F469" s="24"/>
      <c r="G469" s="19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3"/>
      <c r="D470" s="19"/>
      <c r="E470" s="13"/>
      <c r="F470" s="24"/>
      <c r="G470" s="19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3"/>
      <c r="D471" s="19"/>
      <c r="E471" s="13"/>
      <c r="F471" s="24"/>
      <c r="G471" s="19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3"/>
      <c r="D472" s="19"/>
      <c r="E472" s="13"/>
      <c r="F472" s="24"/>
      <c r="G472" s="19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3"/>
      <c r="D473" s="19"/>
      <c r="E473" s="13"/>
      <c r="F473" s="24"/>
      <c r="G473" s="19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3"/>
      <c r="D474" s="19"/>
      <c r="E474" s="13"/>
      <c r="F474" s="24"/>
      <c r="G474" s="19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3"/>
      <c r="D475" s="19"/>
      <c r="E475" s="13"/>
      <c r="F475" s="24"/>
      <c r="G475" s="19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3"/>
      <c r="D476" s="19"/>
      <c r="E476" s="13"/>
      <c r="F476" s="24"/>
      <c r="G476" s="19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3"/>
      <c r="D477" s="19"/>
      <c r="E477" s="13"/>
      <c r="F477" s="24"/>
      <c r="G477" s="19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3"/>
      <c r="D478" s="19"/>
      <c r="E478" s="13"/>
      <c r="F478" s="24"/>
      <c r="G478" s="19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3"/>
      <c r="D479" s="19"/>
      <c r="E479" s="13"/>
      <c r="F479" s="24"/>
      <c r="G479" s="19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3"/>
      <c r="D480" s="19"/>
      <c r="E480" s="13"/>
      <c r="F480" s="24"/>
      <c r="G480" s="19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3"/>
      <c r="D481" s="19"/>
      <c r="E481" s="13"/>
      <c r="F481" s="24"/>
      <c r="G481" s="19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3"/>
      <c r="D482" s="19"/>
      <c r="E482" s="13"/>
      <c r="F482" s="24"/>
      <c r="G482" s="19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3"/>
      <c r="D483" s="19"/>
      <c r="E483" s="13"/>
      <c r="F483" s="24"/>
      <c r="G483" s="19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3"/>
      <c r="D484" s="19"/>
      <c r="E484" s="13"/>
      <c r="F484" s="24"/>
      <c r="G484" s="19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3"/>
      <c r="D485" s="19"/>
      <c r="E485" s="13"/>
      <c r="F485" s="24"/>
      <c r="G485" s="19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3"/>
      <c r="D486" s="19"/>
      <c r="E486" s="13"/>
      <c r="F486" s="24"/>
      <c r="G486" s="19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3"/>
      <c r="D487" s="19"/>
      <c r="E487" s="13"/>
      <c r="F487" s="24"/>
      <c r="G487" s="19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3"/>
      <c r="D488" s="19"/>
      <c r="E488" s="13"/>
      <c r="F488" s="24"/>
      <c r="G488" s="19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3"/>
      <c r="D489" s="19"/>
      <c r="E489" s="13"/>
      <c r="F489" s="24"/>
      <c r="G489" s="19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3"/>
      <c r="D490" s="19"/>
      <c r="E490" s="13"/>
      <c r="F490" s="24"/>
      <c r="G490" s="19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3"/>
      <c r="D491" s="19"/>
      <c r="E491" s="13"/>
      <c r="F491" s="24"/>
      <c r="G491" s="19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3"/>
      <c r="D492" s="19"/>
      <c r="E492" s="13"/>
      <c r="F492" s="24"/>
      <c r="G492" s="19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3"/>
      <c r="D493" s="19"/>
      <c r="E493" s="13"/>
      <c r="F493" s="24"/>
      <c r="G493" s="19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3"/>
      <c r="D494" s="19"/>
      <c r="E494" s="13"/>
      <c r="F494" s="24"/>
      <c r="G494" s="19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3"/>
      <c r="D495" s="19"/>
      <c r="E495" s="13"/>
      <c r="F495" s="24"/>
      <c r="G495" s="19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3"/>
      <c r="D496" s="19"/>
      <c r="E496" s="13"/>
      <c r="F496" s="24"/>
      <c r="G496" s="19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3"/>
      <c r="D497" s="19"/>
      <c r="E497" s="13"/>
      <c r="F497" s="24"/>
      <c r="G497" s="19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3"/>
      <c r="D498" s="19"/>
      <c r="E498" s="13"/>
      <c r="F498" s="24"/>
      <c r="G498" s="19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3"/>
      <c r="D499" s="19"/>
      <c r="E499" s="13"/>
      <c r="F499" s="24"/>
      <c r="G499" s="19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3"/>
      <c r="D500" s="19"/>
      <c r="E500" s="13"/>
      <c r="F500" s="24"/>
      <c r="G500" s="19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3"/>
      <c r="D501" s="19"/>
      <c r="E501" s="13"/>
      <c r="F501" s="24"/>
      <c r="G501" s="19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3"/>
      <c r="D502" s="19"/>
      <c r="E502" s="13"/>
      <c r="F502" s="24"/>
      <c r="G502" s="19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3"/>
      <c r="D503" s="19"/>
      <c r="E503" s="13"/>
      <c r="F503" s="24"/>
      <c r="G503" s="19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3"/>
      <c r="D504" s="19"/>
      <c r="E504" s="13"/>
      <c r="F504" s="24"/>
      <c r="G504" s="19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3"/>
      <c r="D505" s="19"/>
      <c r="E505" s="13"/>
      <c r="F505" s="24"/>
      <c r="G505" s="19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3"/>
      <c r="D506" s="19"/>
      <c r="E506" s="13"/>
      <c r="F506" s="24"/>
      <c r="G506" s="19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3"/>
      <c r="D507" s="19"/>
      <c r="E507" s="13"/>
      <c r="F507" s="24"/>
      <c r="G507" s="19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3"/>
      <c r="D508" s="19"/>
      <c r="E508" s="13"/>
      <c r="F508" s="24"/>
      <c r="G508" s="19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3"/>
      <c r="D509" s="19"/>
      <c r="E509" s="13"/>
      <c r="F509" s="24"/>
      <c r="G509" s="19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3"/>
      <c r="D510" s="19"/>
      <c r="E510" s="13"/>
      <c r="F510" s="24"/>
      <c r="G510" s="19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3"/>
      <c r="D511" s="19"/>
      <c r="E511" s="13"/>
      <c r="F511" s="24"/>
      <c r="G511" s="19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3"/>
      <c r="D512" s="19"/>
      <c r="E512" s="13"/>
      <c r="F512" s="24"/>
      <c r="G512" s="19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3"/>
      <c r="D513" s="19"/>
      <c r="E513" s="13"/>
      <c r="F513" s="24"/>
      <c r="G513" s="19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3"/>
      <c r="D514" s="19"/>
      <c r="E514" s="13"/>
      <c r="F514" s="24"/>
      <c r="G514" s="19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3"/>
      <c r="D515" s="19"/>
      <c r="E515" s="13"/>
      <c r="F515" s="24"/>
      <c r="G515" s="19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3"/>
      <c r="D516" s="19"/>
      <c r="E516" s="13"/>
      <c r="F516" s="24"/>
      <c r="G516" s="19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3"/>
      <c r="D517" s="19"/>
      <c r="E517" s="13"/>
      <c r="F517" s="24"/>
      <c r="G517" s="19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3"/>
      <c r="D518" s="19"/>
      <c r="E518" s="13"/>
      <c r="F518" s="24"/>
      <c r="G518" s="19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3"/>
      <c r="D519" s="19"/>
      <c r="E519" s="13"/>
      <c r="F519" s="24"/>
      <c r="G519" s="19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3"/>
      <c r="D520" s="19"/>
      <c r="E520" s="13"/>
      <c r="F520" s="24"/>
      <c r="G520" s="19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3"/>
      <c r="D521" s="19"/>
      <c r="E521" s="13"/>
      <c r="F521" s="24"/>
      <c r="G521" s="19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3"/>
      <c r="D522" s="19"/>
      <c r="E522" s="13"/>
      <c r="F522" s="24"/>
      <c r="G522" s="19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3"/>
      <c r="D523" s="19"/>
      <c r="E523" s="13"/>
      <c r="F523" s="24"/>
      <c r="G523" s="19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3"/>
      <c r="D524" s="19"/>
      <c r="E524" s="13"/>
      <c r="F524" s="24"/>
      <c r="G524" s="19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3"/>
      <c r="D525" s="19"/>
      <c r="E525" s="13"/>
      <c r="F525" s="24"/>
      <c r="G525" s="19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3"/>
      <c r="D526" s="19"/>
      <c r="E526" s="13"/>
      <c r="F526" s="24"/>
      <c r="G526" s="19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3"/>
      <c r="D527" s="19"/>
      <c r="E527" s="13"/>
      <c r="F527" s="24"/>
      <c r="G527" s="19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3"/>
      <c r="D528" s="19"/>
      <c r="E528" s="13"/>
      <c r="F528" s="24"/>
      <c r="G528" s="19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3"/>
      <c r="D529" s="19"/>
      <c r="E529" s="13"/>
      <c r="F529" s="24"/>
      <c r="G529" s="19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3"/>
      <c r="D530" s="19"/>
      <c r="E530" s="13"/>
      <c r="F530" s="24"/>
      <c r="G530" s="19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3"/>
      <c r="D531" s="19"/>
      <c r="E531" s="13"/>
      <c r="F531" s="24"/>
      <c r="G531" s="19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3"/>
      <c r="D532" s="19"/>
      <c r="E532" s="13"/>
      <c r="F532" s="24"/>
      <c r="G532" s="19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3"/>
      <c r="D533" s="19"/>
      <c r="E533" s="13"/>
      <c r="F533" s="24"/>
      <c r="G533" s="19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3"/>
      <c r="D534" s="19"/>
      <c r="E534" s="13"/>
      <c r="F534" s="24"/>
      <c r="G534" s="19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3"/>
      <c r="D535" s="19"/>
      <c r="E535" s="13"/>
      <c r="F535" s="24"/>
      <c r="G535" s="19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3"/>
      <c r="D536" s="19"/>
      <c r="E536" s="13"/>
      <c r="F536" s="24"/>
      <c r="G536" s="19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3"/>
      <c r="D537" s="19"/>
      <c r="E537" s="13"/>
      <c r="F537" s="24"/>
      <c r="G537" s="19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3"/>
      <c r="D538" s="19"/>
      <c r="E538" s="13"/>
      <c r="F538" s="24"/>
      <c r="G538" s="19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3"/>
      <c r="D539" s="19"/>
      <c r="E539" s="13"/>
      <c r="F539" s="24"/>
      <c r="G539" s="19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3"/>
      <c r="D540" s="19"/>
      <c r="E540" s="13"/>
      <c r="F540" s="24"/>
      <c r="G540" s="19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3"/>
      <c r="D541" s="19"/>
      <c r="E541" s="13"/>
      <c r="F541" s="24"/>
      <c r="G541" s="19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3"/>
      <c r="D542" s="19"/>
      <c r="E542" s="13"/>
      <c r="F542" s="24"/>
      <c r="G542" s="19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3"/>
      <c r="D543" s="19"/>
      <c r="E543" s="13"/>
      <c r="F543" s="24"/>
      <c r="G543" s="19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3"/>
      <c r="D544" s="19"/>
      <c r="E544" s="13"/>
      <c r="F544" s="24"/>
      <c r="G544" s="19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3"/>
      <c r="D545" s="19"/>
      <c r="E545" s="13"/>
      <c r="F545" s="24"/>
      <c r="G545" s="19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3"/>
      <c r="D546" s="19"/>
      <c r="E546" s="13"/>
      <c r="F546" s="24"/>
      <c r="G546" s="19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3"/>
      <c r="D547" s="19"/>
      <c r="E547" s="13"/>
      <c r="F547" s="24"/>
      <c r="G547" s="19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3"/>
      <c r="D548" s="19"/>
      <c r="E548" s="13"/>
      <c r="F548" s="24"/>
      <c r="G548" s="19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3"/>
      <c r="D549" s="19"/>
      <c r="E549" s="13"/>
      <c r="F549" s="24"/>
      <c r="G549" s="19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3"/>
      <c r="D550" s="19"/>
      <c r="E550" s="13"/>
      <c r="F550" s="24"/>
      <c r="G550" s="19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3"/>
      <c r="D551" s="19"/>
      <c r="E551" s="13"/>
      <c r="F551" s="24"/>
      <c r="G551" s="19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3"/>
      <c r="D552" s="19"/>
      <c r="E552" s="13"/>
      <c r="F552" s="24"/>
      <c r="G552" s="19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3"/>
      <c r="D553" s="19"/>
      <c r="E553" s="13"/>
      <c r="F553" s="24"/>
      <c r="G553" s="19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3"/>
      <c r="D554" s="19"/>
      <c r="E554" s="13"/>
      <c r="F554" s="24"/>
      <c r="G554" s="19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3"/>
      <c r="D555" s="19"/>
      <c r="E555" s="13"/>
      <c r="F555" s="24"/>
      <c r="G555" s="19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3"/>
      <c r="D556" s="19"/>
      <c r="E556" s="13"/>
      <c r="F556" s="24"/>
      <c r="G556" s="19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3"/>
      <c r="D557" s="19"/>
      <c r="E557" s="13"/>
      <c r="F557" s="24"/>
      <c r="G557" s="19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3"/>
      <c r="D558" s="19"/>
      <c r="E558" s="13"/>
      <c r="F558" s="24"/>
      <c r="G558" s="19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3"/>
      <c r="D559" s="19"/>
      <c r="E559" s="13"/>
      <c r="F559" s="24"/>
      <c r="G559" s="19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3"/>
      <c r="D560" s="19"/>
      <c r="E560" s="13"/>
      <c r="F560" s="24"/>
      <c r="G560" s="19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3"/>
      <c r="D561" s="19"/>
      <c r="E561" s="13"/>
      <c r="F561" s="24"/>
      <c r="G561" s="19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3"/>
      <c r="D562" s="19"/>
      <c r="E562" s="13"/>
      <c r="F562" s="24"/>
      <c r="G562" s="19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3"/>
      <c r="D563" s="19"/>
      <c r="E563" s="13"/>
      <c r="F563" s="24"/>
      <c r="G563" s="19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3"/>
      <c r="D564" s="19"/>
      <c r="E564" s="13"/>
      <c r="F564" s="24"/>
      <c r="G564" s="19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3"/>
      <c r="D565" s="19"/>
      <c r="E565" s="13"/>
      <c r="F565" s="24"/>
      <c r="G565" s="19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3"/>
      <c r="D566" s="19"/>
      <c r="E566" s="13"/>
      <c r="F566" s="24"/>
      <c r="G566" s="19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3"/>
      <c r="D567" s="19"/>
      <c r="E567" s="13"/>
      <c r="F567" s="24"/>
      <c r="G567" s="19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3"/>
      <c r="D568" s="19"/>
      <c r="E568" s="13"/>
      <c r="F568" s="24"/>
      <c r="G568" s="19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3"/>
      <c r="D569" s="19"/>
      <c r="E569" s="13"/>
      <c r="F569" s="24"/>
      <c r="G569" s="19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3"/>
      <c r="D570" s="19"/>
      <c r="E570" s="13"/>
      <c r="F570" s="24"/>
      <c r="G570" s="19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3"/>
      <c r="D571" s="19"/>
      <c r="E571" s="13"/>
      <c r="F571" s="24"/>
      <c r="G571" s="19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3"/>
      <c r="D572" s="19"/>
      <c r="E572" s="13"/>
      <c r="F572" s="24"/>
      <c r="G572" s="19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3"/>
      <c r="D573" s="19"/>
      <c r="E573" s="13"/>
      <c r="F573" s="24"/>
      <c r="G573" s="19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3"/>
      <c r="D574" s="19"/>
      <c r="E574" s="13"/>
      <c r="F574" s="24"/>
      <c r="G574" s="19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3"/>
      <c r="D575" s="19"/>
      <c r="E575" s="13"/>
      <c r="F575" s="24"/>
      <c r="G575" s="19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3"/>
      <c r="D576" s="19"/>
      <c r="E576" s="13"/>
      <c r="F576" s="24"/>
      <c r="G576" s="19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3"/>
      <c r="D577" s="19"/>
      <c r="E577" s="13"/>
      <c r="F577" s="24"/>
      <c r="G577" s="19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3"/>
      <c r="D578" s="19"/>
      <c r="E578" s="13"/>
      <c r="F578" s="24"/>
      <c r="G578" s="19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3"/>
      <c r="D579" s="19"/>
      <c r="E579" s="13"/>
      <c r="F579" s="24"/>
      <c r="G579" s="19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3"/>
      <c r="D580" s="19"/>
      <c r="E580" s="13"/>
      <c r="F580" s="24"/>
      <c r="G580" s="19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3"/>
      <c r="D581" s="19"/>
      <c r="E581" s="13"/>
      <c r="F581" s="24"/>
      <c r="G581" s="19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3"/>
      <c r="D582" s="19"/>
      <c r="E582" s="13"/>
      <c r="F582" s="24"/>
      <c r="G582" s="19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3"/>
      <c r="D583" s="19"/>
      <c r="E583" s="13"/>
      <c r="F583" s="24"/>
      <c r="G583" s="19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3"/>
      <c r="D584" s="19"/>
      <c r="E584" s="13"/>
      <c r="F584" s="24"/>
      <c r="G584" s="19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3"/>
      <c r="D585" s="19"/>
      <c r="E585" s="13"/>
      <c r="F585" s="24"/>
      <c r="G585" s="19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3"/>
      <c r="D586" s="19"/>
      <c r="E586" s="13"/>
      <c r="F586" s="24"/>
      <c r="G586" s="19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3"/>
      <c r="D587" s="19"/>
      <c r="E587" s="13"/>
      <c r="F587" s="24"/>
      <c r="G587" s="19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3"/>
      <c r="D588" s="19"/>
      <c r="E588" s="13"/>
      <c r="F588" s="24"/>
      <c r="G588" s="19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3"/>
      <c r="D589" s="19"/>
      <c r="E589" s="13"/>
      <c r="F589" s="24"/>
      <c r="G589" s="19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3"/>
      <c r="D590" s="19"/>
      <c r="E590" s="13"/>
      <c r="F590" s="24"/>
      <c r="G590" s="19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3"/>
      <c r="D591" s="19"/>
      <c r="E591" s="13"/>
      <c r="F591" s="24"/>
      <c r="G591" s="19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3"/>
      <c r="D592" s="19"/>
      <c r="E592" s="13"/>
      <c r="F592" s="24"/>
      <c r="G592" s="19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3"/>
      <c r="D593" s="19"/>
      <c r="E593" s="13"/>
      <c r="F593" s="24"/>
      <c r="G593" s="19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3"/>
      <c r="D594" s="19"/>
      <c r="E594" s="13"/>
      <c r="F594" s="24"/>
      <c r="G594" s="19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3"/>
      <c r="D595" s="19"/>
      <c r="E595" s="13"/>
      <c r="F595" s="24"/>
      <c r="G595" s="19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3"/>
      <c r="D596" s="19"/>
      <c r="E596" s="13"/>
      <c r="F596" s="24"/>
      <c r="G596" s="19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3"/>
      <c r="D597" s="19"/>
      <c r="E597" s="13"/>
      <c r="F597" s="24"/>
      <c r="G597" s="19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3"/>
      <c r="D598" s="19"/>
      <c r="E598" s="13"/>
      <c r="F598" s="24"/>
      <c r="G598" s="19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3"/>
      <c r="D599" s="19"/>
      <c r="E599" s="13"/>
      <c r="F599" s="24"/>
      <c r="G599" s="19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3"/>
      <c r="D600" s="19"/>
      <c r="E600" s="13"/>
      <c r="F600" s="24"/>
      <c r="G600" s="19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3"/>
      <c r="D601" s="19"/>
      <c r="E601" s="13"/>
      <c r="F601" s="24"/>
      <c r="G601" s="19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3"/>
      <c r="D602" s="19"/>
      <c r="E602" s="13"/>
      <c r="F602" s="24"/>
      <c r="G602" s="19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3"/>
      <c r="D603" s="19"/>
      <c r="E603" s="13"/>
      <c r="F603" s="24"/>
      <c r="G603" s="19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3"/>
      <c r="D604" s="19"/>
      <c r="E604" s="13"/>
      <c r="F604" s="24"/>
      <c r="G604" s="19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3"/>
      <c r="D605" s="19"/>
      <c r="E605" s="13"/>
      <c r="F605" s="24"/>
      <c r="G605" s="19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3"/>
      <c r="D606" s="19"/>
      <c r="E606" s="13"/>
      <c r="F606" s="24"/>
      <c r="G606" s="19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3"/>
      <c r="D607" s="19"/>
      <c r="E607" s="13"/>
      <c r="F607" s="24"/>
      <c r="G607" s="19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3"/>
      <c r="D608" s="19"/>
      <c r="E608" s="13"/>
      <c r="F608" s="24"/>
      <c r="G608" s="19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3"/>
      <c r="D609" s="19"/>
      <c r="E609" s="13"/>
      <c r="F609" s="24"/>
      <c r="G609" s="19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3"/>
      <c r="D610" s="19"/>
      <c r="E610" s="13"/>
      <c r="F610" s="24"/>
      <c r="G610" s="19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3"/>
      <c r="D611" s="19"/>
      <c r="E611" s="13"/>
      <c r="F611" s="24"/>
      <c r="G611" s="19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3"/>
      <c r="D612" s="19"/>
      <c r="E612" s="13"/>
      <c r="F612" s="24"/>
      <c r="G612" s="19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3"/>
      <c r="D613" s="19"/>
      <c r="E613" s="13"/>
      <c r="F613" s="24"/>
      <c r="G613" s="19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3"/>
      <c r="D614" s="19"/>
      <c r="E614" s="13"/>
      <c r="F614" s="24"/>
      <c r="G614" s="19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3"/>
      <c r="D615" s="19"/>
      <c r="E615" s="13"/>
      <c r="F615" s="24"/>
      <c r="G615" s="19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3"/>
      <c r="D616" s="19"/>
      <c r="E616" s="13"/>
      <c r="F616" s="24"/>
      <c r="G616" s="19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3"/>
      <c r="D617" s="19"/>
      <c r="E617" s="13"/>
      <c r="F617" s="24"/>
      <c r="G617" s="19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3"/>
      <c r="D618" s="19"/>
      <c r="E618" s="13"/>
      <c r="F618" s="24"/>
      <c r="G618" s="19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3"/>
      <c r="D619" s="19"/>
      <c r="E619" s="13"/>
      <c r="F619" s="24"/>
      <c r="G619" s="19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3"/>
      <c r="D620" s="19"/>
      <c r="E620" s="13"/>
      <c r="F620" s="24"/>
      <c r="G620" s="19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3"/>
      <c r="D621" s="19"/>
      <c r="E621" s="13"/>
      <c r="F621" s="24"/>
      <c r="G621" s="19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3"/>
      <c r="D622" s="19"/>
      <c r="E622" s="13"/>
      <c r="F622" s="24"/>
      <c r="G622" s="19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3"/>
      <c r="D623" s="19"/>
      <c r="E623" s="13"/>
      <c r="F623" s="24"/>
      <c r="G623" s="19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3"/>
      <c r="D624" s="19"/>
      <c r="E624" s="13"/>
      <c r="F624" s="24"/>
      <c r="G624" s="19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3"/>
      <c r="D625" s="19"/>
      <c r="E625" s="13"/>
      <c r="F625" s="24"/>
      <c r="G625" s="19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3"/>
      <c r="D626" s="19"/>
      <c r="E626" s="13"/>
      <c r="F626" s="24"/>
      <c r="G626" s="19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3"/>
      <c r="D627" s="19"/>
      <c r="E627" s="13"/>
      <c r="F627" s="24"/>
      <c r="G627" s="19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3"/>
      <c r="D628" s="19"/>
      <c r="E628" s="13"/>
      <c r="F628" s="24"/>
      <c r="G628" s="19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3"/>
      <c r="D629" s="19"/>
      <c r="E629" s="13"/>
      <c r="F629" s="24"/>
      <c r="G629" s="19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3"/>
      <c r="D630" s="19"/>
      <c r="E630" s="13"/>
      <c r="F630" s="24"/>
      <c r="G630" s="19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3"/>
      <c r="D631" s="19"/>
      <c r="E631" s="13"/>
      <c r="F631" s="24"/>
      <c r="G631" s="19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3"/>
      <c r="D632" s="19"/>
      <c r="E632" s="13"/>
      <c r="F632" s="24"/>
      <c r="G632" s="19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3"/>
      <c r="D633" s="19"/>
      <c r="E633" s="13"/>
      <c r="F633" s="24"/>
      <c r="G633" s="19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3"/>
      <c r="D634" s="19"/>
      <c r="E634" s="13"/>
      <c r="F634" s="24"/>
      <c r="G634" s="19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3"/>
      <c r="D635" s="19"/>
      <c r="E635" s="13"/>
      <c r="F635" s="24"/>
      <c r="G635" s="19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3"/>
      <c r="D636" s="19"/>
      <c r="E636" s="13"/>
      <c r="F636" s="24"/>
      <c r="G636" s="19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3"/>
      <c r="D637" s="19"/>
      <c r="E637" s="13"/>
      <c r="F637" s="24"/>
      <c r="G637" s="19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3"/>
      <c r="D638" s="19"/>
      <c r="E638" s="13"/>
      <c r="F638" s="24"/>
      <c r="G638" s="19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3"/>
      <c r="D639" s="19"/>
      <c r="E639" s="13"/>
      <c r="F639" s="24"/>
      <c r="G639" s="19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3"/>
      <c r="D640" s="19"/>
      <c r="E640" s="13"/>
      <c r="F640" s="24"/>
      <c r="G640" s="19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3"/>
      <c r="D641" s="19"/>
      <c r="E641" s="13"/>
      <c r="F641" s="24"/>
      <c r="G641" s="19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3"/>
      <c r="D642" s="19"/>
      <c r="E642" s="13"/>
      <c r="F642" s="24"/>
      <c r="G642" s="19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3"/>
      <c r="D643" s="19"/>
      <c r="E643" s="13"/>
      <c r="F643" s="24"/>
      <c r="G643" s="19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3"/>
      <c r="D644" s="19"/>
      <c r="E644" s="13"/>
      <c r="F644" s="24"/>
      <c r="G644" s="19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3"/>
      <c r="D645" s="19"/>
      <c r="E645" s="13"/>
      <c r="F645" s="24"/>
      <c r="G645" s="19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3"/>
      <c r="D646" s="19"/>
      <c r="E646" s="13"/>
      <c r="F646" s="24"/>
      <c r="G646" s="19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3"/>
      <c r="D647" s="19"/>
      <c r="E647" s="13"/>
      <c r="F647" s="24"/>
      <c r="G647" s="19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3"/>
      <c r="D648" s="19"/>
      <c r="E648" s="13"/>
      <c r="F648" s="24"/>
      <c r="G648" s="19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3"/>
      <c r="D649" s="19"/>
      <c r="E649" s="13"/>
      <c r="F649" s="24"/>
      <c r="G649" s="19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3"/>
      <c r="D650" s="19"/>
      <c r="E650" s="13"/>
      <c r="F650" s="24"/>
      <c r="G650" s="19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3"/>
      <c r="D651" s="19"/>
      <c r="E651" s="13"/>
      <c r="F651" s="24"/>
      <c r="G651" s="19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3"/>
      <c r="D652" s="19"/>
      <c r="E652" s="13"/>
      <c r="F652" s="24"/>
      <c r="G652" s="19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3"/>
      <c r="D653" s="19"/>
      <c r="E653" s="13"/>
      <c r="F653" s="24"/>
      <c r="G653" s="19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3"/>
      <c r="D654" s="19"/>
      <c r="E654" s="13"/>
      <c r="F654" s="24"/>
      <c r="G654" s="19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3"/>
      <c r="D655" s="19"/>
      <c r="E655" s="13"/>
      <c r="F655" s="24"/>
      <c r="G655" s="19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3"/>
      <c r="D656" s="19"/>
      <c r="E656" s="13"/>
      <c r="F656" s="24"/>
      <c r="G656" s="19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3"/>
      <c r="D657" s="19"/>
      <c r="E657" s="13"/>
      <c r="F657" s="24"/>
      <c r="G657" s="19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3"/>
      <c r="D658" s="19"/>
      <c r="E658" s="13"/>
      <c r="F658" s="24"/>
      <c r="G658" s="19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3"/>
      <c r="D659" s="19"/>
      <c r="E659" s="13"/>
      <c r="F659" s="24"/>
      <c r="G659" s="19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3"/>
      <c r="D660" s="19"/>
      <c r="E660" s="13"/>
      <c r="F660" s="24"/>
      <c r="G660" s="19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3"/>
      <c r="D661" s="19"/>
      <c r="E661" s="13"/>
      <c r="F661" s="24"/>
      <c r="G661" s="19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3"/>
      <c r="D662" s="19"/>
      <c r="E662" s="13"/>
      <c r="F662" s="24"/>
      <c r="G662" s="19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3"/>
      <c r="D663" s="19"/>
      <c r="E663" s="13"/>
      <c r="F663" s="24"/>
      <c r="G663" s="19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3"/>
      <c r="D664" s="19"/>
      <c r="E664" s="13"/>
      <c r="F664" s="24"/>
      <c r="G664" s="19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3"/>
      <c r="D665" s="19"/>
      <c r="E665" s="13"/>
      <c r="F665" s="24"/>
      <c r="G665" s="19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3"/>
      <c r="D666" s="19"/>
      <c r="E666" s="13"/>
      <c r="F666" s="24"/>
      <c r="G666" s="19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3"/>
      <c r="D667" s="19"/>
      <c r="E667" s="13"/>
      <c r="F667" s="24"/>
      <c r="G667" s="19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3"/>
      <c r="D668" s="19"/>
      <c r="E668" s="13"/>
      <c r="F668" s="24"/>
      <c r="G668" s="19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3"/>
      <c r="D669" s="19"/>
      <c r="E669" s="13"/>
      <c r="F669" s="24"/>
      <c r="G669" s="19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3"/>
      <c r="D670" s="19"/>
      <c r="E670" s="13"/>
      <c r="F670" s="24"/>
      <c r="G670" s="19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3"/>
      <c r="D671" s="19"/>
      <c r="E671" s="13"/>
      <c r="F671" s="24"/>
      <c r="G671" s="19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3"/>
      <c r="D672" s="19"/>
      <c r="E672" s="13"/>
      <c r="F672" s="24"/>
      <c r="G672" s="19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3"/>
      <c r="D673" s="19"/>
      <c r="E673" s="13"/>
      <c r="F673" s="24"/>
      <c r="G673" s="19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3"/>
      <c r="D674" s="19"/>
      <c r="E674" s="13"/>
      <c r="F674" s="24"/>
      <c r="G674" s="19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3"/>
      <c r="D675" s="19"/>
      <c r="E675" s="13"/>
      <c r="F675" s="24"/>
      <c r="G675" s="19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3"/>
      <c r="D676" s="19"/>
      <c r="E676" s="13"/>
      <c r="F676" s="24"/>
      <c r="G676" s="19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3"/>
      <c r="D677" s="19"/>
      <c r="E677" s="13"/>
      <c r="F677" s="24"/>
      <c r="G677" s="19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3"/>
      <c r="D678" s="19"/>
      <c r="E678" s="13"/>
      <c r="F678" s="24"/>
      <c r="G678" s="19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3"/>
      <c r="D679" s="19"/>
      <c r="E679" s="13"/>
      <c r="F679" s="24"/>
      <c r="G679" s="19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3"/>
      <c r="D680" s="19"/>
      <c r="E680" s="13"/>
      <c r="F680" s="24"/>
      <c r="G680" s="19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3"/>
      <c r="D681" s="19"/>
      <c r="E681" s="13"/>
      <c r="F681" s="24"/>
      <c r="G681" s="19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3"/>
      <c r="D682" s="19"/>
      <c r="E682" s="13"/>
      <c r="F682" s="24"/>
      <c r="G682" s="19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3"/>
      <c r="D683" s="19"/>
      <c r="E683" s="13"/>
      <c r="F683" s="24"/>
      <c r="G683" s="19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3"/>
      <c r="D684" s="19"/>
      <c r="E684" s="13"/>
      <c r="F684" s="24"/>
      <c r="G684" s="19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3"/>
      <c r="D685" s="19"/>
      <c r="E685" s="13"/>
      <c r="F685" s="24"/>
      <c r="G685" s="19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3"/>
      <c r="D686" s="19"/>
      <c r="E686" s="13"/>
      <c r="F686" s="24"/>
      <c r="G686" s="19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3"/>
      <c r="D687" s="19"/>
      <c r="E687" s="13"/>
      <c r="F687" s="24"/>
      <c r="G687" s="19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3"/>
      <c r="D688" s="19"/>
      <c r="E688" s="13"/>
      <c r="F688" s="24"/>
      <c r="G688" s="19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3"/>
      <c r="D689" s="19"/>
      <c r="E689" s="13"/>
      <c r="F689" s="24"/>
      <c r="G689" s="19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3"/>
      <c r="D690" s="19"/>
      <c r="E690" s="13"/>
      <c r="F690" s="24"/>
      <c r="G690" s="19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3"/>
      <c r="D691" s="19"/>
      <c r="E691" s="13"/>
      <c r="F691" s="24"/>
      <c r="G691" s="19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3"/>
      <c r="D692" s="19"/>
      <c r="E692" s="13"/>
      <c r="F692" s="24"/>
      <c r="G692" s="19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3"/>
      <c r="D693" s="19"/>
      <c r="E693" s="13"/>
      <c r="F693" s="24"/>
      <c r="G693" s="19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3"/>
      <c r="D694" s="19"/>
      <c r="E694" s="13"/>
      <c r="F694" s="24"/>
      <c r="G694" s="19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3"/>
      <c r="D695" s="19"/>
      <c r="E695" s="13"/>
      <c r="F695" s="24"/>
      <c r="G695" s="19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3"/>
      <c r="D696" s="19"/>
      <c r="E696" s="13"/>
      <c r="F696" s="24"/>
      <c r="G696" s="19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3"/>
      <c r="D697" s="19"/>
      <c r="E697" s="13"/>
      <c r="F697" s="24"/>
      <c r="G697" s="19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3"/>
      <c r="D698" s="19"/>
      <c r="E698" s="13"/>
      <c r="F698" s="24"/>
      <c r="G698" s="19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3"/>
      <c r="D699" s="19"/>
      <c r="E699" s="13"/>
      <c r="F699" s="24"/>
      <c r="G699" s="19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3"/>
      <c r="D700" s="19"/>
      <c r="E700" s="13"/>
      <c r="F700" s="24"/>
      <c r="G700" s="19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3"/>
      <c r="D701" s="19"/>
      <c r="E701" s="13"/>
      <c r="F701" s="24"/>
      <c r="G701" s="19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3"/>
      <c r="D702" s="19"/>
      <c r="E702" s="13"/>
      <c r="F702" s="24"/>
      <c r="G702" s="19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3"/>
      <c r="D703" s="19"/>
      <c r="E703" s="13"/>
      <c r="F703" s="24"/>
      <c r="G703" s="19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3"/>
      <c r="D704" s="19"/>
      <c r="E704" s="13"/>
      <c r="F704" s="24"/>
      <c r="G704" s="19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3"/>
      <c r="D705" s="19"/>
      <c r="E705" s="13"/>
      <c r="F705" s="24"/>
      <c r="G705" s="19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3"/>
      <c r="D706" s="19"/>
      <c r="E706" s="13"/>
      <c r="F706" s="24"/>
      <c r="G706" s="19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3"/>
      <c r="D707" s="19"/>
      <c r="E707" s="13"/>
      <c r="F707" s="24"/>
      <c r="G707" s="19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3"/>
      <c r="D708" s="19"/>
      <c r="E708" s="13"/>
      <c r="F708" s="24"/>
      <c r="G708" s="19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3"/>
      <c r="D709" s="19"/>
      <c r="E709" s="13"/>
      <c r="F709" s="24"/>
      <c r="G709" s="19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3"/>
      <c r="D710" s="19"/>
      <c r="E710" s="13"/>
      <c r="F710" s="24"/>
      <c r="G710" s="19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3"/>
      <c r="D711" s="19"/>
      <c r="E711" s="13"/>
      <c r="F711" s="24"/>
      <c r="G711" s="19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3"/>
      <c r="D712" s="19"/>
      <c r="E712" s="13"/>
      <c r="F712" s="24"/>
      <c r="G712" s="19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3"/>
      <c r="D713" s="19"/>
      <c r="E713" s="13"/>
      <c r="F713" s="24"/>
      <c r="G713" s="19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3"/>
      <c r="D714" s="19"/>
      <c r="E714" s="13"/>
      <c r="F714" s="24"/>
      <c r="G714" s="19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3"/>
      <c r="D715" s="19"/>
      <c r="E715" s="13"/>
      <c r="F715" s="24"/>
      <c r="G715" s="19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3"/>
      <c r="D716" s="19"/>
      <c r="E716" s="13"/>
      <c r="F716" s="24"/>
      <c r="G716" s="19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3"/>
      <c r="D717" s="19"/>
      <c r="E717" s="13"/>
      <c r="F717" s="24"/>
      <c r="G717" s="19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3"/>
      <c r="D718" s="19"/>
      <c r="E718" s="13"/>
      <c r="F718" s="24"/>
      <c r="G718" s="19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3"/>
      <c r="D719" s="19"/>
      <c r="E719" s="13"/>
      <c r="F719" s="24"/>
      <c r="G719" s="19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3"/>
      <c r="D720" s="19"/>
      <c r="E720" s="13"/>
      <c r="F720" s="24"/>
      <c r="G720" s="19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3"/>
      <c r="D721" s="19"/>
      <c r="E721" s="13"/>
      <c r="F721" s="24"/>
      <c r="G721" s="19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3"/>
      <c r="D722" s="19"/>
      <c r="E722" s="13"/>
      <c r="F722" s="24"/>
      <c r="G722" s="19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3"/>
      <c r="D723" s="19"/>
      <c r="E723" s="13"/>
      <c r="F723" s="24"/>
      <c r="G723" s="19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3"/>
      <c r="D724" s="19"/>
      <c r="E724" s="13"/>
      <c r="F724" s="24"/>
      <c r="G724" s="19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3"/>
      <c r="D725" s="19"/>
      <c r="E725" s="13"/>
      <c r="F725" s="24"/>
      <c r="G725" s="19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3"/>
      <c r="D726" s="19"/>
      <c r="E726" s="13"/>
      <c r="F726" s="24"/>
      <c r="G726" s="19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3"/>
      <c r="D727" s="19"/>
      <c r="E727" s="13"/>
      <c r="F727" s="24"/>
      <c r="G727" s="19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3"/>
      <c r="D728" s="19"/>
      <c r="E728" s="13"/>
      <c r="F728" s="24"/>
      <c r="G728" s="19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3"/>
      <c r="D729" s="19"/>
      <c r="E729" s="13"/>
      <c r="F729" s="24"/>
      <c r="G729" s="19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3"/>
      <c r="D730" s="19"/>
      <c r="E730" s="13"/>
      <c r="F730" s="24"/>
      <c r="G730" s="19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3"/>
      <c r="D731" s="19"/>
      <c r="E731" s="13"/>
      <c r="F731" s="24"/>
      <c r="G731" s="19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3"/>
      <c r="D732" s="19"/>
      <c r="E732" s="13"/>
      <c r="F732" s="24"/>
      <c r="G732" s="19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3"/>
      <c r="D733" s="19"/>
      <c r="E733" s="13"/>
      <c r="F733" s="24"/>
      <c r="G733" s="19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3"/>
      <c r="D734" s="19"/>
      <c r="E734" s="13"/>
      <c r="F734" s="24"/>
      <c r="G734" s="19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3"/>
      <c r="D735" s="19"/>
      <c r="E735" s="13"/>
      <c r="F735" s="24"/>
      <c r="G735" s="19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3"/>
      <c r="D736" s="19"/>
      <c r="E736" s="13"/>
      <c r="F736" s="24"/>
      <c r="G736" s="19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3"/>
      <c r="D737" s="19"/>
      <c r="E737" s="13"/>
      <c r="F737" s="24"/>
      <c r="G737" s="19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3"/>
      <c r="D738" s="19"/>
      <c r="E738" s="13"/>
      <c r="F738" s="24"/>
      <c r="G738" s="19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3"/>
      <c r="D739" s="19"/>
      <c r="E739" s="13"/>
      <c r="F739" s="24"/>
      <c r="G739" s="19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3"/>
      <c r="D740" s="19"/>
      <c r="E740" s="13"/>
      <c r="F740" s="24"/>
      <c r="G740" s="19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3"/>
      <c r="D741" s="19"/>
      <c r="E741" s="13"/>
      <c r="F741" s="24"/>
      <c r="G741" s="19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3"/>
      <c r="D742" s="19"/>
      <c r="E742" s="13"/>
      <c r="F742" s="24"/>
      <c r="G742" s="19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3"/>
      <c r="D743" s="19"/>
      <c r="E743" s="13"/>
      <c r="F743" s="24"/>
      <c r="G743" s="19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3"/>
      <c r="D744" s="19"/>
      <c r="E744" s="13"/>
      <c r="F744" s="24"/>
      <c r="G744" s="19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3"/>
      <c r="D745" s="19"/>
      <c r="E745" s="13"/>
      <c r="F745" s="24"/>
      <c r="G745" s="19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3"/>
      <c r="D746" s="19"/>
      <c r="E746" s="13"/>
      <c r="F746" s="24"/>
      <c r="G746" s="19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3"/>
      <c r="D747" s="19"/>
      <c r="E747" s="13"/>
      <c r="F747" s="24"/>
      <c r="G747" s="19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3"/>
      <c r="D748" s="19"/>
      <c r="E748" s="13"/>
      <c r="F748" s="24"/>
      <c r="G748" s="19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3"/>
      <c r="D749" s="19"/>
      <c r="E749" s="13"/>
      <c r="F749" s="24"/>
      <c r="G749" s="19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3"/>
      <c r="D750" s="19"/>
      <c r="E750" s="13"/>
      <c r="F750" s="24"/>
      <c r="G750" s="19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3"/>
      <c r="D751" s="19"/>
      <c r="E751" s="13"/>
      <c r="F751" s="24"/>
      <c r="G751" s="19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3"/>
      <c r="D752" s="19"/>
      <c r="E752" s="13"/>
      <c r="F752" s="24"/>
      <c r="G752" s="19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3"/>
      <c r="D753" s="19"/>
      <c r="E753" s="13"/>
      <c r="F753" s="24"/>
      <c r="G753" s="19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3"/>
      <c r="D754" s="19"/>
      <c r="E754" s="13"/>
      <c r="F754" s="24"/>
      <c r="G754" s="19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3"/>
      <c r="D755" s="19"/>
      <c r="E755" s="13"/>
      <c r="F755" s="24"/>
      <c r="G755" s="19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3"/>
      <c r="D756" s="19"/>
      <c r="E756" s="13"/>
      <c r="F756" s="24"/>
      <c r="G756" s="19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3"/>
      <c r="D757" s="19"/>
      <c r="E757" s="13"/>
      <c r="F757" s="24"/>
      <c r="G757" s="19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3"/>
      <c r="D758" s="19"/>
      <c r="E758" s="13"/>
      <c r="F758" s="24"/>
      <c r="G758" s="19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3"/>
      <c r="D759" s="19"/>
      <c r="E759" s="13"/>
      <c r="F759" s="24"/>
      <c r="G759" s="19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3"/>
      <c r="D760" s="19"/>
      <c r="E760" s="13"/>
      <c r="F760" s="24"/>
      <c r="G760" s="19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3"/>
      <c r="D761" s="19"/>
      <c r="E761" s="13"/>
      <c r="F761" s="24"/>
      <c r="G761" s="19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3"/>
      <c r="D762" s="19"/>
      <c r="E762" s="13"/>
      <c r="F762" s="24"/>
      <c r="G762" s="19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3"/>
      <c r="D763" s="19"/>
      <c r="E763" s="13"/>
      <c r="F763" s="24"/>
      <c r="G763" s="19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3"/>
      <c r="D764" s="19"/>
      <c r="E764" s="13"/>
      <c r="F764" s="24"/>
      <c r="G764" s="19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3"/>
      <c r="D765" s="19"/>
      <c r="E765" s="13"/>
      <c r="F765" s="24"/>
      <c r="G765" s="19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3"/>
      <c r="D766" s="19"/>
      <c r="E766" s="13"/>
      <c r="F766" s="24"/>
      <c r="G766" s="19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3"/>
      <c r="D767" s="19"/>
      <c r="E767" s="13"/>
      <c r="F767" s="24"/>
      <c r="G767" s="19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3"/>
      <c r="D768" s="19"/>
      <c r="E768" s="13"/>
      <c r="F768" s="24"/>
      <c r="G768" s="19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3"/>
      <c r="D769" s="19"/>
      <c r="E769" s="13"/>
      <c r="F769" s="24"/>
      <c r="G769" s="19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3"/>
      <c r="D770" s="19"/>
      <c r="E770" s="13"/>
      <c r="F770" s="24"/>
      <c r="G770" s="19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3"/>
      <c r="D771" s="19"/>
      <c r="E771" s="13"/>
      <c r="F771" s="24"/>
      <c r="G771" s="19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3"/>
      <c r="D772" s="19"/>
      <c r="E772" s="13"/>
      <c r="F772" s="24"/>
      <c r="G772" s="19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3"/>
      <c r="D773" s="19"/>
      <c r="E773" s="13"/>
      <c r="F773" s="24"/>
      <c r="G773" s="19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3"/>
      <c r="D774" s="19"/>
      <c r="E774" s="13"/>
      <c r="F774" s="24"/>
      <c r="G774" s="19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3"/>
      <c r="D775" s="19"/>
      <c r="E775" s="13"/>
      <c r="F775" s="24"/>
      <c r="G775" s="19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3"/>
      <c r="D776" s="19"/>
      <c r="E776" s="13"/>
      <c r="F776" s="24"/>
      <c r="G776" s="19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3"/>
      <c r="D777" s="19"/>
      <c r="E777" s="13"/>
      <c r="F777" s="24"/>
      <c r="G777" s="19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3"/>
      <c r="D778" s="19"/>
      <c r="E778" s="13"/>
      <c r="F778" s="24"/>
      <c r="G778" s="19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3"/>
      <c r="D779" s="19"/>
      <c r="E779" s="13"/>
      <c r="F779" s="24"/>
      <c r="G779" s="19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3"/>
      <c r="D780" s="19"/>
      <c r="E780" s="13"/>
      <c r="F780" s="24"/>
      <c r="G780" s="19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3"/>
      <c r="D781" s="19"/>
      <c r="E781" s="13"/>
      <c r="F781" s="24"/>
      <c r="G781" s="19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3"/>
      <c r="D782" s="19"/>
      <c r="E782" s="13"/>
      <c r="F782" s="24"/>
      <c r="G782" s="19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3"/>
      <c r="D783" s="19"/>
      <c r="E783" s="13"/>
      <c r="F783" s="24"/>
      <c r="G783" s="19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3"/>
      <c r="D784" s="19"/>
      <c r="E784" s="13"/>
      <c r="F784" s="24"/>
      <c r="G784" s="19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3"/>
      <c r="D785" s="19"/>
      <c r="E785" s="13"/>
      <c r="F785" s="24"/>
      <c r="G785" s="19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3"/>
      <c r="D786" s="19"/>
      <c r="E786" s="13"/>
      <c r="F786" s="24"/>
      <c r="G786" s="19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3"/>
      <c r="D787" s="19"/>
      <c r="E787" s="13"/>
      <c r="F787" s="24"/>
      <c r="G787" s="19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3"/>
      <c r="D788" s="19"/>
      <c r="E788" s="13"/>
      <c r="F788" s="24"/>
      <c r="G788" s="19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3"/>
      <c r="D789" s="19"/>
      <c r="E789" s="13"/>
      <c r="F789" s="24"/>
      <c r="G789" s="19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3"/>
      <c r="D790" s="19"/>
      <c r="E790" s="13"/>
      <c r="F790" s="24"/>
      <c r="G790" s="19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3"/>
      <c r="D791" s="19"/>
      <c r="E791" s="13"/>
      <c r="F791" s="24"/>
      <c r="G791" s="19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3"/>
      <c r="D792" s="19"/>
      <c r="E792" s="13"/>
      <c r="F792" s="24"/>
      <c r="G792" s="19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3"/>
      <c r="D793" s="19"/>
      <c r="E793" s="13"/>
      <c r="F793" s="24"/>
      <c r="G793" s="19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3"/>
      <c r="D794" s="19"/>
      <c r="E794" s="13"/>
      <c r="F794" s="24"/>
      <c r="G794" s="19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3"/>
      <c r="D795" s="19"/>
      <c r="E795" s="13"/>
      <c r="F795" s="24"/>
      <c r="G795" s="19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3"/>
      <c r="D796" s="19"/>
      <c r="E796" s="13"/>
      <c r="F796" s="24"/>
      <c r="G796" s="19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3"/>
      <c r="D797" s="19"/>
      <c r="E797" s="13"/>
      <c r="F797" s="24"/>
      <c r="G797" s="19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3"/>
      <c r="D798" s="19"/>
      <c r="E798" s="13"/>
      <c r="F798" s="24"/>
      <c r="G798" s="19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3"/>
      <c r="D799" s="19"/>
      <c r="E799" s="13"/>
      <c r="F799" s="24"/>
      <c r="G799" s="19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3"/>
      <c r="D800" s="19"/>
      <c r="E800" s="13"/>
      <c r="F800" s="24"/>
      <c r="G800" s="19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3"/>
      <c r="D801" s="19"/>
      <c r="E801" s="13"/>
      <c r="F801" s="24"/>
      <c r="G801" s="19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3"/>
      <c r="D802" s="19"/>
      <c r="E802" s="13"/>
      <c r="F802" s="24"/>
      <c r="G802" s="19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3"/>
      <c r="D803" s="19"/>
      <c r="E803" s="13"/>
      <c r="F803" s="24"/>
      <c r="G803" s="19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3"/>
      <c r="D804" s="19"/>
      <c r="E804" s="13"/>
      <c r="F804" s="24"/>
      <c r="G804" s="19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3"/>
      <c r="D805" s="19"/>
      <c r="E805" s="13"/>
      <c r="F805" s="24"/>
      <c r="G805" s="19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3"/>
      <c r="D806" s="19"/>
      <c r="E806" s="13"/>
      <c r="F806" s="24"/>
      <c r="G806" s="19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3"/>
      <c r="D807" s="19"/>
      <c r="E807" s="13"/>
      <c r="F807" s="24"/>
      <c r="G807" s="19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3"/>
      <c r="D808" s="19"/>
      <c r="E808" s="13"/>
      <c r="F808" s="24"/>
      <c r="G808" s="19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3"/>
      <c r="D809" s="19"/>
      <c r="E809" s="13"/>
      <c r="F809" s="24"/>
      <c r="G809" s="19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3"/>
      <c r="D810" s="19"/>
      <c r="E810" s="13"/>
      <c r="F810" s="24"/>
      <c r="G810" s="19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3"/>
      <c r="D811" s="19"/>
      <c r="E811" s="13"/>
      <c r="F811" s="24"/>
      <c r="G811" s="19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3"/>
      <c r="D812" s="19"/>
      <c r="E812" s="13"/>
      <c r="F812" s="24"/>
      <c r="G812" s="19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3"/>
      <c r="D813" s="19"/>
      <c r="E813" s="13"/>
      <c r="F813" s="24"/>
      <c r="G813" s="19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3"/>
      <c r="D814" s="19"/>
      <c r="E814" s="13"/>
      <c r="F814" s="24"/>
      <c r="G814" s="19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3"/>
      <c r="D815" s="19"/>
      <c r="E815" s="13"/>
      <c r="F815" s="24"/>
      <c r="G815" s="19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3"/>
      <c r="D816" s="19"/>
      <c r="E816" s="13"/>
      <c r="F816" s="24"/>
      <c r="G816" s="19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3"/>
      <c r="D817" s="19"/>
      <c r="E817" s="13"/>
      <c r="F817" s="24"/>
      <c r="G817" s="19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3"/>
      <c r="D818" s="19"/>
      <c r="E818" s="13"/>
      <c r="F818" s="24"/>
      <c r="G818" s="19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3"/>
      <c r="D819" s="19"/>
      <c r="E819" s="13"/>
      <c r="F819" s="24"/>
      <c r="G819" s="19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3"/>
      <c r="D820" s="19"/>
      <c r="E820" s="13"/>
      <c r="F820" s="24"/>
      <c r="G820" s="19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3"/>
      <c r="D821" s="19"/>
      <c r="E821" s="13"/>
      <c r="F821" s="24"/>
      <c r="G821" s="19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3"/>
      <c r="D822" s="19"/>
      <c r="E822" s="13"/>
      <c r="F822" s="24"/>
      <c r="G822" s="19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3"/>
      <c r="D823" s="19"/>
      <c r="E823" s="13"/>
      <c r="F823" s="24"/>
      <c r="G823" s="19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3"/>
      <c r="D824" s="19"/>
      <c r="E824" s="13"/>
      <c r="F824" s="24"/>
      <c r="G824" s="19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3"/>
      <c r="D825" s="19"/>
      <c r="E825" s="13"/>
      <c r="F825" s="24"/>
      <c r="G825" s="19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3"/>
      <c r="D826" s="19"/>
      <c r="E826" s="13"/>
      <c r="F826" s="24"/>
      <c r="G826" s="19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3"/>
      <c r="D827" s="19"/>
      <c r="E827" s="13"/>
      <c r="F827" s="24"/>
      <c r="G827" s="19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3"/>
      <c r="D828" s="19"/>
      <c r="E828" s="13"/>
      <c r="F828" s="24"/>
      <c r="G828" s="19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3"/>
      <c r="D829" s="19"/>
      <c r="E829" s="13"/>
      <c r="F829" s="24"/>
      <c r="G829" s="19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3"/>
      <c r="D830" s="19"/>
      <c r="E830" s="13"/>
      <c r="F830" s="24"/>
      <c r="G830" s="19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3"/>
      <c r="D831" s="19"/>
      <c r="E831" s="13"/>
      <c r="F831" s="24"/>
      <c r="G831" s="19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3"/>
      <c r="D832" s="19"/>
      <c r="E832" s="13"/>
      <c r="F832" s="24"/>
      <c r="G832" s="19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3"/>
      <c r="D833" s="19"/>
      <c r="E833" s="13"/>
      <c r="F833" s="24"/>
      <c r="G833" s="19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3"/>
      <c r="D834" s="19"/>
      <c r="E834" s="13"/>
      <c r="F834" s="24"/>
      <c r="G834" s="19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3"/>
      <c r="D835" s="19"/>
      <c r="E835" s="13"/>
      <c r="F835" s="24"/>
      <c r="G835" s="19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3"/>
      <c r="D836" s="19"/>
      <c r="E836" s="13"/>
      <c r="F836" s="24"/>
      <c r="G836" s="19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3"/>
      <c r="D837" s="19"/>
      <c r="E837" s="13"/>
      <c r="F837" s="24"/>
      <c r="G837" s="19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3"/>
      <c r="D838" s="19"/>
      <c r="E838" s="13"/>
      <c r="F838" s="24"/>
      <c r="G838" s="19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3"/>
      <c r="D839" s="19"/>
      <c r="E839" s="13"/>
      <c r="F839" s="24"/>
      <c r="G839" s="19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3"/>
      <c r="D840" s="19"/>
      <c r="E840" s="13"/>
      <c r="F840" s="24"/>
      <c r="G840" s="19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3"/>
      <c r="D841" s="19"/>
      <c r="E841" s="13"/>
      <c r="F841" s="24"/>
      <c r="G841" s="19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3"/>
      <c r="D842" s="19"/>
      <c r="E842" s="13"/>
      <c r="F842" s="24"/>
      <c r="G842" s="19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3"/>
      <c r="D843" s="19"/>
      <c r="E843" s="13"/>
      <c r="F843" s="24"/>
      <c r="G843" s="19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3"/>
      <c r="D844" s="19"/>
      <c r="E844" s="13"/>
      <c r="F844" s="24"/>
      <c r="G844" s="19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3"/>
      <c r="D845" s="19"/>
      <c r="E845" s="13"/>
      <c r="F845" s="24"/>
      <c r="G845" s="19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3"/>
      <c r="D846" s="19"/>
      <c r="E846" s="13"/>
      <c r="F846" s="24"/>
      <c r="G846" s="19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3"/>
      <c r="D847" s="19"/>
      <c r="E847" s="13"/>
      <c r="F847" s="24"/>
      <c r="G847" s="19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3"/>
      <c r="D848" s="19"/>
      <c r="E848" s="13"/>
      <c r="F848" s="24"/>
      <c r="G848" s="19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3"/>
      <c r="D849" s="19"/>
      <c r="E849" s="13"/>
      <c r="F849" s="24"/>
      <c r="G849" s="19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3"/>
      <c r="D850" s="19"/>
      <c r="E850" s="13"/>
      <c r="F850" s="24"/>
      <c r="G850" s="19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3"/>
      <c r="D851" s="19"/>
      <c r="E851" s="13"/>
      <c r="F851" s="24"/>
      <c r="G851" s="19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3"/>
      <c r="D852" s="19"/>
      <c r="E852" s="13"/>
      <c r="F852" s="24"/>
      <c r="G852" s="19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3"/>
      <c r="D853" s="19"/>
      <c r="E853" s="13"/>
      <c r="F853" s="24"/>
      <c r="G853" s="19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3"/>
      <c r="D854" s="19"/>
      <c r="E854" s="13"/>
      <c r="F854" s="24"/>
      <c r="G854" s="19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3"/>
      <c r="D855" s="19"/>
      <c r="E855" s="13"/>
      <c r="F855" s="24"/>
      <c r="G855" s="19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3"/>
      <c r="D856" s="19"/>
      <c r="E856" s="13"/>
      <c r="F856" s="24"/>
      <c r="G856" s="19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3"/>
      <c r="D857" s="19"/>
      <c r="E857" s="13"/>
      <c r="F857" s="24"/>
      <c r="G857" s="19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3"/>
      <c r="D858" s="19"/>
      <c r="E858" s="13"/>
      <c r="F858" s="24"/>
      <c r="G858" s="19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3"/>
      <c r="D859" s="19"/>
      <c r="E859" s="13"/>
      <c r="F859" s="24"/>
      <c r="G859" s="19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3"/>
      <c r="D860" s="19"/>
      <c r="E860" s="13"/>
      <c r="F860" s="24"/>
      <c r="G860" s="19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3"/>
      <c r="D861" s="19"/>
      <c r="E861" s="13"/>
      <c r="F861" s="24"/>
      <c r="G861" s="19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3"/>
      <c r="D862" s="19"/>
      <c r="E862" s="13"/>
      <c r="F862" s="24"/>
      <c r="G862" s="19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3"/>
      <c r="D863" s="19"/>
      <c r="E863" s="13"/>
      <c r="F863" s="24"/>
      <c r="G863" s="19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3"/>
      <c r="D864" s="19"/>
      <c r="E864" s="13"/>
      <c r="F864" s="24"/>
      <c r="G864" s="19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3"/>
      <c r="D865" s="19"/>
      <c r="E865" s="13"/>
      <c r="F865" s="24"/>
      <c r="G865" s="19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3"/>
      <c r="D866" s="19"/>
      <c r="E866" s="13"/>
      <c r="F866" s="24"/>
      <c r="G866" s="19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3"/>
      <c r="D867" s="19"/>
      <c r="E867" s="13"/>
      <c r="F867" s="24"/>
      <c r="G867" s="19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3"/>
      <c r="D868" s="19"/>
      <c r="E868" s="13"/>
      <c r="F868" s="24"/>
      <c r="G868" s="19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3"/>
      <c r="D869" s="19"/>
      <c r="E869" s="13"/>
      <c r="F869" s="24"/>
      <c r="G869" s="19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3"/>
      <c r="D870" s="19"/>
      <c r="E870" s="13"/>
      <c r="F870" s="24"/>
      <c r="G870" s="19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3"/>
      <c r="D871" s="19"/>
      <c r="E871" s="13"/>
      <c r="F871" s="24"/>
      <c r="G871" s="19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3"/>
      <c r="D872" s="19"/>
      <c r="E872" s="13"/>
      <c r="F872" s="24"/>
      <c r="G872" s="19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3"/>
      <c r="D873" s="19"/>
      <c r="E873" s="13"/>
      <c r="F873" s="24"/>
      <c r="G873" s="19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3"/>
      <c r="D874" s="19"/>
      <c r="E874" s="13"/>
      <c r="F874" s="24"/>
      <c r="G874" s="19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3"/>
      <c r="D875" s="19"/>
      <c r="E875" s="13"/>
      <c r="F875" s="24"/>
      <c r="G875" s="19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3"/>
      <c r="D876" s="19"/>
      <c r="E876" s="13"/>
      <c r="F876" s="24"/>
      <c r="G876" s="19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3"/>
      <c r="D877" s="19"/>
      <c r="E877" s="13"/>
      <c r="F877" s="24"/>
      <c r="G877" s="19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3"/>
      <c r="D878" s="19"/>
      <c r="E878" s="13"/>
      <c r="F878" s="24"/>
      <c r="G878" s="19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3"/>
      <c r="D879" s="19"/>
      <c r="E879" s="13"/>
      <c r="F879" s="24"/>
      <c r="G879" s="19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3"/>
      <c r="D880" s="19"/>
      <c r="E880" s="13"/>
      <c r="F880" s="24"/>
      <c r="G880" s="19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3"/>
      <c r="D881" s="19"/>
      <c r="E881" s="13"/>
      <c r="F881" s="24"/>
      <c r="G881" s="19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3"/>
      <c r="D882" s="19"/>
      <c r="E882" s="13"/>
      <c r="F882" s="24"/>
      <c r="G882" s="19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3"/>
      <c r="D883" s="19"/>
      <c r="E883" s="13"/>
      <c r="F883" s="24"/>
      <c r="G883" s="19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3"/>
      <c r="D884" s="19"/>
      <c r="E884" s="13"/>
      <c r="F884" s="24"/>
      <c r="G884" s="19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3"/>
      <c r="D885" s="19"/>
      <c r="E885" s="13"/>
      <c r="F885" s="24"/>
      <c r="G885" s="19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3"/>
      <c r="D886" s="19"/>
      <c r="E886" s="13"/>
      <c r="F886" s="24"/>
      <c r="G886" s="19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3"/>
      <c r="D887" s="19"/>
      <c r="E887" s="13"/>
      <c r="F887" s="24"/>
      <c r="G887" s="19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3"/>
      <c r="D888" s="19"/>
      <c r="E888" s="13"/>
      <c r="F888" s="24"/>
      <c r="G888" s="19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3"/>
      <c r="D889" s="19"/>
      <c r="E889" s="13"/>
      <c r="F889" s="24"/>
      <c r="G889" s="19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3"/>
      <c r="D890" s="19"/>
      <c r="E890" s="13"/>
      <c r="F890" s="24"/>
      <c r="G890" s="19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3"/>
      <c r="D891" s="19"/>
      <c r="E891" s="13"/>
      <c r="F891" s="24"/>
      <c r="G891" s="19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3"/>
      <c r="D892" s="19"/>
      <c r="E892" s="13"/>
      <c r="F892" s="24"/>
      <c r="G892" s="19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3"/>
      <c r="D893" s="19"/>
      <c r="E893" s="13"/>
      <c r="F893" s="24"/>
      <c r="G893" s="19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3"/>
      <c r="D894" s="19"/>
      <c r="E894" s="13"/>
      <c r="F894" s="24"/>
      <c r="G894" s="19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3"/>
      <c r="D895" s="19"/>
      <c r="E895" s="13"/>
      <c r="F895" s="24"/>
      <c r="G895" s="19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3"/>
      <c r="D896" s="19"/>
      <c r="E896" s="13"/>
      <c r="F896" s="24"/>
      <c r="G896" s="19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3"/>
      <c r="D897" s="19"/>
      <c r="E897" s="13"/>
      <c r="F897" s="24"/>
      <c r="G897" s="19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3"/>
      <c r="D898" s="19"/>
      <c r="E898" s="13"/>
      <c r="F898" s="24"/>
      <c r="G898" s="19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3"/>
      <c r="D899" s="19"/>
      <c r="E899" s="13"/>
      <c r="F899" s="24"/>
      <c r="G899" s="19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3"/>
      <c r="D900" s="19"/>
      <c r="E900" s="13"/>
      <c r="F900" s="24"/>
      <c r="G900" s="19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" customHeight="1">
      <c r="B901" s="13"/>
      <c r="C901" s="13"/>
      <c r="D901" s="19"/>
      <c r="E901" s="13"/>
      <c r="F901" s="24"/>
      <c r="G901" s="19"/>
    </row>
    <row r="902" spans="1:26" ht="15" customHeight="1">
      <c r="B902" s="13"/>
      <c r="C902" s="13"/>
      <c r="D902" s="19"/>
      <c r="E902" s="13"/>
      <c r="F902" s="24"/>
      <c r="G902" s="19"/>
    </row>
  </sheetData>
  <pageMargins left="0.7" right="0.7" top="0.75" bottom="0.75" header="0" footer="0"/>
  <pageSetup orientation="landscape"/>
  <drawing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Z1000"/>
  <sheetViews>
    <sheetView showGridLines="0" workbookViewId="0">
      <selection activeCell="K11" sqref="K11"/>
    </sheetView>
  </sheetViews>
  <sheetFormatPr defaultColWidth="14.42578125" defaultRowHeight="15" customHeight="1"/>
  <cols>
    <col min="1" max="1" width="11.42578125" customWidth="1"/>
    <col min="2" max="2" width="41.42578125" customWidth="1"/>
    <col min="3" max="3" width="15" bestFit="1" customWidth="1"/>
    <col min="4" max="4" width="16.5703125" customWidth="1"/>
    <col min="5" max="5" width="19.140625" customWidth="1"/>
    <col min="6" max="6" width="22.7109375" customWidth="1"/>
    <col min="7" max="26" width="11.42578125" customWidth="1"/>
  </cols>
  <sheetData>
    <row r="1" spans="1:26" ht="15.75">
      <c r="A1" s="13"/>
      <c r="B1" s="140"/>
      <c r="C1" s="142"/>
      <c r="D1" s="142"/>
      <c r="E1" s="276"/>
      <c r="F1" s="142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5.75">
      <c r="A2" s="13"/>
      <c r="B2" s="158" t="s">
        <v>292</v>
      </c>
      <c r="C2" s="142"/>
      <c r="D2" s="142"/>
      <c r="E2" s="276"/>
      <c r="F2" s="142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>
      <c r="A3" s="13"/>
      <c r="B3" s="158" t="s">
        <v>87</v>
      </c>
      <c r="C3" s="277" t="s">
        <v>39</v>
      </c>
      <c r="D3" s="142"/>
      <c r="E3" s="276"/>
      <c r="F3" s="142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>
      <c r="A4" s="13"/>
      <c r="B4" s="140"/>
      <c r="C4" s="142"/>
      <c r="D4" s="142"/>
      <c r="E4" s="276"/>
      <c r="F4" s="142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1.5">
      <c r="A5" s="13"/>
      <c r="B5" s="140" t="s">
        <v>293</v>
      </c>
      <c r="C5" s="142" t="s">
        <v>294</v>
      </c>
      <c r="D5" s="278" t="s">
        <v>295</v>
      </c>
      <c r="E5" s="279" t="s">
        <v>296</v>
      </c>
      <c r="F5" s="278" t="s">
        <v>297</v>
      </c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>
      <c r="A6" s="13"/>
      <c r="B6" s="140" t="s">
        <v>298</v>
      </c>
      <c r="C6" s="142">
        <f>Maquinas!$F$25</f>
        <v>18640090</v>
      </c>
      <c r="D6" s="280">
        <v>10</v>
      </c>
      <c r="E6" s="276">
        <f>1/Depre!$D6</f>
        <v>0.1</v>
      </c>
      <c r="F6" s="142">
        <f>Depre!$C6*Depre!$E6</f>
        <v>1864009</v>
      </c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>
      <c r="A7" s="13"/>
      <c r="B7" s="140" t="s">
        <v>299</v>
      </c>
      <c r="C7" s="142">
        <f>Maquinas!F36</f>
        <v>3321400</v>
      </c>
      <c r="D7" s="280">
        <v>10</v>
      </c>
      <c r="E7" s="276">
        <f>1/Depre!$D7</f>
        <v>0.1</v>
      </c>
      <c r="F7" s="142">
        <f>Depre!$C7*Depre!$E7</f>
        <v>332140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>
      <c r="A8" s="13"/>
      <c r="B8" s="140" t="s">
        <v>300</v>
      </c>
      <c r="C8" s="142">
        <f>Maquinas!$F$42</f>
        <v>3391594</v>
      </c>
      <c r="D8" s="280">
        <v>5</v>
      </c>
      <c r="E8" s="276">
        <f>1/Depre!$D8</f>
        <v>0.2</v>
      </c>
      <c r="F8" s="142">
        <f>Depre!$C8*Depre!$E8</f>
        <v>678318.8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>
      <c r="A9" s="13"/>
      <c r="B9" s="281" t="s">
        <v>51</v>
      </c>
      <c r="C9" s="282">
        <f>C6+C7+C8</f>
        <v>25353084</v>
      </c>
      <c r="D9" s="282"/>
      <c r="E9" s="283"/>
      <c r="F9" s="282">
        <f>SUM(F6:F8)</f>
        <v>2874467.8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>
      <c r="A10" s="13"/>
      <c r="B10" s="13"/>
      <c r="C10" s="19"/>
      <c r="D10" s="19"/>
      <c r="E10" s="16"/>
      <c r="F10" s="19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>
      <c r="A11" s="13"/>
      <c r="B11" s="13"/>
      <c r="C11" s="19"/>
      <c r="D11" s="19"/>
      <c r="E11" s="16"/>
      <c r="F11" s="19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>
      <c r="A12" s="13"/>
      <c r="B12" s="13"/>
      <c r="C12" s="19"/>
      <c r="D12" s="19"/>
      <c r="E12" s="16"/>
      <c r="F12" s="19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>
      <c r="A13" s="13"/>
      <c r="B13" s="13"/>
      <c r="C13" s="19"/>
      <c r="D13" s="19"/>
      <c r="E13" s="16"/>
      <c r="F13" s="19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>
      <c r="A14" s="13"/>
      <c r="B14" s="13"/>
      <c r="C14" s="19"/>
      <c r="D14" s="19"/>
      <c r="E14" s="16"/>
      <c r="F14" s="19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>
      <c r="A15" s="13"/>
      <c r="B15" s="13"/>
      <c r="C15" s="19"/>
      <c r="D15" s="19"/>
      <c r="E15" s="16"/>
      <c r="F15" s="66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>
      <c r="A16" s="13"/>
      <c r="B16" s="13"/>
      <c r="C16" s="19"/>
      <c r="D16" s="19"/>
      <c r="E16" s="16"/>
      <c r="F16" s="19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>
      <c r="A17" s="13"/>
      <c r="B17" s="13"/>
      <c r="C17" s="19"/>
      <c r="D17" s="19"/>
      <c r="E17" s="16"/>
      <c r="F17" s="19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>
      <c r="A18" s="13"/>
      <c r="B18" s="13"/>
      <c r="C18" s="19"/>
      <c r="D18" s="19"/>
      <c r="E18" s="16"/>
      <c r="F18" s="19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>
      <c r="A19" s="13"/>
      <c r="B19" s="13"/>
      <c r="C19" s="19"/>
      <c r="D19" s="19"/>
      <c r="E19" s="16"/>
      <c r="F19" s="19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>
      <c r="A20" s="13"/>
      <c r="B20" s="13"/>
      <c r="C20" s="19"/>
      <c r="D20" s="19"/>
      <c r="E20" s="16"/>
      <c r="F20" s="19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3"/>
      <c r="B21" s="13"/>
      <c r="C21" s="19"/>
      <c r="D21" s="19"/>
      <c r="E21" s="16"/>
      <c r="F21" s="19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3"/>
      <c r="B22" s="13"/>
      <c r="C22" s="19"/>
      <c r="D22" s="19"/>
      <c r="E22" s="16"/>
      <c r="F22" s="19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3"/>
      <c r="B23" s="13"/>
      <c r="C23" s="19"/>
      <c r="D23" s="19"/>
      <c r="E23" s="16"/>
      <c r="F23" s="19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3"/>
      <c r="B24" s="13"/>
      <c r="C24" s="19"/>
      <c r="D24" s="19"/>
      <c r="E24" s="16"/>
      <c r="F24" s="19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3"/>
      <c r="B25" s="13"/>
      <c r="C25" s="19"/>
      <c r="D25" s="19"/>
      <c r="E25" s="16"/>
      <c r="F25" s="19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3"/>
      <c r="B26" s="13"/>
      <c r="C26" s="19"/>
      <c r="D26" s="19"/>
      <c r="E26" s="16"/>
      <c r="F26" s="19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3"/>
      <c r="B27" s="13"/>
      <c r="C27" s="19"/>
      <c r="D27" s="19"/>
      <c r="E27" s="16"/>
      <c r="F27" s="19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3"/>
      <c r="B28" s="13"/>
      <c r="C28" s="19"/>
      <c r="D28" s="19"/>
      <c r="E28" s="16"/>
      <c r="F28" s="19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3"/>
      <c r="B29" s="13"/>
      <c r="C29" s="19"/>
      <c r="D29" s="19"/>
      <c r="E29" s="16"/>
      <c r="F29" s="19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3"/>
      <c r="B30" s="13"/>
      <c r="C30" s="19"/>
      <c r="D30" s="19"/>
      <c r="E30" s="16"/>
      <c r="F30" s="19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3"/>
      <c r="B31" s="13"/>
      <c r="C31" s="19"/>
      <c r="D31" s="19"/>
      <c r="E31" s="16"/>
      <c r="F31" s="19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3"/>
      <c r="B32" s="13"/>
      <c r="C32" s="19"/>
      <c r="D32" s="19"/>
      <c r="E32" s="16"/>
      <c r="F32" s="19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3"/>
      <c r="B33" s="13"/>
      <c r="C33" s="19"/>
      <c r="D33" s="19"/>
      <c r="E33" s="16"/>
      <c r="F33" s="19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3"/>
      <c r="B34" s="13"/>
      <c r="C34" s="19"/>
      <c r="D34" s="19"/>
      <c r="E34" s="16"/>
      <c r="F34" s="19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3"/>
      <c r="B35" s="13"/>
      <c r="C35" s="19"/>
      <c r="D35" s="19"/>
      <c r="E35" s="16"/>
      <c r="F35" s="19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3"/>
      <c r="B36" s="13"/>
      <c r="C36" s="19"/>
      <c r="D36" s="19"/>
      <c r="E36" s="16"/>
      <c r="F36" s="19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3"/>
      <c r="B37" s="13"/>
      <c r="C37" s="19"/>
      <c r="D37" s="19"/>
      <c r="E37" s="16"/>
      <c r="F37" s="19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3"/>
      <c r="B38" s="13"/>
      <c r="C38" s="19"/>
      <c r="D38" s="19"/>
      <c r="E38" s="16"/>
      <c r="F38" s="19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3"/>
      <c r="B39" s="13"/>
      <c r="C39" s="19"/>
      <c r="D39" s="19"/>
      <c r="E39" s="16"/>
      <c r="F39" s="19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3"/>
      <c r="B40" s="13"/>
      <c r="C40" s="19"/>
      <c r="D40" s="19"/>
      <c r="E40" s="16"/>
      <c r="F40" s="19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3"/>
      <c r="B41" s="13"/>
      <c r="C41" s="19"/>
      <c r="D41" s="19"/>
      <c r="E41" s="16"/>
      <c r="F41" s="19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3"/>
      <c r="B42" s="13"/>
      <c r="C42" s="19"/>
      <c r="D42" s="19"/>
      <c r="E42" s="16"/>
      <c r="F42" s="19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3"/>
      <c r="B43" s="13"/>
      <c r="C43" s="19"/>
      <c r="D43" s="19"/>
      <c r="E43" s="16"/>
      <c r="F43" s="19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3"/>
      <c r="B44" s="13"/>
      <c r="C44" s="19"/>
      <c r="D44" s="19"/>
      <c r="E44" s="16"/>
      <c r="F44" s="19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3"/>
      <c r="B45" s="13"/>
      <c r="C45" s="19"/>
      <c r="D45" s="19"/>
      <c r="E45" s="16"/>
      <c r="F45" s="19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3"/>
      <c r="B46" s="13"/>
      <c r="C46" s="19"/>
      <c r="D46" s="19"/>
      <c r="E46" s="16"/>
      <c r="F46" s="19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3"/>
      <c r="B47" s="13"/>
      <c r="C47" s="19"/>
      <c r="D47" s="19"/>
      <c r="E47" s="16"/>
      <c r="F47" s="19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3"/>
      <c r="B48" s="13"/>
      <c r="C48" s="19"/>
      <c r="D48" s="19"/>
      <c r="E48" s="16"/>
      <c r="F48" s="19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3"/>
      <c r="B49" s="13"/>
      <c r="C49" s="19"/>
      <c r="D49" s="19"/>
      <c r="E49" s="16"/>
      <c r="F49" s="19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3"/>
      <c r="B50" s="13"/>
      <c r="C50" s="19"/>
      <c r="D50" s="19"/>
      <c r="E50" s="16"/>
      <c r="F50" s="19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3"/>
      <c r="B51" s="13"/>
      <c r="C51" s="19"/>
      <c r="D51" s="19"/>
      <c r="E51" s="16"/>
      <c r="F51" s="19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3"/>
      <c r="B52" s="13"/>
      <c r="C52" s="19"/>
      <c r="D52" s="19"/>
      <c r="E52" s="16"/>
      <c r="F52" s="19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3"/>
      <c r="B53" s="13"/>
      <c r="C53" s="19"/>
      <c r="D53" s="19"/>
      <c r="E53" s="16"/>
      <c r="F53" s="19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3"/>
      <c r="B54" s="13"/>
      <c r="C54" s="19"/>
      <c r="D54" s="19"/>
      <c r="E54" s="16"/>
      <c r="F54" s="19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3"/>
      <c r="B55" s="13"/>
      <c r="C55" s="19"/>
      <c r="D55" s="19"/>
      <c r="E55" s="16"/>
      <c r="F55" s="19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3"/>
      <c r="B56" s="13"/>
      <c r="C56" s="19"/>
      <c r="D56" s="19"/>
      <c r="E56" s="16"/>
      <c r="F56" s="19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3"/>
      <c r="B57" s="13"/>
      <c r="C57" s="19"/>
      <c r="D57" s="19"/>
      <c r="E57" s="16"/>
      <c r="F57" s="19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3"/>
      <c r="B58" s="13"/>
      <c r="C58" s="19"/>
      <c r="D58" s="19"/>
      <c r="E58" s="16"/>
      <c r="F58" s="19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3"/>
      <c r="B59" s="13"/>
      <c r="C59" s="19"/>
      <c r="D59" s="19"/>
      <c r="E59" s="16"/>
      <c r="F59" s="19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3"/>
      <c r="B60" s="13"/>
      <c r="C60" s="19"/>
      <c r="D60" s="19"/>
      <c r="E60" s="16"/>
      <c r="F60" s="19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3"/>
      <c r="B61" s="13"/>
      <c r="C61" s="19"/>
      <c r="D61" s="19"/>
      <c r="E61" s="16"/>
      <c r="F61" s="19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3"/>
      <c r="B62" s="13"/>
      <c r="C62" s="19"/>
      <c r="D62" s="19"/>
      <c r="E62" s="16"/>
      <c r="F62" s="19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3"/>
      <c r="B63" s="13"/>
      <c r="C63" s="19"/>
      <c r="D63" s="19"/>
      <c r="E63" s="16"/>
      <c r="F63" s="19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3"/>
      <c r="B64" s="13"/>
      <c r="C64" s="19"/>
      <c r="D64" s="19"/>
      <c r="E64" s="16"/>
      <c r="F64" s="19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9"/>
      <c r="D65" s="19"/>
      <c r="E65" s="16"/>
      <c r="F65" s="19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9"/>
      <c r="D66" s="19"/>
      <c r="E66" s="16"/>
      <c r="F66" s="19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9"/>
      <c r="D67" s="19"/>
      <c r="E67" s="16"/>
      <c r="F67" s="19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9"/>
      <c r="D68" s="19"/>
      <c r="E68" s="16"/>
      <c r="F68" s="19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9"/>
      <c r="D69" s="19"/>
      <c r="E69" s="16"/>
      <c r="F69" s="19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9"/>
      <c r="D70" s="19"/>
      <c r="E70" s="16"/>
      <c r="F70" s="19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9"/>
      <c r="D71" s="19"/>
      <c r="E71" s="16"/>
      <c r="F71" s="19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9"/>
      <c r="D72" s="19"/>
      <c r="E72" s="16"/>
      <c r="F72" s="19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9"/>
      <c r="D73" s="19"/>
      <c r="E73" s="16"/>
      <c r="F73" s="19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9"/>
      <c r="D74" s="19"/>
      <c r="E74" s="16"/>
      <c r="F74" s="19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9"/>
      <c r="D75" s="19"/>
      <c r="E75" s="16"/>
      <c r="F75" s="19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9"/>
      <c r="D76" s="19"/>
      <c r="E76" s="16"/>
      <c r="F76" s="19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9"/>
      <c r="D77" s="19"/>
      <c r="E77" s="16"/>
      <c r="F77" s="19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9"/>
      <c r="D78" s="19"/>
      <c r="E78" s="16"/>
      <c r="F78" s="19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9"/>
      <c r="D79" s="19"/>
      <c r="E79" s="16"/>
      <c r="F79" s="19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9"/>
      <c r="D80" s="19"/>
      <c r="E80" s="16"/>
      <c r="F80" s="19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9"/>
      <c r="D81" s="19"/>
      <c r="E81" s="16"/>
      <c r="F81" s="19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9"/>
      <c r="D82" s="19"/>
      <c r="E82" s="16"/>
      <c r="F82" s="19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9"/>
      <c r="D83" s="19"/>
      <c r="E83" s="16"/>
      <c r="F83" s="19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9"/>
      <c r="D84" s="19"/>
      <c r="E84" s="16"/>
      <c r="F84" s="19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9"/>
      <c r="D85" s="19"/>
      <c r="E85" s="16"/>
      <c r="F85" s="19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9"/>
      <c r="D86" s="19"/>
      <c r="E86" s="16"/>
      <c r="F86" s="19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9"/>
      <c r="D87" s="19"/>
      <c r="E87" s="16"/>
      <c r="F87" s="19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9"/>
      <c r="D88" s="19"/>
      <c r="E88" s="16"/>
      <c r="F88" s="19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9"/>
      <c r="D89" s="19"/>
      <c r="E89" s="16"/>
      <c r="F89" s="19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9"/>
      <c r="D90" s="19"/>
      <c r="E90" s="16"/>
      <c r="F90" s="19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9"/>
      <c r="D91" s="19"/>
      <c r="E91" s="16"/>
      <c r="F91" s="19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9"/>
      <c r="D92" s="19"/>
      <c r="E92" s="16"/>
      <c r="F92" s="19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9"/>
      <c r="D93" s="19"/>
      <c r="E93" s="16"/>
      <c r="F93" s="19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9"/>
      <c r="D94" s="19"/>
      <c r="E94" s="16"/>
      <c r="F94" s="19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9"/>
      <c r="D95" s="19"/>
      <c r="E95" s="16"/>
      <c r="F95" s="19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9"/>
      <c r="D96" s="19"/>
      <c r="E96" s="16"/>
      <c r="F96" s="19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9"/>
      <c r="D97" s="19"/>
      <c r="E97" s="16"/>
      <c r="F97" s="19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9"/>
      <c r="D98" s="19"/>
      <c r="E98" s="16"/>
      <c r="F98" s="19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9"/>
      <c r="D99" s="19"/>
      <c r="E99" s="16"/>
      <c r="F99" s="19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9"/>
      <c r="D100" s="19"/>
      <c r="E100" s="16"/>
      <c r="F100" s="19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9"/>
      <c r="D101" s="19"/>
      <c r="E101" s="16"/>
      <c r="F101" s="19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9"/>
      <c r="D102" s="19"/>
      <c r="E102" s="16"/>
      <c r="F102" s="19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9"/>
      <c r="D103" s="19"/>
      <c r="E103" s="16"/>
      <c r="F103" s="19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9"/>
      <c r="D104" s="19"/>
      <c r="E104" s="16"/>
      <c r="F104" s="19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9"/>
      <c r="D105" s="19"/>
      <c r="E105" s="16"/>
      <c r="F105" s="19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9"/>
      <c r="D106" s="19"/>
      <c r="E106" s="16"/>
      <c r="F106" s="19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9"/>
      <c r="D107" s="19"/>
      <c r="E107" s="16"/>
      <c r="F107" s="19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9"/>
      <c r="D108" s="19"/>
      <c r="E108" s="16"/>
      <c r="F108" s="19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9"/>
      <c r="D109" s="19"/>
      <c r="E109" s="16"/>
      <c r="F109" s="19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9"/>
      <c r="D110" s="19"/>
      <c r="E110" s="16"/>
      <c r="F110" s="19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9"/>
      <c r="D111" s="19"/>
      <c r="E111" s="16"/>
      <c r="F111" s="19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9"/>
      <c r="D112" s="19"/>
      <c r="E112" s="16"/>
      <c r="F112" s="19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9"/>
      <c r="D113" s="19"/>
      <c r="E113" s="16"/>
      <c r="F113" s="19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9"/>
      <c r="D114" s="19"/>
      <c r="E114" s="16"/>
      <c r="F114" s="19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9"/>
      <c r="D115" s="19"/>
      <c r="E115" s="16"/>
      <c r="F115" s="19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9"/>
      <c r="D116" s="19"/>
      <c r="E116" s="16"/>
      <c r="F116" s="19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9"/>
      <c r="D117" s="19"/>
      <c r="E117" s="16"/>
      <c r="F117" s="19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9"/>
      <c r="D118" s="19"/>
      <c r="E118" s="16"/>
      <c r="F118" s="19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9"/>
      <c r="D119" s="19"/>
      <c r="E119" s="16"/>
      <c r="F119" s="19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9"/>
      <c r="D120" s="19"/>
      <c r="E120" s="16"/>
      <c r="F120" s="19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9"/>
      <c r="D121" s="19"/>
      <c r="E121" s="16"/>
      <c r="F121" s="19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9"/>
      <c r="D122" s="19"/>
      <c r="E122" s="16"/>
      <c r="F122" s="19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9"/>
      <c r="D123" s="19"/>
      <c r="E123" s="16"/>
      <c r="F123" s="19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9"/>
      <c r="D124" s="19"/>
      <c r="E124" s="16"/>
      <c r="F124" s="19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9"/>
      <c r="D125" s="19"/>
      <c r="E125" s="16"/>
      <c r="F125" s="19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9"/>
      <c r="D126" s="19"/>
      <c r="E126" s="16"/>
      <c r="F126" s="19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9"/>
      <c r="D127" s="19"/>
      <c r="E127" s="16"/>
      <c r="F127" s="19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9"/>
      <c r="D128" s="19"/>
      <c r="E128" s="16"/>
      <c r="F128" s="19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9"/>
      <c r="D129" s="19"/>
      <c r="E129" s="16"/>
      <c r="F129" s="19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9"/>
      <c r="D130" s="19"/>
      <c r="E130" s="16"/>
      <c r="F130" s="19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9"/>
      <c r="D131" s="19"/>
      <c r="E131" s="16"/>
      <c r="F131" s="19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9"/>
      <c r="D132" s="19"/>
      <c r="E132" s="16"/>
      <c r="F132" s="19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9"/>
      <c r="D133" s="19"/>
      <c r="E133" s="16"/>
      <c r="F133" s="19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9"/>
      <c r="D134" s="19"/>
      <c r="E134" s="16"/>
      <c r="F134" s="19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9"/>
      <c r="D135" s="19"/>
      <c r="E135" s="16"/>
      <c r="F135" s="19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9"/>
      <c r="D136" s="19"/>
      <c r="E136" s="16"/>
      <c r="F136" s="19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9"/>
      <c r="D137" s="19"/>
      <c r="E137" s="16"/>
      <c r="F137" s="19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9"/>
      <c r="D138" s="19"/>
      <c r="E138" s="16"/>
      <c r="F138" s="19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9"/>
      <c r="D139" s="19"/>
      <c r="E139" s="16"/>
      <c r="F139" s="19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9"/>
      <c r="D140" s="19"/>
      <c r="E140" s="16"/>
      <c r="F140" s="19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9"/>
      <c r="D141" s="19"/>
      <c r="E141" s="16"/>
      <c r="F141" s="19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9"/>
      <c r="D142" s="19"/>
      <c r="E142" s="16"/>
      <c r="F142" s="19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9"/>
      <c r="D143" s="19"/>
      <c r="E143" s="16"/>
      <c r="F143" s="19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9"/>
      <c r="D144" s="19"/>
      <c r="E144" s="16"/>
      <c r="F144" s="19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9"/>
      <c r="D145" s="19"/>
      <c r="E145" s="16"/>
      <c r="F145" s="19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9"/>
      <c r="D146" s="19"/>
      <c r="E146" s="16"/>
      <c r="F146" s="19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9"/>
      <c r="D147" s="19"/>
      <c r="E147" s="16"/>
      <c r="F147" s="19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9"/>
      <c r="D148" s="19"/>
      <c r="E148" s="16"/>
      <c r="F148" s="19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9"/>
      <c r="D149" s="19"/>
      <c r="E149" s="16"/>
      <c r="F149" s="19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9"/>
      <c r="D150" s="19"/>
      <c r="E150" s="16"/>
      <c r="F150" s="19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9"/>
      <c r="D151" s="19"/>
      <c r="E151" s="16"/>
      <c r="F151" s="19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9"/>
      <c r="D152" s="19"/>
      <c r="E152" s="16"/>
      <c r="F152" s="19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9"/>
      <c r="D153" s="19"/>
      <c r="E153" s="16"/>
      <c r="F153" s="19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9"/>
      <c r="D154" s="19"/>
      <c r="E154" s="16"/>
      <c r="F154" s="19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9"/>
      <c r="D155" s="19"/>
      <c r="E155" s="16"/>
      <c r="F155" s="19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9"/>
      <c r="D156" s="19"/>
      <c r="E156" s="16"/>
      <c r="F156" s="19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9"/>
      <c r="D157" s="19"/>
      <c r="E157" s="16"/>
      <c r="F157" s="19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9"/>
      <c r="D158" s="19"/>
      <c r="E158" s="16"/>
      <c r="F158" s="19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9"/>
      <c r="D159" s="19"/>
      <c r="E159" s="16"/>
      <c r="F159" s="19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9"/>
      <c r="D160" s="19"/>
      <c r="E160" s="16"/>
      <c r="F160" s="19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9"/>
      <c r="D161" s="19"/>
      <c r="E161" s="16"/>
      <c r="F161" s="19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9"/>
      <c r="D162" s="19"/>
      <c r="E162" s="16"/>
      <c r="F162" s="19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9"/>
      <c r="D163" s="19"/>
      <c r="E163" s="16"/>
      <c r="F163" s="19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9"/>
      <c r="D164" s="19"/>
      <c r="E164" s="16"/>
      <c r="F164" s="19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9"/>
      <c r="D165" s="19"/>
      <c r="E165" s="16"/>
      <c r="F165" s="19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9"/>
      <c r="D166" s="19"/>
      <c r="E166" s="16"/>
      <c r="F166" s="19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9"/>
      <c r="D167" s="19"/>
      <c r="E167" s="16"/>
      <c r="F167" s="19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9"/>
      <c r="D168" s="19"/>
      <c r="E168" s="16"/>
      <c r="F168" s="19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9"/>
      <c r="D169" s="19"/>
      <c r="E169" s="16"/>
      <c r="F169" s="19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9"/>
      <c r="D170" s="19"/>
      <c r="E170" s="16"/>
      <c r="F170" s="19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9"/>
      <c r="D171" s="19"/>
      <c r="E171" s="16"/>
      <c r="F171" s="19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9"/>
      <c r="D172" s="19"/>
      <c r="E172" s="16"/>
      <c r="F172" s="19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9"/>
      <c r="D173" s="19"/>
      <c r="E173" s="16"/>
      <c r="F173" s="19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9"/>
      <c r="D174" s="19"/>
      <c r="E174" s="16"/>
      <c r="F174" s="19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9"/>
      <c r="D175" s="19"/>
      <c r="E175" s="16"/>
      <c r="F175" s="19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9"/>
      <c r="D176" s="19"/>
      <c r="E176" s="16"/>
      <c r="F176" s="19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9"/>
      <c r="D177" s="19"/>
      <c r="E177" s="16"/>
      <c r="F177" s="19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9"/>
      <c r="D178" s="19"/>
      <c r="E178" s="16"/>
      <c r="F178" s="19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9"/>
      <c r="D179" s="19"/>
      <c r="E179" s="16"/>
      <c r="F179" s="19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9"/>
      <c r="D180" s="19"/>
      <c r="E180" s="16"/>
      <c r="F180" s="19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9"/>
      <c r="D181" s="19"/>
      <c r="E181" s="16"/>
      <c r="F181" s="19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9"/>
      <c r="D182" s="19"/>
      <c r="E182" s="16"/>
      <c r="F182" s="19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9"/>
      <c r="D183" s="19"/>
      <c r="E183" s="16"/>
      <c r="F183" s="19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9"/>
      <c r="D184" s="19"/>
      <c r="E184" s="16"/>
      <c r="F184" s="19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9"/>
      <c r="D185" s="19"/>
      <c r="E185" s="16"/>
      <c r="F185" s="19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9"/>
      <c r="D186" s="19"/>
      <c r="E186" s="16"/>
      <c r="F186" s="19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9"/>
      <c r="D187" s="19"/>
      <c r="E187" s="16"/>
      <c r="F187" s="19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9"/>
      <c r="D188" s="19"/>
      <c r="E188" s="16"/>
      <c r="F188" s="19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9"/>
      <c r="D189" s="19"/>
      <c r="E189" s="16"/>
      <c r="F189" s="19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9"/>
      <c r="D190" s="19"/>
      <c r="E190" s="16"/>
      <c r="F190" s="19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9"/>
      <c r="D191" s="19"/>
      <c r="E191" s="16"/>
      <c r="F191" s="19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9"/>
      <c r="D192" s="19"/>
      <c r="E192" s="16"/>
      <c r="F192" s="19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9"/>
      <c r="D193" s="19"/>
      <c r="E193" s="16"/>
      <c r="F193" s="19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9"/>
      <c r="D194" s="19"/>
      <c r="E194" s="16"/>
      <c r="F194" s="19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9"/>
      <c r="D195" s="19"/>
      <c r="E195" s="16"/>
      <c r="F195" s="19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9"/>
      <c r="D196" s="19"/>
      <c r="E196" s="16"/>
      <c r="F196" s="19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9"/>
      <c r="D197" s="19"/>
      <c r="E197" s="16"/>
      <c r="F197" s="19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9"/>
      <c r="D198" s="19"/>
      <c r="E198" s="16"/>
      <c r="F198" s="19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9"/>
      <c r="D199" s="19"/>
      <c r="E199" s="16"/>
      <c r="F199" s="19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9"/>
      <c r="D200" s="19"/>
      <c r="E200" s="16"/>
      <c r="F200" s="19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9"/>
      <c r="D201" s="19"/>
      <c r="E201" s="16"/>
      <c r="F201" s="19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9"/>
      <c r="D202" s="19"/>
      <c r="E202" s="16"/>
      <c r="F202" s="19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9"/>
      <c r="D203" s="19"/>
      <c r="E203" s="16"/>
      <c r="F203" s="19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9"/>
      <c r="D204" s="19"/>
      <c r="E204" s="16"/>
      <c r="F204" s="19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9"/>
      <c r="D205" s="19"/>
      <c r="E205" s="16"/>
      <c r="F205" s="19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9"/>
      <c r="D206" s="19"/>
      <c r="E206" s="16"/>
      <c r="F206" s="19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9"/>
      <c r="D207" s="19"/>
      <c r="E207" s="16"/>
      <c r="F207" s="19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9"/>
      <c r="D208" s="19"/>
      <c r="E208" s="16"/>
      <c r="F208" s="19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9"/>
      <c r="D209" s="19"/>
      <c r="E209" s="16"/>
      <c r="F209" s="19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9"/>
      <c r="D210" s="19"/>
      <c r="E210" s="16"/>
      <c r="F210" s="19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9"/>
      <c r="D211" s="19"/>
      <c r="E211" s="16"/>
      <c r="F211" s="19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9"/>
      <c r="D212" s="19"/>
      <c r="E212" s="16"/>
      <c r="F212" s="19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9"/>
      <c r="D213" s="19"/>
      <c r="E213" s="16"/>
      <c r="F213" s="19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9"/>
      <c r="D214" s="19"/>
      <c r="E214" s="16"/>
      <c r="F214" s="19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9"/>
      <c r="D215" s="19"/>
      <c r="E215" s="16"/>
      <c r="F215" s="19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9"/>
      <c r="D216" s="19"/>
      <c r="E216" s="16"/>
      <c r="F216" s="19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9"/>
      <c r="D217" s="19"/>
      <c r="E217" s="16"/>
      <c r="F217" s="19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9"/>
      <c r="D218" s="19"/>
      <c r="E218" s="16"/>
      <c r="F218" s="19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9"/>
      <c r="D219" s="19"/>
      <c r="E219" s="16"/>
      <c r="F219" s="19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9"/>
      <c r="D220" s="19"/>
      <c r="E220" s="16"/>
      <c r="F220" s="19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9"/>
      <c r="D221" s="19"/>
      <c r="E221" s="16"/>
      <c r="F221" s="19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9"/>
      <c r="D222" s="19"/>
      <c r="E222" s="16"/>
      <c r="F222" s="19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9"/>
      <c r="D223" s="19"/>
      <c r="E223" s="16"/>
      <c r="F223" s="19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9"/>
      <c r="D224" s="19"/>
      <c r="E224" s="16"/>
      <c r="F224" s="19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9"/>
      <c r="D225" s="19"/>
      <c r="E225" s="16"/>
      <c r="F225" s="19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9"/>
      <c r="D226" s="19"/>
      <c r="E226" s="16"/>
      <c r="F226" s="19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9"/>
      <c r="D227" s="19"/>
      <c r="E227" s="16"/>
      <c r="F227" s="19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9"/>
      <c r="D228" s="19"/>
      <c r="E228" s="16"/>
      <c r="F228" s="19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9"/>
      <c r="D229" s="19"/>
      <c r="E229" s="16"/>
      <c r="F229" s="19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9"/>
      <c r="D230" s="19"/>
      <c r="E230" s="16"/>
      <c r="F230" s="19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9"/>
      <c r="D231" s="19"/>
      <c r="E231" s="16"/>
      <c r="F231" s="19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9"/>
      <c r="D232" s="19"/>
      <c r="E232" s="16"/>
      <c r="F232" s="19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9"/>
      <c r="D233" s="19"/>
      <c r="E233" s="16"/>
      <c r="F233" s="19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9"/>
      <c r="D234" s="19"/>
      <c r="E234" s="16"/>
      <c r="F234" s="19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9"/>
      <c r="D235" s="19"/>
      <c r="E235" s="16"/>
      <c r="F235" s="19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9"/>
      <c r="D236" s="19"/>
      <c r="E236" s="16"/>
      <c r="F236" s="19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9"/>
      <c r="D237" s="19"/>
      <c r="E237" s="16"/>
      <c r="F237" s="19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9"/>
      <c r="D238" s="19"/>
      <c r="E238" s="16"/>
      <c r="F238" s="19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9"/>
      <c r="D239" s="19"/>
      <c r="E239" s="16"/>
      <c r="F239" s="19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9"/>
      <c r="D240" s="19"/>
      <c r="E240" s="16"/>
      <c r="F240" s="19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9"/>
      <c r="D241" s="19"/>
      <c r="E241" s="16"/>
      <c r="F241" s="19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9"/>
      <c r="D242" s="19"/>
      <c r="E242" s="16"/>
      <c r="F242" s="19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9"/>
      <c r="D243" s="19"/>
      <c r="E243" s="16"/>
      <c r="F243" s="19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9"/>
      <c r="D244" s="19"/>
      <c r="E244" s="16"/>
      <c r="F244" s="19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9"/>
      <c r="D245" s="19"/>
      <c r="E245" s="16"/>
      <c r="F245" s="19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9"/>
      <c r="D246" s="19"/>
      <c r="E246" s="16"/>
      <c r="F246" s="19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9"/>
      <c r="D247" s="19"/>
      <c r="E247" s="16"/>
      <c r="F247" s="19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9"/>
      <c r="D248" s="19"/>
      <c r="E248" s="16"/>
      <c r="F248" s="19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9"/>
      <c r="D249" s="19"/>
      <c r="E249" s="16"/>
      <c r="F249" s="19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9"/>
      <c r="D250" s="19"/>
      <c r="E250" s="16"/>
      <c r="F250" s="19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9"/>
      <c r="D251" s="19"/>
      <c r="E251" s="16"/>
      <c r="F251" s="19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9"/>
      <c r="D252" s="19"/>
      <c r="E252" s="16"/>
      <c r="F252" s="19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9"/>
      <c r="D253" s="19"/>
      <c r="E253" s="16"/>
      <c r="F253" s="19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9"/>
      <c r="D254" s="19"/>
      <c r="E254" s="16"/>
      <c r="F254" s="19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9"/>
      <c r="D255" s="19"/>
      <c r="E255" s="16"/>
      <c r="F255" s="19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9"/>
      <c r="D256" s="19"/>
      <c r="E256" s="16"/>
      <c r="F256" s="19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9"/>
      <c r="D257" s="19"/>
      <c r="E257" s="16"/>
      <c r="F257" s="19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9"/>
      <c r="D258" s="19"/>
      <c r="E258" s="16"/>
      <c r="F258" s="19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9"/>
      <c r="D259" s="19"/>
      <c r="E259" s="16"/>
      <c r="F259" s="19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9"/>
      <c r="D260" s="19"/>
      <c r="E260" s="16"/>
      <c r="F260" s="19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9"/>
      <c r="D261" s="19"/>
      <c r="E261" s="16"/>
      <c r="F261" s="19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9"/>
      <c r="D262" s="19"/>
      <c r="E262" s="16"/>
      <c r="F262" s="19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9"/>
      <c r="D263" s="19"/>
      <c r="E263" s="16"/>
      <c r="F263" s="19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9"/>
      <c r="D264" s="19"/>
      <c r="E264" s="16"/>
      <c r="F264" s="19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9"/>
      <c r="D265" s="19"/>
      <c r="E265" s="16"/>
      <c r="F265" s="19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9"/>
      <c r="D266" s="19"/>
      <c r="E266" s="16"/>
      <c r="F266" s="19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9"/>
      <c r="D267" s="19"/>
      <c r="E267" s="16"/>
      <c r="F267" s="19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9"/>
      <c r="D268" s="19"/>
      <c r="E268" s="16"/>
      <c r="F268" s="19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9"/>
      <c r="D269" s="19"/>
      <c r="E269" s="16"/>
      <c r="F269" s="19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9"/>
      <c r="D270" s="19"/>
      <c r="E270" s="16"/>
      <c r="F270" s="19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9"/>
      <c r="D271" s="19"/>
      <c r="E271" s="16"/>
      <c r="F271" s="19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9"/>
      <c r="D272" s="19"/>
      <c r="E272" s="16"/>
      <c r="F272" s="19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9"/>
      <c r="D273" s="19"/>
      <c r="E273" s="16"/>
      <c r="F273" s="19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9"/>
      <c r="D274" s="19"/>
      <c r="E274" s="16"/>
      <c r="F274" s="19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9"/>
      <c r="D275" s="19"/>
      <c r="E275" s="16"/>
      <c r="F275" s="19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9"/>
      <c r="D276" s="19"/>
      <c r="E276" s="16"/>
      <c r="F276" s="19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9"/>
      <c r="D277" s="19"/>
      <c r="E277" s="16"/>
      <c r="F277" s="19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9"/>
      <c r="D278" s="19"/>
      <c r="E278" s="16"/>
      <c r="F278" s="19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9"/>
      <c r="D279" s="19"/>
      <c r="E279" s="16"/>
      <c r="F279" s="19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9"/>
      <c r="D280" s="19"/>
      <c r="E280" s="16"/>
      <c r="F280" s="19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9"/>
      <c r="D281" s="19"/>
      <c r="E281" s="16"/>
      <c r="F281" s="19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9"/>
      <c r="D282" s="19"/>
      <c r="E282" s="16"/>
      <c r="F282" s="19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9"/>
      <c r="D283" s="19"/>
      <c r="E283" s="16"/>
      <c r="F283" s="19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9"/>
      <c r="D284" s="19"/>
      <c r="E284" s="16"/>
      <c r="F284" s="19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9"/>
      <c r="D285" s="19"/>
      <c r="E285" s="16"/>
      <c r="F285" s="19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9"/>
      <c r="D286" s="19"/>
      <c r="E286" s="16"/>
      <c r="F286" s="19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9"/>
      <c r="D287" s="19"/>
      <c r="E287" s="16"/>
      <c r="F287" s="19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9"/>
      <c r="D288" s="19"/>
      <c r="E288" s="16"/>
      <c r="F288" s="19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9"/>
      <c r="D289" s="19"/>
      <c r="E289" s="16"/>
      <c r="F289" s="19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9"/>
      <c r="D290" s="19"/>
      <c r="E290" s="16"/>
      <c r="F290" s="19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9"/>
      <c r="D291" s="19"/>
      <c r="E291" s="16"/>
      <c r="F291" s="19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9"/>
      <c r="D292" s="19"/>
      <c r="E292" s="16"/>
      <c r="F292" s="19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9"/>
      <c r="D293" s="19"/>
      <c r="E293" s="16"/>
      <c r="F293" s="19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9"/>
      <c r="D294" s="19"/>
      <c r="E294" s="16"/>
      <c r="F294" s="19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9"/>
      <c r="D295" s="19"/>
      <c r="E295" s="16"/>
      <c r="F295" s="19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9"/>
      <c r="D296" s="19"/>
      <c r="E296" s="16"/>
      <c r="F296" s="19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9"/>
      <c r="D297" s="19"/>
      <c r="E297" s="16"/>
      <c r="F297" s="19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9"/>
      <c r="D298" s="19"/>
      <c r="E298" s="16"/>
      <c r="F298" s="19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9"/>
      <c r="D299" s="19"/>
      <c r="E299" s="16"/>
      <c r="F299" s="19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9"/>
      <c r="D300" s="19"/>
      <c r="E300" s="16"/>
      <c r="F300" s="19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9"/>
      <c r="D301" s="19"/>
      <c r="E301" s="16"/>
      <c r="F301" s="19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9"/>
      <c r="D302" s="19"/>
      <c r="E302" s="16"/>
      <c r="F302" s="19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9"/>
      <c r="D303" s="19"/>
      <c r="E303" s="16"/>
      <c r="F303" s="19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9"/>
      <c r="D304" s="19"/>
      <c r="E304" s="16"/>
      <c r="F304" s="19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9"/>
      <c r="D305" s="19"/>
      <c r="E305" s="16"/>
      <c r="F305" s="19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9"/>
      <c r="D306" s="19"/>
      <c r="E306" s="16"/>
      <c r="F306" s="19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9"/>
      <c r="D307" s="19"/>
      <c r="E307" s="16"/>
      <c r="F307" s="19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9"/>
      <c r="D308" s="19"/>
      <c r="E308" s="16"/>
      <c r="F308" s="19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9"/>
      <c r="D309" s="19"/>
      <c r="E309" s="16"/>
      <c r="F309" s="19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9"/>
      <c r="D310" s="19"/>
      <c r="E310" s="16"/>
      <c r="F310" s="19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9"/>
      <c r="D311" s="19"/>
      <c r="E311" s="16"/>
      <c r="F311" s="19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9"/>
      <c r="D312" s="19"/>
      <c r="E312" s="16"/>
      <c r="F312" s="19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9"/>
      <c r="D313" s="19"/>
      <c r="E313" s="16"/>
      <c r="F313" s="19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9"/>
      <c r="D314" s="19"/>
      <c r="E314" s="16"/>
      <c r="F314" s="19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9"/>
      <c r="D315" s="19"/>
      <c r="E315" s="16"/>
      <c r="F315" s="19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9"/>
      <c r="D316" s="19"/>
      <c r="E316" s="16"/>
      <c r="F316" s="19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9"/>
      <c r="D317" s="19"/>
      <c r="E317" s="16"/>
      <c r="F317" s="19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9"/>
      <c r="D318" s="19"/>
      <c r="E318" s="16"/>
      <c r="F318" s="19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9"/>
      <c r="D319" s="19"/>
      <c r="E319" s="16"/>
      <c r="F319" s="19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9"/>
      <c r="D320" s="19"/>
      <c r="E320" s="16"/>
      <c r="F320" s="19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9"/>
      <c r="D321" s="19"/>
      <c r="E321" s="16"/>
      <c r="F321" s="19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9"/>
      <c r="D322" s="19"/>
      <c r="E322" s="16"/>
      <c r="F322" s="19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9"/>
      <c r="D323" s="19"/>
      <c r="E323" s="16"/>
      <c r="F323" s="19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9"/>
      <c r="D324" s="19"/>
      <c r="E324" s="16"/>
      <c r="F324" s="19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9"/>
      <c r="D325" s="19"/>
      <c r="E325" s="16"/>
      <c r="F325" s="19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9"/>
      <c r="D326" s="19"/>
      <c r="E326" s="16"/>
      <c r="F326" s="19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9"/>
      <c r="D327" s="19"/>
      <c r="E327" s="16"/>
      <c r="F327" s="19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9"/>
      <c r="D328" s="19"/>
      <c r="E328" s="16"/>
      <c r="F328" s="19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9"/>
      <c r="D329" s="19"/>
      <c r="E329" s="16"/>
      <c r="F329" s="19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9"/>
      <c r="D330" s="19"/>
      <c r="E330" s="16"/>
      <c r="F330" s="19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9"/>
      <c r="D331" s="19"/>
      <c r="E331" s="16"/>
      <c r="F331" s="19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9"/>
      <c r="D332" s="19"/>
      <c r="E332" s="16"/>
      <c r="F332" s="19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9"/>
      <c r="D333" s="19"/>
      <c r="E333" s="16"/>
      <c r="F333" s="19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9"/>
      <c r="D334" s="19"/>
      <c r="E334" s="16"/>
      <c r="F334" s="19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9"/>
      <c r="D335" s="19"/>
      <c r="E335" s="16"/>
      <c r="F335" s="19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9"/>
      <c r="D336" s="19"/>
      <c r="E336" s="16"/>
      <c r="F336" s="19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9"/>
      <c r="D337" s="19"/>
      <c r="E337" s="16"/>
      <c r="F337" s="19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9"/>
      <c r="D338" s="19"/>
      <c r="E338" s="16"/>
      <c r="F338" s="19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9"/>
      <c r="D339" s="19"/>
      <c r="E339" s="16"/>
      <c r="F339" s="19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9"/>
      <c r="D340" s="19"/>
      <c r="E340" s="16"/>
      <c r="F340" s="19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9"/>
      <c r="D341" s="19"/>
      <c r="E341" s="16"/>
      <c r="F341" s="19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9"/>
      <c r="D342" s="19"/>
      <c r="E342" s="16"/>
      <c r="F342" s="19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9"/>
      <c r="D343" s="19"/>
      <c r="E343" s="16"/>
      <c r="F343" s="19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9"/>
      <c r="D344" s="19"/>
      <c r="E344" s="16"/>
      <c r="F344" s="19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9"/>
      <c r="D345" s="19"/>
      <c r="E345" s="16"/>
      <c r="F345" s="19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9"/>
      <c r="D346" s="19"/>
      <c r="E346" s="16"/>
      <c r="F346" s="19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9"/>
      <c r="D347" s="19"/>
      <c r="E347" s="16"/>
      <c r="F347" s="19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9"/>
      <c r="D348" s="19"/>
      <c r="E348" s="16"/>
      <c r="F348" s="19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9"/>
      <c r="D349" s="19"/>
      <c r="E349" s="16"/>
      <c r="F349" s="19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9"/>
      <c r="D350" s="19"/>
      <c r="E350" s="16"/>
      <c r="F350" s="19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9"/>
      <c r="D351" s="19"/>
      <c r="E351" s="16"/>
      <c r="F351" s="19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9"/>
      <c r="D352" s="19"/>
      <c r="E352" s="16"/>
      <c r="F352" s="19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9"/>
      <c r="D353" s="19"/>
      <c r="E353" s="16"/>
      <c r="F353" s="19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9"/>
      <c r="D354" s="19"/>
      <c r="E354" s="16"/>
      <c r="F354" s="19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9"/>
      <c r="D355" s="19"/>
      <c r="E355" s="16"/>
      <c r="F355" s="19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9"/>
      <c r="D356" s="19"/>
      <c r="E356" s="16"/>
      <c r="F356" s="19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9"/>
      <c r="D357" s="19"/>
      <c r="E357" s="16"/>
      <c r="F357" s="19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9"/>
      <c r="D358" s="19"/>
      <c r="E358" s="16"/>
      <c r="F358" s="19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9"/>
      <c r="D359" s="19"/>
      <c r="E359" s="16"/>
      <c r="F359" s="19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9"/>
      <c r="D360" s="19"/>
      <c r="E360" s="16"/>
      <c r="F360" s="19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9"/>
      <c r="D361" s="19"/>
      <c r="E361" s="16"/>
      <c r="F361" s="19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9"/>
      <c r="D362" s="19"/>
      <c r="E362" s="16"/>
      <c r="F362" s="19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9"/>
      <c r="D363" s="19"/>
      <c r="E363" s="16"/>
      <c r="F363" s="19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9"/>
      <c r="D364" s="19"/>
      <c r="E364" s="16"/>
      <c r="F364" s="19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9"/>
      <c r="D365" s="19"/>
      <c r="E365" s="16"/>
      <c r="F365" s="19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9"/>
      <c r="D366" s="19"/>
      <c r="E366" s="16"/>
      <c r="F366" s="19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9"/>
      <c r="D367" s="19"/>
      <c r="E367" s="16"/>
      <c r="F367" s="19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9"/>
      <c r="D368" s="19"/>
      <c r="E368" s="16"/>
      <c r="F368" s="19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9"/>
      <c r="D369" s="19"/>
      <c r="E369" s="16"/>
      <c r="F369" s="19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9"/>
      <c r="D370" s="19"/>
      <c r="E370" s="16"/>
      <c r="F370" s="19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9"/>
      <c r="D371" s="19"/>
      <c r="E371" s="16"/>
      <c r="F371" s="19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9"/>
      <c r="D372" s="19"/>
      <c r="E372" s="16"/>
      <c r="F372" s="19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9"/>
      <c r="D373" s="19"/>
      <c r="E373" s="16"/>
      <c r="F373" s="19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9"/>
      <c r="D374" s="19"/>
      <c r="E374" s="16"/>
      <c r="F374" s="19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9"/>
      <c r="D375" s="19"/>
      <c r="E375" s="16"/>
      <c r="F375" s="19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9"/>
      <c r="D376" s="19"/>
      <c r="E376" s="16"/>
      <c r="F376" s="19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9"/>
      <c r="D377" s="19"/>
      <c r="E377" s="16"/>
      <c r="F377" s="19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9"/>
      <c r="D378" s="19"/>
      <c r="E378" s="16"/>
      <c r="F378" s="19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9"/>
      <c r="D379" s="19"/>
      <c r="E379" s="16"/>
      <c r="F379" s="19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9"/>
      <c r="D380" s="19"/>
      <c r="E380" s="16"/>
      <c r="F380" s="19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9"/>
      <c r="D381" s="19"/>
      <c r="E381" s="16"/>
      <c r="F381" s="19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9"/>
      <c r="D382" s="19"/>
      <c r="E382" s="16"/>
      <c r="F382" s="19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9"/>
      <c r="D383" s="19"/>
      <c r="E383" s="16"/>
      <c r="F383" s="19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9"/>
      <c r="D384" s="19"/>
      <c r="E384" s="16"/>
      <c r="F384" s="19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9"/>
      <c r="D385" s="19"/>
      <c r="E385" s="16"/>
      <c r="F385" s="19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9"/>
      <c r="D386" s="19"/>
      <c r="E386" s="16"/>
      <c r="F386" s="19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9"/>
      <c r="D387" s="19"/>
      <c r="E387" s="16"/>
      <c r="F387" s="19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9"/>
      <c r="D388" s="19"/>
      <c r="E388" s="16"/>
      <c r="F388" s="19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9"/>
      <c r="D389" s="19"/>
      <c r="E389" s="16"/>
      <c r="F389" s="19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9"/>
      <c r="D390" s="19"/>
      <c r="E390" s="16"/>
      <c r="F390" s="19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9"/>
      <c r="D391" s="19"/>
      <c r="E391" s="16"/>
      <c r="F391" s="19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9"/>
      <c r="D392" s="19"/>
      <c r="E392" s="16"/>
      <c r="F392" s="19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9"/>
      <c r="D393" s="19"/>
      <c r="E393" s="16"/>
      <c r="F393" s="19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9"/>
      <c r="D394" s="19"/>
      <c r="E394" s="16"/>
      <c r="F394" s="19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9"/>
      <c r="D395" s="19"/>
      <c r="E395" s="16"/>
      <c r="F395" s="19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9"/>
      <c r="D396" s="19"/>
      <c r="E396" s="16"/>
      <c r="F396" s="19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9"/>
      <c r="D397" s="19"/>
      <c r="E397" s="16"/>
      <c r="F397" s="19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9"/>
      <c r="D398" s="19"/>
      <c r="E398" s="16"/>
      <c r="F398" s="19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9"/>
      <c r="D399" s="19"/>
      <c r="E399" s="16"/>
      <c r="F399" s="19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9"/>
      <c r="D400" s="19"/>
      <c r="E400" s="16"/>
      <c r="F400" s="19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9"/>
      <c r="D401" s="19"/>
      <c r="E401" s="16"/>
      <c r="F401" s="19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9"/>
      <c r="D402" s="19"/>
      <c r="E402" s="16"/>
      <c r="F402" s="19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9"/>
      <c r="D403" s="19"/>
      <c r="E403" s="16"/>
      <c r="F403" s="19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9"/>
      <c r="D404" s="19"/>
      <c r="E404" s="16"/>
      <c r="F404" s="19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9"/>
      <c r="D405" s="19"/>
      <c r="E405" s="16"/>
      <c r="F405" s="19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9"/>
      <c r="D406" s="19"/>
      <c r="E406" s="16"/>
      <c r="F406" s="19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9"/>
      <c r="D407" s="19"/>
      <c r="E407" s="16"/>
      <c r="F407" s="19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9"/>
      <c r="D408" s="19"/>
      <c r="E408" s="16"/>
      <c r="F408" s="19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9"/>
      <c r="D409" s="19"/>
      <c r="E409" s="16"/>
      <c r="F409" s="19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9"/>
      <c r="D410" s="19"/>
      <c r="E410" s="16"/>
      <c r="F410" s="19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9"/>
      <c r="D411" s="19"/>
      <c r="E411" s="16"/>
      <c r="F411" s="19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9"/>
      <c r="D412" s="19"/>
      <c r="E412" s="16"/>
      <c r="F412" s="19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9"/>
      <c r="D413" s="19"/>
      <c r="E413" s="16"/>
      <c r="F413" s="19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9"/>
      <c r="D414" s="19"/>
      <c r="E414" s="16"/>
      <c r="F414" s="19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9"/>
      <c r="D415" s="19"/>
      <c r="E415" s="16"/>
      <c r="F415" s="19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9"/>
      <c r="D416" s="19"/>
      <c r="E416" s="16"/>
      <c r="F416" s="19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9"/>
      <c r="D417" s="19"/>
      <c r="E417" s="16"/>
      <c r="F417" s="19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9"/>
      <c r="D418" s="19"/>
      <c r="E418" s="16"/>
      <c r="F418" s="19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9"/>
      <c r="D419" s="19"/>
      <c r="E419" s="16"/>
      <c r="F419" s="19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9"/>
      <c r="D420" s="19"/>
      <c r="E420" s="16"/>
      <c r="F420" s="19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9"/>
      <c r="D421" s="19"/>
      <c r="E421" s="16"/>
      <c r="F421" s="19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9"/>
      <c r="D422" s="19"/>
      <c r="E422" s="16"/>
      <c r="F422" s="19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9"/>
      <c r="D423" s="19"/>
      <c r="E423" s="16"/>
      <c r="F423" s="19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9"/>
      <c r="D424" s="19"/>
      <c r="E424" s="16"/>
      <c r="F424" s="19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9"/>
      <c r="D425" s="19"/>
      <c r="E425" s="16"/>
      <c r="F425" s="19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9"/>
      <c r="D426" s="19"/>
      <c r="E426" s="16"/>
      <c r="F426" s="19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9"/>
      <c r="D427" s="19"/>
      <c r="E427" s="16"/>
      <c r="F427" s="19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9"/>
      <c r="D428" s="19"/>
      <c r="E428" s="16"/>
      <c r="F428" s="19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9"/>
      <c r="D429" s="19"/>
      <c r="E429" s="16"/>
      <c r="F429" s="19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9"/>
      <c r="D430" s="19"/>
      <c r="E430" s="16"/>
      <c r="F430" s="19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9"/>
      <c r="D431" s="19"/>
      <c r="E431" s="16"/>
      <c r="F431" s="19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9"/>
      <c r="D432" s="19"/>
      <c r="E432" s="16"/>
      <c r="F432" s="19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9"/>
      <c r="D433" s="19"/>
      <c r="E433" s="16"/>
      <c r="F433" s="19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9"/>
      <c r="D434" s="19"/>
      <c r="E434" s="16"/>
      <c r="F434" s="19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9"/>
      <c r="D435" s="19"/>
      <c r="E435" s="16"/>
      <c r="F435" s="19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9"/>
      <c r="D436" s="19"/>
      <c r="E436" s="16"/>
      <c r="F436" s="19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9"/>
      <c r="D437" s="19"/>
      <c r="E437" s="16"/>
      <c r="F437" s="19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9"/>
      <c r="D438" s="19"/>
      <c r="E438" s="16"/>
      <c r="F438" s="19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9"/>
      <c r="D439" s="19"/>
      <c r="E439" s="16"/>
      <c r="F439" s="19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9"/>
      <c r="D440" s="19"/>
      <c r="E440" s="16"/>
      <c r="F440" s="19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9"/>
      <c r="D441" s="19"/>
      <c r="E441" s="16"/>
      <c r="F441" s="19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9"/>
      <c r="D442" s="19"/>
      <c r="E442" s="16"/>
      <c r="F442" s="19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9"/>
      <c r="D443" s="19"/>
      <c r="E443" s="16"/>
      <c r="F443" s="19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9"/>
      <c r="D444" s="19"/>
      <c r="E444" s="16"/>
      <c r="F444" s="19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9"/>
      <c r="D445" s="19"/>
      <c r="E445" s="16"/>
      <c r="F445" s="19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9"/>
      <c r="D446" s="19"/>
      <c r="E446" s="16"/>
      <c r="F446" s="19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9"/>
      <c r="D447" s="19"/>
      <c r="E447" s="16"/>
      <c r="F447" s="19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9"/>
      <c r="D448" s="19"/>
      <c r="E448" s="16"/>
      <c r="F448" s="19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9"/>
      <c r="D449" s="19"/>
      <c r="E449" s="16"/>
      <c r="F449" s="19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9"/>
      <c r="D450" s="19"/>
      <c r="E450" s="16"/>
      <c r="F450" s="19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9"/>
      <c r="D451" s="19"/>
      <c r="E451" s="16"/>
      <c r="F451" s="19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9"/>
      <c r="D452" s="19"/>
      <c r="E452" s="16"/>
      <c r="F452" s="19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9"/>
      <c r="D453" s="19"/>
      <c r="E453" s="16"/>
      <c r="F453" s="19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9"/>
      <c r="D454" s="19"/>
      <c r="E454" s="16"/>
      <c r="F454" s="19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9"/>
      <c r="D455" s="19"/>
      <c r="E455" s="16"/>
      <c r="F455" s="19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9"/>
      <c r="D456" s="19"/>
      <c r="E456" s="16"/>
      <c r="F456" s="19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9"/>
      <c r="D457" s="19"/>
      <c r="E457" s="16"/>
      <c r="F457" s="19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9"/>
      <c r="D458" s="19"/>
      <c r="E458" s="16"/>
      <c r="F458" s="19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9"/>
      <c r="D459" s="19"/>
      <c r="E459" s="16"/>
      <c r="F459" s="19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9"/>
      <c r="D460" s="19"/>
      <c r="E460" s="16"/>
      <c r="F460" s="19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9"/>
      <c r="D461" s="19"/>
      <c r="E461" s="16"/>
      <c r="F461" s="19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9"/>
      <c r="D462" s="19"/>
      <c r="E462" s="16"/>
      <c r="F462" s="19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9"/>
      <c r="D463" s="19"/>
      <c r="E463" s="16"/>
      <c r="F463" s="19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9"/>
      <c r="D464" s="19"/>
      <c r="E464" s="16"/>
      <c r="F464" s="19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9"/>
      <c r="D465" s="19"/>
      <c r="E465" s="16"/>
      <c r="F465" s="19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9"/>
      <c r="D466" s="19"/>
      <c r="E466" s="16"/>
      <c r="F466" s="19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9"/>
      <c r="D467" s="19"/>
      <c r="E467" s="16"/>
      <c r="F467" s="19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9"/>
      <c r="D468" s="19"/>
      <c r="E468" s="16"/>
      <c r="F468" s="19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9"/>
      <c r="D469" s="19"/>
      <c r="E469" s="16"/>
      <c r="F469" s="19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9"/>
      <c r="D470" s="19"/>
      <c r="E470" s="16"/>
      <c r="F470" s="19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9"/>
      <c r="D471" s="19"/>
      <c r="E471" s="16"/>
      <c r="F471" s="19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9"/>
      <c r="D472" s="19"/>
      <c r="E472" s="16"/>
      <c r="F472" s="19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9"/>
      <c r="D473" s="19"/>
      <c r="E473" s="16"/>
      <c r="F473" s="19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9"/>
      <c r="D474" s="19"/>
      <c r="E474" s="16"/>
      <c r="F474" s="19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9"/>
      <c r="D475" s="19"/>
      <c r="E475" s="16"/>
      <c r="F475" s="19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9"/>
      <c r="D476" s="19"/>
      <c r="E476" s="16"/>
      <c r="F476" s="19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9"/>
      <c r="D477" s="19"/>
      <c r="E477" s="16"/>
      <c r="F477" s="19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9"/>
      <c r="D478" s="19"/>
      <c r="E478" s="16"/>
      <c r="F478" s="19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9"/>
      <c r="D479" s="19"/>
      <c r="E479" s="16"/>
      <c r="F479" s="19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9"/>
      <c r="D480" s="19"/>
      <c r="E480" s="16"/>
      <c r="F480" s="19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9"/>
      <c r="D481" s="19"/>
      <c r="E481" s="16"/>
      <c r="F481" s="19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9"/>
      <c r="D482" s="19"/>
      <c r="E482" s="16"/>
      <c r="F482" s="19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9"/>
      <c r="D483" s="19"/>
      <c r="E483" s="16"/>
      <c r="F483" s="19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9"/>
      <c r="D484" s="19"/>
      <c r="E484" s="16"/>
      <c r="F484" s="19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9"/>
      <c r="D485" s="19"/>
      <c r="E485" s="16"/>
      <c r="F485" s="19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9"/>
      <c r="D486" s="19"/>
      <c r="E486" s="16"/>
      <c r="F486" s="19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9"/>
      <c r="D487" s="19"/>
      <c r="E487" s="16"/>
      <c r="F487" s="19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9"/>
      <c r="D488" s="19"/>
      <c r="E488" s="16"/>
      <c r="F488" s="19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9"/>
      <c r="D489" s="19"/>
      <c r="E489" s="16"/>
      <c r="F489" s="19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9"/>
      <c r="D490" s="19"/>
      <c r="E490" s="16"/>
      <c r="F490" s="19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9"/>
      <c r="D491" s="19"/>
      <c r="E491" s="16"/>
      <c r="F491" s="19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9"/>
      <c r="D492" s="19"/>
      <c r="E492" s="16"/>
      <c r="F492" s="19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9"/>
      <c r="D493" s="19"/>
      <c r="E493" s="16"/>
      <c r="F493" s="19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9"/>
      <c r="D494" s="19"/>
      <c r="E494" s="16"/>
      <c r="F494" s="19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9"/>
      <c r="D495" s="19"/>
      <c r="E495" s="16"/>
      <c r="F495" s="19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9"/>
      <c r="D496" s="19"/>
      <c r="E496" s="16"/>
      <c r="F496" s="19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9"/>
      <c r="D497" s="19"/>
      <c r="E497" s="16"/>
      <c r="F497" s="19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9"/>
      <c r="D498" s="19"/>
      <c r="E498" s="16"/>
      <c r="F498" s="19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9"/>
      <c r="D499" s="19"/>
      <c r="E499" s="16"/>
      <c r="F499" s="19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9"/>
      <c r="D500" s="19"/>
      <c r="E500" s="16"/>
      <c r="F500" s="19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9"/>
      <c r="D501" s="19"/>
      <c r="E501" s="16"/>
      <c r="F501" s="19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9"/>
      <c r="D502" s="19"/>
      <c r="E502" s="16"/>
      <c r="F502" s="19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9"/>
      <c r="D503" s="19"/>
      <c r="E503" s="16"/>
      <c r="F503" s="19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9"/>
      <c r="D504" s="19"/>
      <c r="E504" s="16"/>
      <c r="F504" s="19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9"/>
      <c r="D505" s="19"/>
      <c r="E505" s="16"/>
      <c r="F505" s="19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9"/>
      <c r="D506" s="19"/>
      <c r="E506" s="16"/>
      <c r="F506" s="19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9"/>
      <c r="D507" s="19"/>
      <c r="E507" s="16"/>
      <c r="F507" s="19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9"/>
      <c r="D508" s="19"/>
      <c r="E508" s="16"/>
      <c r="F508" s="19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9"/>
      <c r="D509" s="19"/>
      <c r="E509" s="16"/>
      <c r="F509" s="19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9"/>
      <c r="D510" s="19"/>
      <c r="E510" s="16"/>
      <c r="F510" s="19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9"/>
      <c r="D511" s="19"/>
      <c r="E511" s="16"/>
      <c r="F511" s="19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9"/>
      <c r="D512" s="19"/>
      <c r="E512" s="16"/>
      <c r="F512" s="19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9"/>
      <c r="D513" s="19"/>
      <c r="E513" s="16"/>
      <c r="F513" s="19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9"/>
      <c r="D514" s="19"/>
      <c r="E514" s="16"/>
      <c r="F514" s="19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9"/>
      <c r="D515" s="19"/>
      <c r="E515" s="16"/>
      <c r="F515" s="19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9"/>
      <c r="D516" s="19"/>
      <c r="E516" s="16"/>
      <c r="F516" s="19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9"/>
      <c r="D517" s="19"/>
      <c r="E517" s="16"/>
      <c r="F517" s="19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9"/>
      <c r="D518" s="19"/>
      <c r="E518" s="16"/>
      <c r="F518" s="19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9"/>
      <c r="D519" s="19"/>
      <c r="E519" s="16"/>
      <c r="F519" s="19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9"/>
      <c r="D520" s="19"/>
      <c r="E520" s="16"/>
      <c r="F520" s="19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9"/>
      <c r="D521" s="19"/>
      <c r="E521" s="16"/>
      <c r="F521" s="19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9"/>
      <c r="D522" s="19"/>
      <c r="E522" s="16"/>
      <c r="F522" s="19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9"/>
      <c r="D523" s="19"/>
      <c r="E523" s="16"/>
      <c r="F523" s="19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9"/>
      <c r="D524" s="19"/>
      <c r="E524" s="16"/>
      <c r="F524" s="19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9"/>
      <c r="D525" s="19"/>
      <c r="E525" s="16"/>
      <c r="F525" s="19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9"/>
      <c r="D526" s="19"/>
      <c r="E526" s="16"/>
      <c r="F526" s="19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9"/>
      <c r="D527" s="19"/>
      <c r="E527" s="16"/>
      <c r="F527" s="19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9"/>
      <c r="D528" s="19"/>
      <c r="E528" s="16"/>
      <c r="F528" s="19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9"/>
      <c r="D529" s="19"/>
      <c r="E529" s="16"/>
      <c r="F529" s="19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9"/>
      <c r="D530" s="19"/>
      <c r="E530" s="16"/>
      <c r="F530" s="19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9"/>
      <c r="D531" s="19"/>
      <c r="E531" s="16"/>
      <c r="F531" s="19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9"/>
      <c r="D532" s="19"/>
      <c r="E532" s="16"/>
      <c r="F532" s="19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9"/>
      <c r="D533" s="19"/>
      <c r="E533" s="16"/>
      <c r="F533" s="19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9"/>
      <c r="D534" s="19"/>
      <c r="E534" s="16"/>
      <c r="F534" s="19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9"/>
      <c r="D535" s="19"/>
      <c r="E535" s="16"/>
      <c r="F535" s="19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9"/>
      <c r="D536" s="19"/>
      <c r="E536" s="16"/>
      <c r="F536" s="19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9"/>
      <c r="D537" s="19"/>
      <c r="E537" s="16"/>
      <c r="F537" s="19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9"/>
      <c r="D538" s="19"/>
      <c r="E538" s="16"/>
      <c r="F538" s="19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9"/>
      <c r="D539" s="19"/>
      <c r="E539" s="16"/>
      <c r="F539" s="19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9"/>
      <c r="D540" s="19"/>
      <c r="E540" s="16"/>
      <c r="F540" s="19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9"/>
      <c r="D541" s="19"/>
      <c r="E541" s="16"/>
      <c r="F541" s="19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9"/>
      <c r="D542" s="19"/>
      <c r="E542" s="16"/>
      <c r="F542" s="19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9"/>
      <c r="D543" s="19"/>
      <c r="E543" s="16"/>
      <c r="F543" s="19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9"/>
      <c r="D544" s="19"/>
      <c r="E544" s="16"/>
      <c r="F544" s="19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9"/>
      <c r="D545" s="19"/>
      <c r="E545" s="16"/>
      <c r="F545" s="19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9"/>
      <c r="D546" s="19"/>
      <c r="E546" s="16"/>
      <c r="F546" s="19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9"/>
      <c r="D547" s="19"/>
      <c r="E547" s="16"/>
      <c r="F547" s="19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9"/>
      <c r="D548" s="19"/>
      <c r="E548" s="16"/>
      <c r="F548" s="19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9"/>
      <c r="D549" s="19"/>
      <c r="E549" s="16"/>
      <c r="F549" s="19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9"/>
      <c r="D550" s="19"/>
      <c r="E550" s="16"/>
      <c r="F550" s="19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9"/>
      <c r="D551" s="19"/>
      <c r="E551" s="16"/>
      <c r="F551" s="19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9"/>
      <c r="D552" s="19"/>
      <c r="E552" s="16"/>
      <c r="F552" s="19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9"/>
      <c r="D553" s="19"/>
      <c r="E553" s="16"/>
      <c r="F553" s="19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9"/>
      <c r="D554" s="19"/>
      <c r="E554" s="16"/>
      <c r="F554" s="19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9"/>
      <c r="D555" s="19"/>
      <c r="E555" s="16"/>
      <c r="F555" s="19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9"/>
      <c r="D556" s="19"/>
      <c r="E556" s="16"/>
      <c r="F556" s="19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9"/>
      <c r="D557" s="19"/>
      <c r="E557" s="16"/>
      <c r="F557" s="19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9"/>
      <c r="D558" s="19"/>
      <c r="E558" s="16"/>
      <c r="F558" s="19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9"/>
      <c r="D559" s="19"/>
      <c r="E559" s="16"/>
      <c r="F559" s="19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9"/>
      <c r="D560" s="19"/>
      <c r="E560" s="16"/>
      <c r="F560" s="19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9"/>
      <c r="D561" s="19"/>
      <c r="E561" s="16"/>
      <c r="F561" s="19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9"/>
      <c r="D562" s="19"/>
      <c r="E562" s="16"/>
      <c r="F562" s="19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9"/>
      <c r="D563" s="19"/>
      <c r="E563" s="16"/>
      <c r="F563" s="19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9"/>
      <c r="D564" s="19"/>
      <c r="E564" s="16"/>
      <c r="F564" s="19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9"/>
      <c r="D565" s="19"/>
      <c r="E565" s="16"/>
      <c r="F565" s="19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9"/>
      <c r="D566" s="19"/>
      <c r="E566" s="16"/>
      <c r="F566" s="19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9"/>
      <c r="D567" s="19"/>
      <c r="E567" s="16"/>
      <c r="F567" s="19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9"/>
      <c r="D568" s="19"/>
      <c r="E568" s="16"/>
      <c r="F568" s="19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9"/>
      <c r="D569" s="19"/>
      <c r="E569" s="16"/>
      <c r="F569" s="19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9"/>
      <c r="D570" s="19"/>
      <c r="E570" s="16"/>
      <c r="F570" s="19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9"/>
      <c r="D571" s="19"/>
      <c r="E571" s="16"/>
      <c r="F571" s="19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9"/>
      <c r="D572" s="19"/>
      <c r="E572" s="16"/>
      <c r="F572" s="19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9"/>
      <c r="D573" s="19"/>
      <c r="E573" s="16"/>
      <c r="F573" s="19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9"/>
      <c r="D574" s="19"/>
      <c r="E574" s="16"/>
      <c r="F574" s="19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9"/>
      <c r="D575" s="19"/>
      <c r="E575" s="16"/>
      <c r="F575" s="19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9"/>
      <c r="D576" s="19"/>
      <c r="E576" s="16"/>
      <c r="F576" s="19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9"/>
      <c r="D577" s="19"/>
      <c r="E577" s="16"/>
      <c r="F577" s="19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9"/>
      <c r="D578" s="19"/>
      <c r="E578" s="16"/>
      <c r="F578" s="19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9"/>
      <c r="D579" s="19"/>
      <c r="E579" s="16"/>
      <c r="F579" s="19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9"/>
      <c r="D580" s="19"/>
      <c r="E580" s="16"/>
      <c r="F580" s="19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9"/>
      <c r="D581" s="19"/>
      <c r="E581" s="16"/>
      <c r="F581" s="19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9"/>
      <c r="D582" s="19"/>
      <c r="E582" s="16"/>
      <c r="F582" s="19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9"/>
      <c r="D583" s="19"/>
      <c r="E583" s="16"/>
      <c r="F583" s="19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9"/>
      <c r="D584" s="19"/>
      <c r="E584" s="16"/>
      <c r="F584" s="19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9"/>
      <c r="D585" s="19"/>
      <c r="E585" s="16"/>
      <c r="F585" s="19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9"/>
      <c r="D586" s="19"/>
      <c r="E586" s="16"/>
      <c r="F586" s="19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9"/>
      <c r="D587" s="19"/>
      <c r="E587" s="16"/>
      <c r="F587" s="19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9"/>
      <c r="D588" s="19"/>
      <c r="E588" s="16"/>
      <c r="F588" s="19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9"/>
      <c r="D589" s="19"/>
      <c r="E589" s="16"/>
      <c r="F589" s="19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9"/>
      <c r="D590" s="19"/>
      <c r="E590" s="16"/>
      <c r="F590" s="19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9"/>
      <c r="D591" s="19"/>
      <c r="E591" s="16"/>
      <c r="F591" s="19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9"/>
      <c r="D592" s="19"/>
      <c r="E592" s="16"/>
      <c r="F592" s="19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9"/>
      <c r="D593" s="19"/>
      <c r="E593" s="16"/>
      <c r="F593" s="19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9"/>
      <c r="D594" s="19"/>
      <c r="E594" s="16"/>
      <c r="F594" s="19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9"/>
      <c r="D595" s="19"/>
      <c r="E595" s="16"/>
      <c r="F595" s="19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9"/>
      <c r="D596" s="19"/>
      <c r="E596" s="16"/>
      <c r="F596" s="19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9"/>
      <c r="D597" s="19"/>
      <c r="E597" s="16"/>
      <c r="F597" s="19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9"/>
      <c r="D598" s="19"/>
      <c r="E598" s="16"/>
      <c r="F598" s="19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9"/>
      <c r="D599" s="19"/>
      <c r="E599" s="16"/>
      <c r="F599" s="19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9"/>
      <c r="D600" s="19"/>
      <c r="E600" s="16"/>
      <c r="F600" s="19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9"/>
      <c r="D601" s="19"/>
      <c r="E601" s="16"/>
      <c r="F601" s="19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9"/>
      <c r="D602" s="19"/>
      <c r="E602" s="16"/>
      <c r="F602" s="19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9"/>
      <c r="D603" s="19"/>
      <c r="E603" s="16"/>
      <c r="F603" s="19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9"/>
      <c r="D604" s="19"/>
      <c r="E604" s="16"/>
      <c r="F604" s="19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9"/>
      <c r="D605" s="19"/>
      <c r="E605" s="16"/>
      <c r="F605" s="19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9"/>
      <c r="D606" s="19"/>
      <c r="E606" s="16"/>
      <c r="F606" s="19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9"/>
      <c r="D607" s="19"/>
      <c r="E607" s="16"/>
      <c r="F607" s="19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9"/>
      <c r="D608" s="19"/>
      <c r="E608" s="16"/>
      <c r="F608" s="19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9"/>
      <c r="D609" s="19"/>
      <c r="E609" s="16"/>
      <c r="F609" s="19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9"/>
      <c r="D610" s="19"/>
      <c r="E610" s="16"/>
      <c r="F610" s="19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9"/>
      <c r="D611" s="19"/>
      <c r="E611" s="16"/>
      <c r="F611" s="19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9"/>
      <c r="D612" s="19"/>
      <c r="E612" s="16"/>
      <c r="F612" s="19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9"/>
      <c r="D613" s="19"/>
      <c r="E613" s="16"/>
      <c r="F613" s="19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9"/>
      <c r="D614" s="19"/>
      <c r="E614" s="16"/>
      <c r="F614" s="19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9"/>
      <c r="D615" s="19"/>
      <c r="E615" s="16"/>
      <c r="F615" s="19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9"/>
      <c r="D616" s="19"/>
      <c r="E616" s="16"/>
      <c r="F616" s="19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9"/>
      <c r="D617" s="19"/>
      <c r="E617" s="16"/>
      <c r="F617" s="19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9"/>
      <c r="D618" s="19"/>
      <c r="E618" s="16"/>
      <c r="F618" s="19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9"/>
      <c r="D619" s="19"/>
      <c r="E619" s="16"/>
      <c r="F619" s="19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9"/>
      <c r="D620" s="19"/>
      <c r="E620" s="16"/>
      <c r="F620" s="19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9"/>
      <c r="D621" s="19"/>
      <c r="E621" s="16"/>
      <c r="F621" s="19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9"/>
      <c r="D622" s="19"/>
      <c r="E622" s="16"/>
      <c r="F622" s="19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9"/>
      <c r="D623" s="19"/>
      <c r="E623" s="16"/>
      <c r="F623" s="19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9"/>
      <c r="D624" s="19"/>
      <c r="E624" s="16"/>
      <c r="F624" s="19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9"/>
      <c r="D625" s="19"/>
      <c r="E625" s="16"/>
      <c r="F625" s="19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9"/>
      <c r="D626" s="19"/>
      <c r="E626" s="16"/>
      <c r="F626" s="19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9"/>
      <c r="D627" s="19"/>
      <c r="E627" s="16"/>
      <c r="F627" s="19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9"/>
      <c r="D628" s="19"/>
      <c r="E628" s="16"/>
      <c r="F628" s="19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9"/>
      <c r="D629" s="19"/>
      <c r="E629" s="16"/>
      <c r="F629" s="19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9"/>
      <c r="D630" s="19"/>
      <c r="E630" s="16"/>
      <c r="F630" s="19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9"/>
      <c r="D631" s="19"/>
      <c r="E631" s="16"/>
      <c r="F631" s="19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9"/>
      <c r="D632" s="19"/>
      <c r="E632" s="16"/>
      <c r="F632" s="19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9"/>
      <c r="D633" s="19"/>
      <c r="E633" s="16"/>
      <c r="F633" s="19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9"/>
      <c r="D634" s="19"/>
      <c r="E634" s="16"/>
      <c r="F634" s="19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9"/>
      <c r="D635" s="19"/>
      <c r="E635" s="16"/>
      <c r="F635" s="19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9"/>
      <c r="D636" s="19"/>
      <c r="E636" s="16"/>
      <c r="F636" s="19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9"/>
      <c r="D637" s="19"/>
      <c r="E637" s="16"/>
      <c r="F637" s="19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9"/>
      <c r="D638" s="19"/>
      <c r="E638" s="16"/>
      <c r="F638" s="19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9"/>
      <c r="D639" s="19"/>
      <c r="E639" s="16"/>
      <c r="F639" s="19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9"/>
      <c r="D640" s="19"/>
      <c r="E640" s="16"/>
      <c r="F640" s="19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9"/>
      <c r="D641" s="19"/>
      <c r="E641" s="16"/>
      <c r="F641" s="19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9"/>
      <c r="D642" s="19"/>
      <c r="E642" s="16"/>
      <c r="F642" s="19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9"/>
      <c r="D643" s="19"/>
      <c r="E643" s="16"/>
      <c r="F643" s="19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9"/>
      <c r="D644" s="19"/>
      <c r="E644" s="16"/>
      <c r="F644" s="19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9"/>
      <c r="D645" s="19"/>
      <c r="E645" s="16"/>
      <c r="F645" s="19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9"/>
      <c r="D646" s="19"/>
      <c r="E646" s="16"/>
      <c r="F646" s="19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9"/>
      <c r="D647" s="19"/>
      <c r="E647" s="16"/>
      <c r="F647" s="19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9"/>
      <c r="D648" s="19"/>
      <c r="E648" s="16"/>
      <c r="F648" s="19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9"/>
      <c r="D649" s="19"/>
      <c r="E649" s="16"/>
      <c r="F649" s="19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9"/>
      <c r="D650" s="19"/>
      <c r="E650" s="16"/>
      <c r="F650" s="19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9"/>
      <c r="D651" s="19"/>
      <c r="E651" s="16"/>
      <c r="F651" s="19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9"/>
      <c r="D652" s="19"/>
      <c r="E652" s="16"/>
      <c r="F652" s="19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9"/>
      <c r="D653" s="19"/>
      <c r="E653" s="16"/>
      <c r="F653" s="19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9"/>
      <c r="D654" s="19"/>
      <c r="E654" s="16"/>
      <c r="F654" s="19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9"/>
      <c r="D655" s="19"/>
      <c r="E655" s="16"/>
      <c r="F655" s="19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9"/>
      <c r="D656" s="19"/>
      <c r="E656" s="16"/>
      <c r="F656" s="19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9"/>
      <c r="D657" s="19"/>
      <c r="E657" s="16"/>
      <c r="F657" s="19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9"/>
      <c r="D658" s="19"/>
      <c r="E658" s="16"/>
      <c r="F658" s="19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9"/>
      <c r="D659" s="19"/>
      <c r="E659" s="16"/>
      <c r="F659" s="19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9"/>
      <c r="D660" s="19"/>
      <c r="E660" s="16"/>
      <c r="F660" s="19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9"/>
      <c r="D661" s="19"/>
      <c r="E661" s="16"/>
      <c r="F661" s="19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9"/>
      <c r="D662" s="19"/>
      <c r="E662" s="16"/>
      <c r="F662" s="19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9"/>
      <c r="D663" s="19"/>
      <c r="E663" s="16"/>
      <c r="F663" s="19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9"/>
      <c r="D664" s="19"/>
      <c r="E664" s="16"/>
      <c r="F664" s="19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9"/>
      <c r="D665" s="19"/>
      <c r="E665" s="16"/>
      <c r="F665" s="19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9"/>
      <c r="D666" s="19"/>
      <c r="E666" s="16"/>
      <c r="F666" s="19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9"/>
      <c r="D667" s="19"/>
      <c r="E667" s="16"/>
      <c r="F667" s="19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9"/>
      <c r="D668" s="19"/>
      <c r="E668" s="16"/>
      <c r="F668" s="19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9"/>
      <c r="D669" s="19"/>
      <c r="E669" s="16"/>
      <c r="F669" s="19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9"/>
      <c r="D670" s="19"/>
      <c r="E670" s="16"/>
      <c r="F670" s="19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9"/>
      <c r="D671" s="19"/>
      <c r="E671" s="16"/>
      <c r="F671" s="19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9"/>
      <c r="D672" s="19"/>
      <c r="E672" s="16"/>
      <c r="F672" s="19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9"/>
      <c r="D673" s="19"/>
      <c r="E673" s="16"/>
      <c r="F673" s="19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9"/>
      <c r="D674" s="19"/>
      <c r="E674" s="16"/>
      <c r="F674" s="19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9"/>
      <c r="D675" s="19"/>
      <c r="E675" s="16"/>
      <c r="F675" s="19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9"/>
      <c r="D676" s="19"/>
      <c r="E676" s="16"/>
      <c r="F676" s="19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9"/>
      <c r="D677" s="19"/>
      <c r="E677" s="16"/>
      <c r="F677" s="19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9"/>
      <c r="D678" s="19"/>
      <c r="E678" s="16"/>
      <c r="F678" s="19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9"/>
      <c r="D679" s="19"/>
      <c r="E679" s="16"/>
      <c r="F679" s="19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9"/>
      <c r="D680" s="19"/>
      <c r="E680" s="16"/>
      <c r="F680" s="19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9"/>
      <c r="D681" s="19"/>
      <c r="E681" s="16"/>
      <c r="F681" s="19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9"/>
      <c r="D682" s="19"/>
      <c r="E682" s="16"/>
      <c r="F682" s="19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9"/>
      <c r="D683" s="19"/>
      <c r="E683" s="16"/>
      <c r="F683" s="19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9"/>
      <c r="D684" s="19"/>
      <c r="E684" s="16"/>
      <c r="F684" s="19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9"/>
      <c r="D685" s="19"/>
      <c r="E685" s="16"/>
      <c r="F685" s="19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9"/>
      <c r="D686" s="19"/>
      <c r="E686" s="16"/>
      <c r="F686" s="19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9"/>
      <c r="D687" s="19"/>
      <c r="E687" s="16"/>
      <c r="F687" s="19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9"/>
      <c r="D688" s="19"/>
      <c r="E688" s="16"/>
      <c r="F688" s="19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9"/>
      <c r="D689" s="19"/>
      <c r="E689" s="16"/>
      <c r="F689" s="19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9"/>
      <c r="D690" s="19"/>
      <c r="E690" s="16"/>
      <c r="F690" s="19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9"/>
      <c r="D691" s="19"/>
      <c r="E691" s="16"/>
      <c r="F691" s="19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9"/>
      <c r="D692" s="19"/>
      <c r="E692" s="16"/>
      <c r="F692" s="19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9"/>
      <c r="D693" s="19"/>
      <c r="E693" s="16"/>
      <c r="F693" s="19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9"/>
      <c r="D694" s="19"/>
      <c r="E694" s="16"/>
      <c r="F694" s="19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9"/>
      <c r="D695" s="19"/>
      <c r="E695" s="16"/>
      <c r="F695" s="19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9"/>
      <c r="D696" s="19"/>
      <c r="E696" s="16"/>
      <c r="F696" s="19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9"/>
      <c r="D697" s="19"/>
      <c r="E697" s="16"/>
      <c r="F697" s="19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9"/>
      <c r="D698" s="19"/>
      <c r="E698" s="16"/>
      <c r="F698" s="19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9"/>
      <c r="D699" s="19"/>
      <c r="E699" s="16"/>
      <c r="F699" s="19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9"/>
      <c r="D700" s="19"/>
      <c r="E700" s="16"/>
      <c r="F700" s="19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9"/>
      <c r="D701" s="19"/>
      <c r="E701" s="16"/>
      <c r="F701" s="19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9"/>
      <c r="D702" s="19"/>
      <c r="E702" s="16"/>
      <c r="F702" s="19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9"/>
      <c r="D703" s="19"/>
      <c r="E703" s="16"/>
      <c r="F703" s="19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9"/>
      <c r="D704" s="19"/>
      <c r="E704" s="16"/>
      <c r="F704" s="19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9"/>
      <c r="D705" s="19"/>
      <c r="E705" s="16"/>
      <c r="F705" s="19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9"/>
      <c r="D706" s="19"/>
      <c r="E706" s="16"/>
      <c r="F706" s="19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9"/>
      <c r="D707" s="19"/>
      <c r="E707" s="16"/>
      <c r="F707" s="19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9"/>
      <c r="D708" s="19"/>
      <c r="E708" s="16"/>
      <c r="F708" s="19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9"/>
      <c r="D709" s="19"/>
      <c r="E709" s="16"/>
      <c r="F709" s="19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9"/>
      <c r="D710" s="19"/>
      <c r="E710" s="16"/>
      <c r="F710" s="19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9"/>
      <c r="D711" s="19"/>
      <c r="E711" s="16"/>
      <c r="F711" s="19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9"/>
      <c r="D712" s="19"/>
      <c r="E712" s="16"/>
      <c r="F712" s="19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9"/>
      <c r="D713" s="19"/>
      <c r="E713" s="16"/>
      <c r="F713" s="19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9"/>
      <c r="D714" s="19"/>
      <c r="E714" s="16"/>
      <c r="F714" s="19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9"/>
      <c r="D715" s="19"/>
      <c r="E715" s="16"/>
      <c r="F715" s="19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9"/>
      <c r="D716" s="19"/>
      <c r="E716" s="16"/>
      <c r="F716" s="19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9"/>
      <c r="D717" s="19"/>
      <c r="E717" s="16"/>
      <c r="F717" s="19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9"/>
      <c r="D718" s="19"/>
      <c r="E718" s="16"/>
      <c r="F718" s="19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9"/>
      <c r="D719" s="19"/>
      <c r="E719" s="16"/>
      <c r="F719" s="19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9"/>
      <c r="D720" s="19"/>
      <c r="E720" s="16"/>
      <c r="F720" s="19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9"/>
      <c r="D721" s="19"/>
      <c r="E721" s="16"/>
      <c r="F721" s="19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9"/>
      <c r="D722" s="19"/>
      <c r="E722" s="16"/>
      <c r="F722" s="19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9"/>
      <c r="D723" s="19"/>
      <c r="E723" s="16"/>
      <c r="F723" s="19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9"/>
      <c r="D724" s="19"/>
      <c r="E724" s="16"/>
      <c r="F724" s="19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9"/>
      <c r="D725" s="19"/>
      <c r="E725" s="16"/>
      <c r="F725" s="19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9"/>
      <c r="D726" s="19"/>
      <c r="E726" s="16"/>
      <c r="F726" s="19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9"/>
      <c r="D727" s="19"/>
      <c r="E727" s="16"/>
      <c r="F727" s="19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9"/>
      <c r="D728" s="19"/>
      <c r="E728" s="16"/>
      <c r="F728" s="19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9"/>
      <c r="D729" s="19"/>
      <c r="E729" s="16"/>
      <c r="F729" s="19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9"/>
      <c r="D730" s="19"/>
      <c r="E730" s="16"/>
      <c r="F730" s="19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9"/>
      <c r="D731" s="19"/>
      <c r="E731" s="16"/>
      <c r="F731" s="19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9"/>
      <c r="D732" s="19"/>
      <c r="E732" s="16"/>
      <c r="F732" s="19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9"/>
      <c r="D733" s="19"/>
      <c r="E733" s="16"/>
      <c r="F733" s="19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9"/>
      <c r="D734" s="19"/>
      <c r="E734" s="16"/>
      <c r="F734" s="19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9"/>
      <c r="D735" s="19"/>
      <c r="E735" s="16"/>
      <c r="F735" s="19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9"/>
      <c r="D736" s="19"/>
      <c r="E736" s="16"/>
      <c r="F736" s="19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9"/>
      <c r="D737" s="19"/>
      <c r="E737" s="16"/>
      <c r="F737" s="19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9"/>
      <c r="D738" s="19"/>
      <c r="E738" s="16"/>
      <c r="F738" s="19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9"/>
      <c r="D739" s="19"/>
      <c r="E739" s="16"/>
      <c r="F739" s="19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9"/>
      <c r="D740" s="19"/>
      <c r="E740" s="16"/>
      <c r="F740" s="19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9"/>
      <c r="D741" s="19"/>
      <c r="E741" s="16"/>
      <c r="F741" s="19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9"/>
      <c r="D742" s="19"/>
      <c r="E742" s="16"/>
      <c r="F742" s="19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9"/>
      <c r="D743" s="19"/>
      <c r="E743" s="16"/>
      <c r="F743" s="19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9"/>
      <c r="D744" s="19"/>
      <c r="E744" s="16"/>
      <c r="F744" s="19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9"/>
      <c r="D745" s="19"/>
      <c r="E745" s="16"/>
      <c r="F745" s="19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9"/>
      <c r="D746" s="19"/>
      <c r="E746" s="16"/>
      <c r="F746" s="19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9"/>
      <c r="D747" s="19"/>
      <c r="E747" s="16"/>
      <c r="F747" s="19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9"/>
      <c r="D748" s="19"/>
      <c r="E748" s="16"/>
      <c r="F748" s="19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9"/>
      <c r="D749" s="19"/>
      <c r="E749" s="16"/>
      <c r="F749" s="19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9"/>
      <c r="D750" s="19"/>
      <c r="E750" s="16"/>
      <c r="F750" s="19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9"/>
      <c r="D751" s="19"/>
      <c r="E751" s="16"/>
      <c r="F751" s="19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9"/>
      <c r="D752" s="19"/>
      <c r="E752" s="16"/>
      <c r="F752" s="19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9"/>
      <c r="D753" s="19"/>
      <c r="E753" s="16"/>
      <c r="F753" s="19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9"/>
      <c r="D754" s="19"/>
      <c r="E754" s="16"/>
      <c r="F754" s="19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9"/>
      <c r="D755" s="19"/>
      <c r="E755" s="16"/>
      <c r="F755" s="19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9"/>
      <c r="D756" s="19"/>
      <c r="E756" s="16"/>
      <c r="F756" s="19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9"/>
      <c r="D757" s="19"/>
      <c r="E757" s="16"/>
      <c r="F757" s="19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9"/>
      <c r="D758" s="19"/>
      <c r="E758" s="16"/>
      <c r="F758" s="19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9"/>
      <c r="D759" s="19"/>
      <c r="E759" s="16"/>
      <c r="F759" s="19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9"/>
      <c r="D760" s="19"/>
      <c r="E760" s="16"/>
      <c r="F760" s="19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9"/>
      <c r="D761" s="19"/>
      <c r="E761" s="16"/>
      <c r="F761" s="19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9"/>
      <c r="D762" s="19"/>
      <c r="E762" s="16"/>
      <c r="F762" s="19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9"/>
      <c r="D763" s="19"/>
      <c r="E763" s="16"/>
      <c r="F763" s="19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9"/>
      <c r="D764" s="19"/>
      <c r="E764" s="16"/>
      <c r="F764" s="19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9"/>
      <c r="D765" s="19"/>
      <c r="E765" s="16"/>
      <c r="F765" s="19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9"/>
      <c r="D766" s="19"/>
      <c r="E766" s="16"/>
      <c r="F766" s="19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9"/>
      <c r="D767" s="19"/>
      <c r="E767" s="16"/>
      <c r="F767" s="19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9"/>
      <c r="D768" s="19"/>
      <c r="E768" s="16"/>
      <c r="F768" s="19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9"/>
      <c r="D769" s="19"/>
      <c r="E769" s="16"/>
      <c r="F769" s="19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9"/>
      <c r="D770" s="19"/>
      <c r="E770" s="16"/>
      <c r="F770" s="19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9"/>
      <c r="D771" s="19"/>
      <c r="E771" s="16"/>
      <c r="F771" s="19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9"/>
      <c r="D772" s="19"/>
      <c r="E772" s="16"/>
      <c r="F772" s="19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9"/>
      <c r="D773" s="19"/>
      <c r="E773" s="16"/>
      <c r="F773" s="19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9"/>
      <c r="D774" s="19"/>
      <c r="E774" s="16"/>
      <c r="F774" s="19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9"/>
      <c r="D775" s="19"/>
      <c r="E775" s="16"/>
      <c r="F775" s="19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9"/>
      <c r="D776" s="19"/>
      <c r="E776" s="16"/>
      <c r="F776" s="19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9"/>
      <c r="D777" s="19"/>
      <c r="E777" s="16"/>
      <c r="F777" s="19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9"/>
      <c r="D778" s="19"/>
      <c r="E778" s="16"/>
      <c r="F778" s="19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9"/>
      <c r="D779" s="19"/>
      <c r="E779" s="16"/>
      <c r="F779" s="19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9"/>
      <c r="D780" s="19"/>
      <c r="E780" s="16"/>
      <c r="F780" s="19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9"/>
      <c r="D781" s="19"/>
      <c r="E781" s="16"/>
      <c r="F781" s="19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9"/>
      <c r="D782" s="19"/>
      <c r="E782" s="16"/>
      <c r="F782" s="19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9"/>
      <c r="D783" s="19"/>
      <c r="E783" s="16"/>
      <c r="F783" s="19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9"/>
      <c r="D784" s="19"/>
      <c r="E784" s="16"/>
      <c r="F784" s="19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9"/>
      <c r="D785" s="19"/>
      <c r="E785" s="16"/>
      <c r="F785" s="19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9"/>
      <c r="D786" s="19"/>
      <c r="E786" s="16"/>
      <c r="F786" s="19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9"/>
      <c r="D787" s="19"/>
      <c r="E787" s="16"/>
      <c r="F787" s="19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9"/>
      <c r="D788" s="19"/>
      <c r="E788" s="16"/>
      <c r="F788" s="19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9"/>
      <c r="D789" s="19"/>
      <c r="E789" s="16"/>
      <c r="F789" s="19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9"/>
      <c r="D790" s="19"/>
      <c r="E790" s="16"/>
      <c r="F790" s="19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9"/>
      <c r="D791" s="19"/>
      <c r="E791" s="16"/>
      <c r="F791" s="19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9"/>
      <c r="D792" s="19"/>
      <c r="E792" s="16"/>
      <c r="F792" s="19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9"/>
      <c r="D793" s="19"/>
      <c r="E793" s="16"/>
      <c r="F793" s="19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9"/>
      <c r="D794" s="19"/>
      <c r="E794" s="16"/>
      <c r="F794" s="19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9"/>
      <c r="D795" s="19"/>
      <c r="E795" s="16"/>
      <c r="F795" s="19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9"/>
      <c r="D796" s="19"/>
      <c r="E796" s="16"/>
      <c r="F796" s="19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9"/>
      <c r="D797" s="19"/>
      <c r="E797" s="16"/>
      <c r="F797" s="19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9"/>
      <c r="D798" s="19"/>
      <c r="E798" s="16"/>
      <c r="F798" s="19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9"/>
      <c r="D799" s="19"/>
      <c r="E799" s="16"/>
      <c r="F799" s="19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9"/>
      <c r="D800" s="19"/>
      <c r="E800" s="16"/>
      <c r="F800" s="19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9"/>
      <c r="D801" s="19"/>
      <c r="E801" s="16"/>
      <c r="F801" s="19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9"/>
      <c r="D802" s="19"/>
      <c r="E802" s="16"/>
      <c r="F802" s="19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9"/>
      <c r="D803" s="19"/>
      <c r="E803" s="16"/>
      <c r="F803" s="19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9"/>
      <c r="D804" s="19"/>
      <c r="E804" s="16"/>
      <c r="F804" s="19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9"/>
      <c r="D805" s="19"/>
      <c r="E805" s="16"/>
      <c r="F805" s="19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9"/>
      <c r="D806" s="19"/>
      <c r="E806" s="16"/>
      <c r="F806" s="19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9"/>
      <c r="D807" s="19"/>
      <c r="E807" s="16"/>
      <c r="F807" s="19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9"/>
      <c r="D808" s="19"/>
      <c r="E808" s="16"/>
      <c r="F808" s="19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9"/>
      <c r="D809" s="19"/>
      <c r="E809" s="16"/>
      <c r="F809" s="19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9"/>
      <c r="D810" s="19"/>
      <c r="E810" s="16"/>
      <c r="F810" s="19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9"/>
      <c r="D811" s="19"/>
      <c r="E811" s="16"/>
      <c r="F811" s="19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9"/>
      <c r="D812" s="19"/>
      <c r="E812" s="16"/>
      <c r="F812" s="19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9"/>
      <c r="D813" s="19"/>
      <c r="E813" s="16"/>
      <c r="F813" s="19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9"/>
      <c r="D814" s="19"/>
      <c r="E814" s="16"/>
      <c r="F814" s="19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9"/>
      <c r="D815" s="19"/>
      <c r="E815" s="16"/>
      <c r="F815" s="19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9"/>
      <c r="D816" s="19"/>
      <c r="E816" s="16"/>
      <c r="F816" s="19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9"/>
      <c r="D817" s="19"/>
      <c r="E817" s="16"/>
      <c r="F817" s="19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9"/>
      <c r="D818" s="19"/>
      <c r="E818" s="16"/>
      <c r="F818" s="19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9"/>
      <c r="D819" s="19"/>
      <c r="E819" s="16"/>
      <c r="F819" s="19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9"/>
      <c r="D820" s="19"/>
      <c r="E820" s="16"/>
      <c r="F820" s="19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9"/>
      <c r="D821" s="19"/>
      <c r="E821" s="16"/>
      <c r="F821" s="19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9"/>
      <c r="D822" s="19"/>
      <c r="E822" s="16"/>
      <c r="F822" s="19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9"/>
      <c r="D823" s="19"/>
      <c r="E823" s="16"/>
      <c r="F823" s="19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9"/>
      <c r="D824" s="19"/>
      <c r="E824" s="16"/>
      <c r="F824" s="19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9"/>
      <c r="D825" s="19"/>
      <c r="E825" s="16"/>
      <c r="F825" s="19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9"/>
      <c r="D826" s="19"/>
      <c r="E826" s="16"/>
      <c r="F826" s="19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9"/>
      <c r="D827" s="19"/>
      <c r="E827" s="16"/>
      <c r="F827" s="19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9"/>
      <c r="D828" s="19"/>
      <c r="E828" s="16"/>
      <c r="F828" s="19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9"/>
      <c r="D829" s="19"/>
      <c r="E829" s="16"/>
      <c r="F829" s="19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9"/>
      <c r="D830" s="19"/>
      <c r="E830" s="16"/>
      <c r="F830" s="19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9"/>
      <c r="D831" s="19"/>
      <c r="E831" s="16"/>
      <c r="F831" s="19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9"/>
      <c r="D832" s="19"/>
      <c r="E832" s="16"/>
      <c r="F832" s="19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9"/>
      <c r="D833" s="19"/>
      <c r="E833" s="16"/>
      <c r="F833" s="19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9"/>
      <c r="D834" s="19"/>
      <c r="E834" s="16"/>
      <c r="F834" s="19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9"/>
      <c r="D835" s="19"/>
      <c r="E835" s="16"/>
      <c r="F835" s="19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9"/>
      <c r="D836" s="19"/>
      <c r="E836" s="16"/>
      <c r="F836" s="19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9"/>
      <c r="D837" s="19"/>
      <c r="E837" s="16"/>
      <c r="F837" s="19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9"/>
      <c r="D838" s="19"/>
      <c r="E838" s="16"/>
      <c r="F838" s="19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9"/>
      <c r="D839" s="19"/>
      <c r="E839" s="16"/>
      <c r="F839" s="19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9"/>
      <c r="D840" s="19"/>
      <c r="E840" s="16"/>
      <c r="F840" s="19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9"/>
      <c r="D841" s="19"/>
      <c r="E841" s="16"/>
      <c r="F841" s="19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9"/>
      <c r="D842" s="19"/>
      <c r="E842" s="16"/>
      <c r="F842" s="19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9"/>
      <c r="D843" s="19"/>
      <c r="E843" s="16"/>
      <c r="F843" s="19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9"/>
      <c r="D844" s="19"/>
      <c r="E844" s="16"/>
      <c r="F844" s="19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9"/>
      <c r="D845" s="19"/>
      <c r="E845" s="16"/>
      <c r="F845" s="19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9"/>
      <c r="D846" s="19"/>
      <c r="E846" s="16"/>
      <c r="F846" s="19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9"/>
      <c r="D847" s="19"/>
      <c r="E847" s="16"/>
      <c r="F847" s="19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9"/>
      <c r="D848" s="19"/>
      <c r="E848" s="16"/>
      <c r="F848" s="19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9"/>
      <c r="D849" s="19"/>
      <c r="E849" s="16"/>
      <c r="F849" s="19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9"/>
      <c r="D850" s="19"/>
      <c r="E850" s="16"/>
      <c r="F850" s="19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9"/>
      <c r="D851" s="19"/>
      <c r="E851" s="16"/>
      <c r="F851" s="19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9"/>
      <c r="D852" s="19"/>
      <c r="E852" s="16"/>
      <c r="F852" s="19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9"/>
      <c r="D853" s="19"/>
      <c r="E853" s="16"/>
      <c r="F853" s="19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9"/>
      <c r="D854" s="19"/>
      <c r="E854" s="16"/>
      <c r="F854" s="19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9"/>
      <c r="D855" s="19"/>
      <c r="E855" s="16"/>
      <c r="F855" s="19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9"/>
      <c r="D856" s="19"/>
      <c r="E856" s="16"/>
      <c r="F856" s="19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9"/>
      <c r="D857" s="19"/>
      <c r="E857" s="16"/>
      <c r="F857" s="19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9"/>
      <c r="D858" s="19"/>
      <c r="E858" s="16"/>
      <c r="F858" s="19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9"/>
      <c r="D859" s="19"/>
      <c r="E859" s="16"/>
      <c r="F859" s="19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9"/>
      <c r="D860" s="19"/>
      <c r="E860" s="16"/>
      <c r="F860" s="19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9"/>
      <c r="D861" s="19"/>
      <c r="E861" s="16"/>
      <c r="F861" s="19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9"/>
      <c r="D862" s="19"/>
      <c r="E862" s="16"/>
      <c r="F862" s="19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9"/>
      <c r="D863" s="19"/>
      <c r="E863" s="16"/>
      <c r="F863" s="19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9"/>
      <c r="D864" s="19"/>
      <c r="E864" s="16"/>
      <c r="F864" s="19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9"/>
      <c r="D865" s="19"/>
      <c r="E865" s="16"/>
      <c r="F865" s="19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9"/>
      <c r="D866" s="19"/>
      <c r="E866" s="16"/>
      <c r="F866" s="19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9"/>
      <c r="D867" s="19"/>
      <c r="E867" s="16"/>
      <c r="F867" s="19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9"/>
      <c r="D868" s="19"/>
      <c r="E868" s="16"/>
      <c r="F868" s="19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9"/>
      <c r="D869" s="19"/>
      <c r="E869" s="16"/>
      <c r="F869" s="19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9"/>
      <c r="D870" s="19"/>
      <c r="E870" s="16"/>
      <c r="F870" s="19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9"/>
      <c r="D871" s="19"/>
      <c r="E871" s="16"/>
      <c r="F871" s="19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9"/>
      <c r="D872" s="19"/>
      <c r="E872" s="16"/>
      <c r="F872" s="19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9"/>
      <c r="D873" s="19"/>
      <c r="E873" s="16"/>
      <c r="F873" s="19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9"/>
      <c r="D874" s="19"/>
      <c r="E874" s="16"/>
      <c r="F874" s="19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9"/>
      <c r="D875" s="19"/>
      <c r="E875" s="16"/>
      <c r="F875" s="19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9"/>
      <c r="D876" s="19"/>
      <c r="E876" s="16"/>
      <c r="F876" s="19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9"/>
      <c r="D877" s="19"/>
      <c r="E877" s="16"/>
      <c r="F877" s="19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9"/>
      <c r="D878" s="19"/>
      <c r="E878" s="16"/>
      <c r="F878" s="19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9"/>
      <c r="D879" s="19"/>
      <c r="E879" s="16"/>
      <c r="F879" s="19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9"/>
      <c r="D880" s="19"/>
      <c r="E880" s="16"/>
      <c r="F880" s="19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9"/>
      <c r="D881" s="19"/>
      <c r="E881" s="16"/>
      <c r="F881" s="19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9"/>
      <c r="D882" s="19"/>
      <c r="E882" s="16"/>
      <c r="F882" s="19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9"/>
      <c r="D883" s="19"/>
      <c r="E883" s="16"/>
      <c r="F883" s="19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9"/>
      <c r="D884" s="19"/>
      <c r="E884" s="16"/>
      <c r="F884" s="19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9"/>
      <c r="D885" s="19"/>
      <c r="E885" s="16"/>
      <c r="F885" s="19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9"/>
      <c r="D886" s="19"/>
      <c r="E886" s="16"/>
      <c r="F886" s="19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9"/>
      <c r="D887" s="19"/>
      <c r="E887" s="16"/>
      <c r="F887" s="19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9"/>
      <c r="D888" s="19"/>
      <c r="E888" s="16"/>
      <c r="F888" s="19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9"/>
      <c r="D889" s="19"/>
      <c r="E889" s="16"/>
      <c r="F889" s="19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9"/>
      <c r="D890" s="19"/>
      <c r="E890" s="16"/>
      <c r="F890" s="19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9"/>
      <c r="D891" s="19"/>
      <c r="E891" s="16"/>
      <c r="F891" s="19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9"/>
      <c r="D892" s="19"/>
      <c r="E892" s="16"/>
      <c r="F892" s="19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9"/>
      <c r="D893" s="19"/>
      <c r="E893" s="16"/>
      <c r="F893" s="19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9"/>
      <c r="D894" s="19"/>
      <c r="E894" s="16"/>
      <c r="F894" s="19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9"/>
      <c r="D895" s="19"/>
      <c r="E895" s="16"/>
      <c r="F895" s="19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9"/>
      <c r="D896" s="19"/>
      <c r="E896" s="16"/>
      <c r="F896" s="19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9"/>
      <c r="D897" s="19"/>
      <c r="E897" s="16"/>
      <c r="F897" s="19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9"/>
      <c r="D898" s="19"/>
      <c r="E898" s="16"/>
      <c r="F898" s="19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9"/>
      <c r="D899" s="19"/>
      <c r="E899" s="16"/>
      <c r="F899" s="19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9"/>
      <c r="D900" s="19"/>
      <c r="E900" s="16"/>
      <c r="F900" s="19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9"/>
      <c r="D901" s="19"/>
      <c r="E901" s="16"/>
      <c r="F901" s="19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9"/>
      <c r="D902" s="19"/>
      <c r="E902" s="16"/>
      <c r="F902" s="19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9"/>
      <c r="D903" s="19"/>
      <c r="E903" s="16"/>
      <c r="F903" s="19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9"/>
      <c r="D904" s="19"/>
      <c r="E904" s="16"/>
      <c r="F904" s="19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9"/>
      <c r="D905" s="19"/>
      <c r="E905" s="16"/>
      <c r="F905" s="19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9"/>
      <c r="D906" s="19"/>
      <c r="E906" s="16"/>
      <c r="F906" s="19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9"/>
      <c r="D907" s="19"/>
      <c r="E907" s="16"/>
      <c r="F907" s="19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9"/>
      <c r="D908" s="19"/>
      <c r="E908" s="16"/>
      <c r="F908" s="19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9"/>
      <c r="D909" s="19"/>
      <c r="E909" s="16"/>
      <c r="F909" s="19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9"/>
      <c r="D910" s="19"/>
      <c r="E910" s="16"/>
      <c r="F910" s="19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9"/>
      <c r="D911" s="19"/>
      <c r="E911" s="16"/>
      <c r="F911" s="19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9"/>
      <c r="D912" s="19"/>
      <c r="E912" s="16"/>
      <c r="F912" s="19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9"/>
      <c r="D913" s="19"/>
      <c r="E913" s="16"/>
      <c r="F913" s="19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9"/>
      <c r="D914" s="19"/>
      <c r="E914" s="16"/>
      <c r="F914" s="19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9"/>
      <c r="D915" s="19"/>
      <c r="E915" s="16"/>
      <c r="F915" s="19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9"/>
      <c r="D916" s="19"/>
      <c r="E916" s="16"/>
      <c r="F916" s="19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9"/>
      <c r="D917" s="19"/>
      <c r="E917" s="16"/>
      <c r="F917" s="19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9"/>
      <c r="D918" s="19"/>
      <c r="E918" s="16"/>
      <c r="F918" s="19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9"/>
      <c r="D919" s="19"/>
      <c r="E919" s="16"/>
      <c r="F919" s="19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9"/>
      <c r="D920" s="19"/>
      <c r="E920" s="16"/>
      <c r="F920" s="19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9"/>
      <c r="D921" s="19"/>
      <c r="E921" s="16"/>
      <c r="F921" s="19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9"/>
      <c r="D922" s="19"/>
      <c r="E922" s="16"/>
      <c r="F922" s="19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9"/>
      <c r="D923" s="19"/>
      <c r="E923" s="16"/>
      <c r="F923" s="19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9"/>
      <c r="D924" s="19"/>
      <c r="E924" s="16"/>
      <c r="F924" s="19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9"/>
      <c r="D925" s="19"/>
      <c r="E925" s="16"/>
      <c r="F925" s="19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9"/>
      <c r="D926" s="19"/>
      <c r="E926" s="16"/>
      <c r="F926" s="19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9"/>
      <c r="D927" s="19"/>
      <c r="E927" s="16"/>
      <c r="F927" s="19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9"/>
      <c r="D928" s="19"/>
      <c r="E928" s="16"/>
      <c r="F928" s="19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9"/>
      <c r="D929" s="19"/>
      <c r="E929" s="16"/>
      <c r="F929" s="19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9"/>
      <c r="D930" s="19"/>
      <c r="E930" s="16"/>
      <c r="F930" s="19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9"/>
      <c r="D931" s="19"/>
      <c r="E931" s="16"/>
      <c r="F931" s="19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9"/>
      <c r="D932" s="19"/>
      <c r="E932" s="16"/>
      <c r="F932" s="19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9"/>
      <c r="D933" s="19"/>
      <c r="E933" s="16"/>
      <c r="F933" s="19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9"/>
      <c r="D934" s="19"/>
      <c r="E934" s="16"/>
      <c r="F934" s="19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9"/>
      <c r="D935" s="19"/>
      <c r="E935" s="16"/>
      <c r="F935" s="19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9"/>
      <c r="D936" s="19"/>
      <c r="E936" s="16"/>
      <c r="F936" s="19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9"/>
      <c r="D937" s="19"/>
      <c r="E937" s="16"/>
      <c r="F937" s="19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9"/>
      <c r="D938" s="19"/>
      <c r="E938" s="16"/>
      <c r="F938" s="19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9"/>
      <c r="D939" s="19"/>
      <c r="E939" s="16"/>
      <c r="F939" s="19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9"/>
      <c r="D940" s="19"/>
      <c r="E940" s="16"/>
      <c r="F940" s="19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9"/>
      <c r="D941" s="19"/>
      <c r="E941" s="16"/>
      <c r="F941" s="19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9"/>
      <c r="D942" s="19"/>
      <c r="E942" s="16"/>
      <c r="F942" s="19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9"/>
      <c r="D943" s="19"/>
      <c r="E943" s="16"/>
      <c r="F943" s="19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9"/>
      <c r="D944" s="19"/>
      <c r="E944" s="16"/>
      <c r="F944" s="19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9"/>
      <c r="D945" s="19"/>
      <c r="E945" s="16"/>
      <c r="F945" s="19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9"/>
      <c r="D946" s="19"/>
      <c r="E946" s="16"/>
      <c r="F946" s="19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9"/>
      <c r="D947" s="19"/>
      <c r="E947" s="16"/>
      <c r="F947" s="19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9"/>
      <c r="D948" s="19"/>
      <c r="E948" s="16"/>
      <c r="F948" s="19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9"/>
      <c r="D949" s="19"/>
      <c r="E949" s="16"/>
      <c r="F949" s="19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9"/>
      <c r="D950" s="19"/>
      <c r="E950" s="16"/>
      <c r="F950" s="19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9"/>
      <c r="D951" s="19"/>
      <c r="E951" s="16"/>
      <c r="F951" s="19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9"/>
      <c r="D952" s="19"/>
      <c r="E952" s="16"/>
      <c r="F952" s="19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9"/>
      <c r="D953" s="19"/>
      <c r="E953" s="16"/>
      <c r="F953" s="19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9"/>
      <c r="D954" s="19"/>
      <c r="E954" s="16"/>
      <c r="F954" s="19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9"/>
      <c r="D955" s="19"/>
      <c r="E955" s="16"/>
      <c r="F955" s="19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9"/>
      <c r="D956" s="19"/>
      <c r="E956" s="16"/>
      <c r="F956" s="19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9"/>
      <c r="D957" s="19"/>
      <c r="E957" s="16"/>
      <c r="F957" s="19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9"/>
      <c r="D958" s="19"/>
      <c r="E958" s="16"/>
      <c r="F958" s="19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9"/>
      <c r="D959" s="19"/>
      <c r="E959" s="16"/>
      <c r="F959" s="19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9"/>
      <c r="D960" s="19"/>
      <c r="E960" s="16"/>
      <c r="F960" s="19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9"/>
      <c r="D961" s="19"/>
      <c r="E961" s="16"/>
      <c r="F961" s="19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9"/>
      <c r="D962" s="19"/>
      <c r="E962" s="16"/>
      <c r="F962" s="19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9"/>
      <c r="D963" s="19"/>
      <c r="E963" s="16"/>
      <c r="F963" s="19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9"/>
      <c r="D964" s="19"/>
      <c r="E964" s="16"/>
      <c r="F964" s="19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9"/>
      <c r="D965" s="19"/>
      <c r="E965" s="16"/>
      <c r="F965" s="19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9"/>
      <c r="D966" s="19"/>
      <c r="E966" s="16"/>
      <c r="F966" s="19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9"/>
      <c r="D967" s="19"/>
      <c r="E967" s="16"/>
      <c r="F967" s="19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9"/>
      <c r="D968" s="19"/>
      <c r="E968" s="16"/>
      <c r="F968" s="19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9"/>
      <c r="D969" s="19"/>
      <c r="E969" s="16"/>
      <c r="F969" s="19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9"/>
      <c r="D970" s="19"/>
      <c r="E970" s="16"/>
      <c r="F970" s="19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9"/>
      <c r="D971" s="19"/>
      <c r="E971" s="16"/>
      <c r="F971" s="19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19"/>
      <c r="D972" s="19"/>
      <c r="E972" s="16"/>
      <c r="F972" s="19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19"/>
      <c r="D973" s="19"/>
      <c r="E973" s="16"/>
      <c r="F973" s="19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19"/>
      <c r="D974" s="19"/>
      <c r="E974" s="16"/>
      <c r="F974" s="19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19"/>
      <c r="D975" s="19"/>
      <c r="E975" s="16"/>
      <c r="F975" s="19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19"/>
      <c r="D976" s="19"/>
      <c r="E976" s="16"/>
      <c r="F976" s="19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19"/>
      <c r="D977" s="19"/>
      <c r="E977" s="16"/>
      <c r="F977" s="19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19"/>
      <c r="D978" s="19"/>
      <c r="E978" s="16"/>
      <c r="F978" s="19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19"/>
      <c r="D979" s="19"/>
      <c r="E979" s="16"/>
      <c r="F979" s="19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19"/>
      <c r="D980" s="19"/>
      <c r="E980" s="16"/>
      <c r="F980" s="19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19"/>
      <c r="D981" s="19"/>
      <c r="E981" s="16"/>
      <c r="F981" s="19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19"/>
      <c r="D982" s="19"/>
      <c r="E982" s="16"/>
      <c r="F982" s="19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19"/>
      <c r="D983" s="19"/>
      <c r="E983" s="16"/>
      <c r="F983" s="19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19"/>
      <c r="D984" s="19"/>
      <c r="E984" s="16"/>
      <c r="F984" s="19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19"/>
      <c r="D985" s="19"/>
      <c r="E985" s="16"/>
      <c r="F985" s="19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19"/>
      <c r="D986" s="19"/>
      <c r="E986" s="16"/>
      <c r="F986" s="19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19"/>
      <c r="D987" s="19"/>
      <c r="E987" s="16"/>
      <c r="F987" s="19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19"/>
      <c r="D988" s="19"/>
      <c r="E988" s="16"/>
      <c r="F988" s="19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19"/>
      <c r="D989" s="19"/>
      <c r="E989" s="16"/>
      <c r="F989" s="19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19"/>
      <c r="D990" s="19"/>
      <c r="E990" s="16"/>
      <c r="F990" s="19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19"/>
      <c r="D991" s="19"/>
      <c r="E991" s="16"/>
      <c r="F991" s="19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19"/>
      <c r="D992" s="19"/>
      <c r="E992" s="16"/>
      <c r="F992" s="19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19"/>
      <c r="D993" s="19"/>
      <c r="E993" s="16"/>
      <c r="F993" s="19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19"/>
      <c r="D994" s="19"/>
      <c r="E994" s="16"/>
      <c r="F994" s="19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19"/>
      <c r="D995" s="19"/>
      <c r="E995" s="16"/>
      <c r="F995" s="19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19"/>
      <c r="D996" s="19"/>
      <c r="E996" s="16"/>
      <c r="F996" s="19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19"/>
      <c r="D997" s="19"/>
      <c r="E997" s="16"/>
      <c r="F997" s="19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19"/>
      <c r="D998" s="19"/>
      <c r="E998" s="16"/>
      <c r="F998" s="19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19"/>
      <c r="D999" s="19"/>
      <c r="E999" s="16"/>
      <c r="F999" s="19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pageMargins left="0.7" right="0.7" top="0.75" bottom="0.75" header="0" footer="0"/>
  <pageSetup orientation="landscape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/>
  <cp:revision/>
  <dcterms:created xsi:type="dcterms:W3CDTF">2006-09-16T00:00:00Z</dcterms:created>
  <dcterms:modified xsi:type="dcterms:W3CDTF">2023-11-23T03:50:38Z</dcterms:modified>
  <cp:category/>
  <cp:contentStatus/>
</cp:coreProperties>
</file>