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7.xml" ContentType="application/vnd.ms-excel.controlproperties+xml"/>
  <Override PartName="/xl/drawings/drawing3.xml" ContentType="application/vnd.openxmlformats-officedocument.drawing+xml"/>
  <Override PartName="/xl/ctrlProps/ctrlProp38.xml" ContentType="application/vnd.ms-excel.controlproperties+xml"/>
  <Override PartName="/xl/drawings/drawing4.xml" ContentType="application/vnd.openxmlformats-officedocument.drawing+xml"/>
  <Override PartName="/xl/ctrlProps/ctrlProp39.xml" ContentType="application/vnd.ms-excel.controlproperties+xml"/>
  <Override PartName="/xl/drawings/drawing5.xml" ContentType="application/vnd.openxmlformats-officedocument.drawing+xml"/>
  <Override PartName="/xl/ctrlProps/ctrlProp40.xml" ContentType="application/vnd.ms-excel.controlproperties+xml"/>
  <Override PartName="/xl/drawings/drawing6.xml" ContentType="application/vnd.openxmlformats-officedocument.drawing+xml"/>
  <Override PartName="/xl/ctrlProps/ctrlProp41.xml" ContentType="application/vnd.ms-excel.controlproperties+xml"/>
  <Override PartName="/xl/drawings/drawing7.xml" ContentType="application/vnd.openxmlformats-officedocument.drawing+xml"/>
  <Override PartName="/xl/ctrlProps/ctrlProp42.xml" ContentType="application/vnd.ms-excel.controlproperties+xml"/>
  <Override PartName="/xl/drawings/drawing8.xml" ContentType="application/vnd.openxmlformats-officedocument.drawing+xml"/>
  <Override PartName="/xl/ctrlProps/ctrlProp43.xml" ContentType="application/vnd.ms-excel.controlproperties+xml"/>
  <Override PartName="/xl/drawings/drawing9.xml" ContentType="application/vnd.openxmlformats-officedocument.drawing+xml"/>
  <Override PartName="/xl/ctrlProps/ctrlProp44.xml" ContentType="application/vnd.ms-excel.controlproperties+xml"/>
  <Override PartName="/xl/drawings/drawing10.xml" ContentType="application/vnd.openxmlformats-officedocument.drawing+xml"/>
  <Override PartName="/xl/ctrlProps/ctrlProp45.xml" ContentType="application/vnd.ms-excel.controlproperties+xml"/>
  <Override PartName="/xl/drawings/drawing11.xml" ContentType="application/vnd.openxmlformats-officedocument.drawing+xml"/>
  <Override PartName="/xl/ctrlProps/ctrlProp46.xml" ContentType="application/vnd.ms-excel.controlproperties+xml"/>
  <Override PartName="/xl/drawings/drawing12.xml" ContentType="application/vnd.openxmlformats-officedocument.drawing+xml"/>
  <Override PartName="/xl/ctrlProps/ctrlProp47.xml" ContentType="application/vnd.ms-excel.controlproperties+xml"/>
  <Override PartName="/xl/drawings/drawing13.xml" ContentType="application/vnd.openxmlformats-officedocument.drawing+xml"/>
  <Override PartName="/xl/ctrlProps/ctrlProp48.xml" ContentType="application/vnd.ms-excel.controlproperties+xml"/>
  <Override PartName="/xl/drawings/drawing14.xml" ContentType="application/vnd.openxmlformats-officedocument.drawing+xml"/>
  <Override PartName="/xl/ctrlProps/ctrlProp49.xml" ContentType="application/vnd.ms-excel.controlproperties+xml"/>
  <Override PartName="/xl/drawings/drawing15.xml" ContentType="application/vnd.openxmlformats-officedocument.drawing+xml"/>
  <Override PartName="/xl/ctrlProps/ctrlProp50.xml" ContentType="application/vnd.ms-excel.controlpropertie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a\OneDrive\"/>
    </mc:Choice>
  </mc:AlternateContent>
  <xr:revisionPtr revIDLastSave="0" documentId="13_ncr:1_{5B3AD1FE-9AC7-44EF-B37C-7EADFE4CA006}" xr6:coauthVersionLast="46" xr6:coauthVersionMax="46" xr10:uidLastSave="{00000000-0000-0000-0000-000000000000}"/>
  <bookViews>
    <workbookView xWindow="-120" yWindow="-120" windowWidth="20730" windowHeight="11160" tabRatio="967" firstSheet="6" activeTab="13" xr2:uid="{00000000-000D-0000-FFFF-FFFF00000000}"/>
  </bookViews>
  <sheets>
    <sheet name="Inicio" sheetId="1" r:id="rId1"/>
    <sheet name="presupuesto compras y ventas" sheetId="2" r:id="rId2"/>
    <sheet name="gastos personal" sheetId="3" r:id="rId3"/>
    <sheet name="gastos depreciación" sheetId="4" r:id="rId4"/>
    <sheet name="gastos generales" sheetId="5" r:id="rId5"/>
    <sheet name="inversión inicial" sheetId="6" r:id="rId6"/>
    <sheet name="financiación" sheetId="7" r:id="rId7"/>
    <sheet name="flujo" sheetId="8" r:id="rId8"/>
    <sheet name="Estado de Resultado " sheetId="9" r:id="rId9"/>
    <sheet name="balance" sheetId="10" r:id="rId10"/>
    <sheet name="análisis inversionista" sheetId="11" r:id="rId11"/>
    <sheet name="análisis proyecto" sheetId="12" r:id="rId12"/>
    <sheet name="sensibilidad inversionista" sheetId="13" r:id="rId13"/>
    <sheet name="sensibilidad proyecto" sheetId="14" r:id="rId14"/>
    <sheet name="Indicadores Financieros" sheetId="15" r:id="rId15"/>
  </sheets>
  <definedNames>
    <definedName name="_xlnm.Print_Area" localSheetId="10">'análisis inversionista'!$A$1:$Q$59</definedName>
    <definedName name="_xlnm.Print_Area" localSheetId="11">'análisis proyecto'!$A$1:$Q$57</definedName>
    <definedName name="_xlnm.Print_Area" localSheetId="2">'gastos personal'!$A$1:$Q$86</definedName>
    <definedName name="_xlnm.Print_Area" localSheetId="1">'presupuesto compras y ventas'!$A$1:$P$39</definedName>
    <definedName name="_xlnm.Print_Area" localSheetId="12">'sensibilidad inversionista'!$A$1:$Q$65</definedName>
    <definedName name="_xlnm.Print_Area" localSheetId="13">'sensibilidad proyecto'!$A$1:$Q$65</definedName>
    <definedName name="I">"Imagen 105"</definedName>
    <definedName name="Z_4BF10618_D357_11D5_9338_EFF21189730A_.wvu.PrintArea" localSheetId="10" hidden="1">'análisis inversionista'!$A$1:$Q$59</definedName>
    <definedName name="Z_4BF10618_D357_11D5_9338_EFF21189730A_.wvu.PrintArea" localSheetId="11" hidden="1">'análisis proyecto'!$A$1:$Q$57</definedName>
    <definedName name="Z_4BF10618_D357_11D5_9338_EFF21189730A_.wvu.PrintArea" localSheetId="2" hidden="1">'gastos personal'!$A$1:$Q$86</definedName>
    <definedName name="Z_4BF10618_D357_11D5_9338_EFF21189730A_.wvu.PrintArea" localSheetId="1" hidden="1">'presupuesto compras y ventas'!$A$1:$P$39</definedName>
    <definedName name="Z_4BF10618_D357_11D5_9338_EFF21189730A_.wvu.PrintArea" localSheetId="12" hidden="1">'sensibilidad inversionista'!$A$1:$Q$65</definedName>
    <definedName name="Z_4BF10618_D357_11D5_9338_EFF21189730A_.wvu.PrintArea" localSheetId="13" hidden="1">'sensibilidad proyecto'!$A$1:$Q$65</definedName>
  </definedNames>
  <calcPr calcId="191029"/>
  <customWorkbookViews>
    <customWorkbookView name="Compaq - Vista personalizada" guid="{4BF10618-D357-11D5-9338-EFF21189730A}" mergeInterval="0" personalView="1" maximized="1" windowWidth="763" windowHeight="411" tabRatio="84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0" i="1" l="1"/>
  <c r="D98" i="1"/>
  <c r="E70" i="1"/>
  <c r="E117" i="1"/>
  <c r="E116" i="1"/>
  <c r="E115" i="1"/>
  <c r="E114" i="1"/>
  <c r="E113" i="1"/>
  <c r="E122" i="1"/>
  <c r="E121" i="1"/>
  <c r="E133" i="1"/>
  <c r="E132" i="1"/>
  <c r="E131" i="1"/>
  <c r="E130" i="1"/>
  <c r="E129" i="1"/>
  <c r="F196" i="1"/>
  <c r="F192" i="1"/>
  <c r="F191" i="1"/>
  <c r="F188" i="1"/>
  <c r="F186" i="1"/>
  <c r="F183" i="1"/>
  <c r="F181" i="1"/>
  <c r="F180" i="1"/>
  <c r="D196" i="1"/>
  <c r="D195" i="1"/>
  <c r="D191" i="1"/>
  <c r="D190" i="1"/>
  <c r="D189" i="1"/>
  <c r="D186" i="1"/>
  <c r="D183" i="1"/>
  <c r="D181" i="1"/>
  <c r="D180" i="1"/>
  <c r="D216" i="1"/>
  <c r="D208" i="1"/>
  <c r="D206" i="1"/>
  <c r="D205" i="1"/>
  <c r="B51" i="9" l="1"/>
  <c r="C41" i="14"/>
  <c r="C41" i="13"/>
  <c r="C40" i="12"/>
  <c r="C43" i="11"/>
  <c r="F103" i="1"/>
  <c r="C33" i="3"/>
  <c r="F98" i="1"/>
  <c r="C15" i="3"/>
  <c r="M36" i="11"/>
  <c r="K36" i="11"/>
  <c r="J36" i="11"/>
  <c r="I36" i="11"/>
  <c r="H36" i="11"/>
  <c r="B26" i="2"/>
  <c r="B17" i="2"/>
  <c r="I17" i="2" s="1"/>
  <c r="B27" i="2"/>
  <c r="B18" i="2"/>
  <c r="E18" i="2"/>
  <c r="B28" i="2"/>
  <c r="B19" i="2"/>
  <c r="C19" i="2" s="1"/>
  <c r="C15" i="6"/>
  <c r="C23" i="6"/>
  <c r="F36" i="11"/>
  <c r="E36" i="11"/>
  <c r="D36" i="11"/>
  <c r="C36" i="11"/>
  <c r="C35" i="11"/>
  <c r="A3" i="11"/>
  <c r="C33" i="11"/>
  <c r="D33" i="11"/>
  <c r="E33" i="11"/>
  <c r="F33" i="11"/>
  <c r="I33" i="11"/>
  <c r="J33" i="11"/>
  <c r="K33" i="11"/>
  <c r="M33" i="11"/>
  <c r="P33" i="11"/>
  <c r="C34" i="11"/>
  <c r="D34" i="11"/>
  <c r="E34" i="11"/>
  <c r="F34" i="11"/>
  <c r="I34" i="11"/>
  <c r="J34" i="11"/>
  <c r="K34" i="11"/>
  <c r="M34" i="11"/>
  <c r="P34" i="11"/>
  <c r="D35" i="11"/>
  <c r="E35" i="11"/>
  <c r="F35" i="11"/>
  <c r="J35" i="11"/>
  <c r="K35" i="11"/>
  <c r="M35" i="11"/>
  <c r="C49" i="11"/>
  <c r="B59" i="11"/>
  <c r="H35" i="11"/>
  <c r="H33" i="11"/>
  <c r="H34" i="11"/>
  <c r="I35" i="11"/>
  <c r="C22" i="4"/>
  <c r="C23" i="4"/>
  <c r="C24" i="4"/>
  <c r="C25" i="4"/>
  <c r="C26" i="4"/>
  <c r="C27" i="4"/>
  <c r="C28" i="4"/>
  <c r="C29" i="4"/>
  <c r="C30" i="4"/>
  <c r="C21" i="6"/>
  <c r="C8" i="4"/>
  <c r="C9" i="4"/>
  <c r="C10" i="4"/>
  <c r="C11" i="4"/>
  <c r="C12" i="4"/>
  <c r="C13" i="4"/>
  <c r="H13" i="4" s="1"/>
  <c r="C14" i="4"/>
  <c r="C15" i="4"/>
  <c r="C16" i="4"/>
  <c r="C17" i="4"/>
  <c r="C18" i="4"/>
  <c r="C20" i="6"/>
  <c r="B24" i="5"/>
  <c r="D24" i="5"/>
  <c r="B6" i="5"/>
  <c r="C6" i="5" s="1"/>
  <c r="D6" i="5" s="1"/>
  <c r="E6" i="5" s="1"/>
  <c r="F6" i="5" s="1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1" i="5"/>
  <c r="B22" i="5"/>
  <c r="B46" i="5"/>
  <c r="D46" i="5"/>
  <c r="B30" i="5"/>
  <c r="B28" i="5"/>
  <c r="B29" i="5"/>
  <c r="B31" i="5"/>
  <c r="B32" i="5"/>
  <c r="B33" i="5"/>
  <c r="B34" i="5"/>
  <c r="B35" i="5"/>
  <c r="B36" i="5"/>
  <c r="B37" i="5"/>
  <c r="B38" i="5"/>
  <c r="B39" i="5"/>
  <c r="B40" i="5"/>
  <c r="B41" i="5"/>
  <c r="B43" i="5"/>
  <c r="B44" i="5"/>
  <c r="B69" i="5"/>
  <c r="D69" i="5"/>
  <c r="B51" i="5"/>
  <c r="C51" i="5" s="1"/>
  <c r="D51" i="5" s="1"/>
  <c r="E51" i="5" s="1"/>
  <c r="F51" i="5" s="1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6" i="5"/>
  <c r="B67" i="5"/>
  <c r="C8" i="3"/>
  <c r="D8" i="3" s="1"/>
  <c r="B8" i="3"/>
  <c r="C9" i="3"/>
  <c r="D9" i="3" s="1"/>
  <c r="B9" i="3"/>
  <c r="C10" i="3"/>
  <c r="B10" i="3"/>
  <c r="C11" i="3"/>
  <c r="D11" i="3" s="1"/>
  <c r="B11" i="3"/>
  <c r="B12" i="3"/>
  <c r="C12" i="3"/>
  <c r="C25" i="3"/>
  <c r="D25" i="3" s="1"/>
  <c r="B25" i="3"/>
  <c r="B27" i="3"/>
  <c r="C27" i="3"/>
  <c r="D27" i="3" s="1"/>
  <c r="E27" i="3" s="1"/>
  <c r="F27" i="3" s="1"/>
  <c r="C26" i="3"/>
  <c r="D26" i="3" s="1"/>
  <c r="B26" i="3"/>
  <c r="C42" i="3"/>
  <c r="D42" i="3" s="1"/>
  <c r="B42" i="3"/>
  <c r="B43" i="3"/>
  <c r="C43" i="3"/>
  <c r="D43" i="3" s="1"/>
  <c r="B44" i="3"/>
  <c r="C44" i="3"/>
  <c r="B45" i="3"/>
  <c r="C45" i="3"/>
  <c r="D45" i="3" s="1"/>
  <c r="B46" i="3"/>
  <c r="C46" i="3"/>
  <c r="B12" i="2"/>
  <c r="B13" i="2"/>
  <c r="B14" i="2"/>
  <c r="A75" i="2"/>
  <c r="B65" i="2"/>
  <c r="B11" i="10"/>
  <c r="B10" i="6"/>
  <c r="C13" i="6"/>
  <c r="C22" i="6"/>
  <c r="C28" i="3"/>
  <c r="D28" i="3" s="1"/>
  <c r="E28" i="3" s="1"/>
  <c r="F28" i="3" s="1"/>
  <c r="B28" i="3"/>
  <c r="C29" i="3"/>
  <c r="D29" i="3"/>
  <c r="E29" i="3" s="1"/>
  <c r="F29" i="3" s="1"/>
  <c r="B29" i="3"/>
  <c r="P36" i="11"/>
  <c r="P35" i="11"/>
  <c r="O33" i="11"/>
  <c r="O36" i="11"/>
  <c r="O35" i="11"/>
  <c r="O34" i="11"/>
  <c r="N34" i="11"/>
  <c r="N33" i="11"/>
  <c r="B57" i="7"/>
  <c r="R52" i="7"/>
  <c r="S52" i="7"/>
  <c r="T52" i="7" s="1"/>
  <c r="U52" i="7" s="1"/>
  <c r="V52" i="7" s="1"/>
  <c r="W52" i="7" s="1"/>
  <c r="X52" i="7" s="1"/>
  <c r="Y52" i="7" s="1"/>
  <c r="Z52" i="7" s="1"/>
  <c r="AA52" i="7" s="1"/>
  <c r="AB52" i="7" s="1"/>
  <c r="AC52" i="7" s="1"/>
  <c r="AD52" i="7" s="1"/>
  <c r="AE52" i="7" s="1"/>
  <c r="AF52" i="7" s="1"/>
  <c r="AG52" i="7" s="1"/>
  <c r="AH52" i="7" s="1"/>
  <c r="AI52" i="7" s="1"/>
  <c r="AJ52" i="7" s="1"/>
  <c r="AK52" i="7" s="1"/>
  <c r="AL52" i="7" s="1"/>
  <c r="AM52" i="7" s="1"/>
  <c r="AN52" i="7" s="1"/>
  <c r="AO52" i="7" s="1"/>
  <c r="AP52" i="7" s="1"/>
  <c r="AQ52" i="7" s="1"/>
  <c r="AR52" i="7" s="1"/>
  <c r="AS52" i="7" s="1"/>
  <c r="AT52" i="7" s="1"/>
  <c r="AU52" i="7" s="1"/>
  <c r="AV52" i="7" s="1"/>
  <c r="AW52" i="7" s="1"/>
  <c r="AX52" i="7" s="1"/>
  <c r="AY52" i="7" s="1"/>
  <c r="AZ52" i="7" s="1"/>
  <c r="BA52" i="7" s="1"/>
  <c r="BB52" i="7" s="1"/>
  <c r="BC52" i="7" s="1"/>
  <c r="BD52" i="7" s="1"/>
  <c r="BE52" i="7" s="1"/>
  <c r="BF52" i="7" s="1"/>
  <c r="BG52" i="7" s="1"/>
  <c r="BH52" i="7" s="1"/>
  <c r="BI52" i="7" s="1"/>
  <c r="BJ52" i="7" s="1"/>
  <c r="BK52" i="7" s="1"/>
  <c r="BL52" i="7" s="1"/>
  <c r="BM52" i="7" s="1"/>
  <c r="BN52" i="7" s="1"/>
  <c r="BO52" i="7" s="1"/>
  <c r="BP52" i="7" s="1"/>
  <c r="BQ52" i="7" s="1"/>
  <c r="BR52" i="7" s="1"/>
  <c r="BS52" i="7" s="1"/>
  <c r="BT52" i="7" s="1"/>
  <c r="BU52" i="7" s="1"/>
  <c r="BV52" i="7" s="1"/>
  <c r="BW52" i="7" s="1"/>
  <c r="BX52" i="7" s="1"/>
  <c r="BY52" i="7" s="1"/>
  <c r="BZ52" i="7" s="1"/>
  <c r="CA52" i="7" s="1"/>
  <c r="CB52" i="7" s="1"/>
  <c r="CC52" i="7" s="1"/>
  <c r="CD52" i="7" s="1"/>
  <c r="CE52" i="7" s="1"/>
  <c r="CF52" i="7" s="1"/>
  <c r="CG52" i="7" s="1"/>
  <c r="CH52" i="7" s="1"/>
  <c r="CI52" i="7" s="1"/>
  <c r="CJ52" i="7" s="1"/>
  <c r="CK52" i="7" s="1"/>
  <c r="CL52" i="7" s="1"/>
  <c r="CM52" i="7" s="1"/>
  <c r="CN52" i="7" s="1"/>
  <c r="CO52" i="7" s="1"/>
  <c r="CP52" i="7" s="1"/>
  <c r="CQ52" i="7" s="1"/>
  <c r="CR52" i="7" s="1"/>
  <c r="CS52" i="7" s="1"/>
  <c r="CT52" i="7" s="1"/>
  <c r="CU52" i="7" s="1"/>
  <c r="CV52" i="7" s="1"/>
  <c r="CW52" i="7" s="1"/>
  <c r="CX52" i="7" s="1"/>
  <c r="CY52" i="7" s="1"/>
  <c r="CZ52" i="7" s="1"/>
  <c r="DA52" i="7" s="1"/>
  <c r="DB52" i="7" s="1"/>
  <c r="DC52" i="7" s="1"/>
  <c r="DD52" i="7" s="1"/>
  <c r="DE52" i="7" s="1"/>
  <c r="DF52" i="7" s="1"/>
  <c r="DG52" i="7" s="1"/>
  <c r="DH52" i="7" s="1"/>
  <c r="DI52" i="7" s="1"/>
  <c r="DJ52" i="7" s="1"/>
  <c r="DK52" i="7" s="1"/>
  <c r="DL52" i="7" s="1"/>
  <c r="DM52" i="7" s="1"/>
  <c r="DN52" i="7" s="1"/>
  <c r="DO52" i="7" s="1"/>
  <c r="DP52" i="7" s="1"/>
  <c r="DQ52" i="7" s="1"/>
  <c r="DR52" i="7" s="1"/>
  <c r="DS52" i="7" s="1"/>
  <c r="B58" i="7"/>
  <c r="B29" i="6"/>
  <c r="B55" i="7"/>
  <c r="B78" i="7"/>
  <c r="R73" i="7"/>
  <c r="S73" i="7" s="1"/>
  <c r="B79" i="7"/>
  <c r="E78" i="7" s="1"/>
  <c r="B100" i="7"/>
  <c r="R95" i="7"/>
  <c r="S95" i="7" s="1"/>
  <c r="B101" i="7"/>
  <c r="B31" i="6"/>
  <c r="B98" i="7"/>
  <c r="B22" i="4"/>
  <c r="B23" i="4"/>
  <c r="B24" i="4"/>
  <c r="H24" i="4" s="1"/>
  <c r="B25" i="4"/>
  <c r="Q25" i="4" s="1"/>
  <c r="B26" i="4"/>
  <c r="Q26" i="4" s="1"/>
  <c r="B27" i="4"/>
  <c r="B28" i="4"/>
  <c r="L28" i="4" s="1"/>
  <c r="B29" i="4"/>
  <c r="B30" i="4"/>
  <c r="R8" i="4"/>
  <c r="B9" i="4"/>
  <c r="B10" i="4"/>
  <c r="Q10" i="4" s="1"/>
  <c r="B11" i="4"/>
  <c r="D11" i="4" s="1"/>
  <c r="B12" i="4"/>
  <c r="J12" i="4" s="1"/>
  <c r="B13" i="4"/>
  <c r="B14" i="4"/>
  <c r="B15" i="4"/>
  <c r="B16" i="4"/>
  <c r="B17" i="4"/>
  <c r="P17" i="4" s="1"/>
  <c r="B18" i="4"/>
  <c r="M18" i="4" s="1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N36" i="11"/>
  <c r="C52" i="3"/>
  <c r="C53" i="3"/>
  <c r="C54" i="3"/>
  <c r="C55" i="3"/>
  <c r="C30" i="2"/>
  <c r="D30" i="2"/>
  <c r="E30" i="2"/>
  <c r="F30" i="2"/>
  <c r="M22" i="2"/>
  <c r="B22" i="2"/>
  <c r="M23" i="2"/>
  <c r="B23" i="2"/>
  <c r="M24" i="2"/>
  <c r="B24" i="2"/>
  <c r="B86" i="3"/>
  <c r="C86" i="3"/>
  <c r="D86" i="3"/>
  <c r="E86" i="3"/>
  <c r="B25" i="5"/>
  <c r="C19" i="5" s="1"/>
  <c r="C25" i="5"/>
  <c r="D25" i="5"/>
  <c r="E25" i="5"/>
  <c r="L22" i="2"/>
  <c r="L23" i="2"/>
  <c r="L24" i="2"/>
  <c r="H22" i="2"/>
  <c r="H23" i="2"/>
  <c r="H24" i="2"/>
  <c r="I22" i="2"/>
  <c r="I23" i="2"/>
  <c r="I24" i="2"/>
  <c r="J22" i="2"/>
  <c r="J23" i="2"/>
  <c r="J24" i="2"/>
  <c r="K22" i="2"/>
  <c r="K23" i="2"/>
  <c r="K24" i="2"/>
  <c r="G22" i="2"/>
  <c r="G23" i="2"/>
  <c r="G24" i="2"/>
  <c r="F22" i="2"/>
  <c r="F23" i="2"/>
  <c r="F24" i="2"/>
  <c r="E22" i="2"/>
  <c r="E23" i="2"/>
  <c r="E24" i="2"/>
  <c r="C22" i="2"/>
  <c r="C23" i="2"/>
  <c r="C24" i="2"/>
  <c r="D22" i="2"/>
  <c r="D23" i="2"/>
  <c r="D24" i="2"/>
  <c r="N35" i="11"/>
  <c r="B50" i="9"/>
  <c r="C18" i="3"/>
  <c r="C19" i="3"/>
  <c r="C20" i="3"/>
  <c r="C21" i="3"/>
  <c r="C35" i="3"/>
  <c r="C36" i="3"/>
  <c r="C37" i="3"/>
  <c r="C38" i="3"/>
  <c r="B30" i="6"/>
  <c r="B76" i="7"/>
  <c r="A1" i="2"/>
  <c r="A1" i="4"/>
  <c r="M33" i="12"/>
  <c r="K33" i="12"/>
  <c r="J33" i="12"/>
  <c r="I33" i="12"/>
  <c r="H33" i="12"/>
  <c r="F33" i="12"/>
  <c r="E33" i="12"/>
  <c r="D33" i="12"/>
  <c r="C33" i="12"/>
  <c r="A3" i="12"/>
  <c r="C30" i="12"/>
  <c r="D30" i="12"/>
  <c r="E30" i="12"/>
  <c r="F30" i="12"/>
  <c r="I30" i="12"/>
  <c r="J30" i="12"/>
  <c r="K30" i="12"/>
  <c r="M30" i="12"/>
  <c r="P30" i="12"/>
  <c r="C31" i="12"/>
  <c r="D31" i="12"/>
  <c r="E31" i="12"/>
  <c r="F31" i="12"/>
  <c r="I31" i="12"/>
  <c r="J31" i="12"/>
  <c r="K31" i="12"/>
  <c r="M31" i="12"/>
  <c r="P31" i="12"/>
  <c r="C32" i="12"/>
  <c r="D32" i="12"/>
  <c r="E32" i="12"/>
  <c r="F32" i="12"/>
  <c r="J32" i="12"/>
  <c r="K32" i="12"/>
  <c r="M32" i="12"/>
  <c r="C46" i="12"/>
  <c r="B57" i="12"/>
  <c r="H32" i="12"/>
  <c r="H30" i="12"/>
  <c r="H31" i="12"/>
  <c r="I32" i="12"/>
  <c r="P33" i="12"/>
  <c r="P32" i="12"/>
  <c r="O30" i="12"/>
  <c r="O33" i="12"/>
  <c r="O32" i="12"/>
  <c r="O31" i="12"/>
  <c r="N31" i="12"/>
  <c r="N30" i="12"/>
  <c r="N33" i="12"/>
  <c r="N32" i="12"/>
  <c r="A3" i="10"/>
  <c r="A3" i="15" s="1"/>
  <c r="B28" i="6"/>
  <c r="B52" i="9"/>
  <c r="B53" i="9"/>
  <c r="A3" i="9"/>
  <c r="B11" i="7"/>
  <c r="B19" i="7"/>
  <c r="B22" i="7"/>
  <c r="B30" i="7"/>
  <c r="B33" i="7"/>
  <c r="A97" i="7"/>
  <c r="A75" i="7"/>
  <c r="B21" i="7"/>
  <c r="B32" i="7"/>
  <c r="A54" i="7"/>
  <c r="B10" i="7"/>
  <c r="B8" i="7"/>
  <c r="A3" i="7"/>
  <c r="A7" i="7"/>
  <c r="A18" i="7"/>
  <c r="A29" i="7"/>
  <c r="A3" i="8"/>
  <c r="B31" i="4"/>
  <c r="M31" i="4" s="1"/>
  <c r="C31" i="4"/>
  <c r="A18" i="4"/>
  <c r="A17" i="4"/>
  <c r="A16" i="4"/>
  <c r="A15" i="4"/>
  <c r="A14" i="4"/>
  <c r="A13" i="4"/>
  <c r="A12" i="4"/>
  <c r="A11" i="4"/>
  <c r="A10" i="4"/>
  <c r="A9" i="4"/>
  <c r="A8" i="4"/>
  <c r="A31" i="4"/>
  <c r="A30" i="4"/>
  <c r="A29" i="4"/>
  <c r="A28" i="4"/>
  <c r="A27" i="4"/>
  <c r="A26" i="4"/>
  <c r="A25" i="4"/>
  <c r="A24" i="4"/>
  <c r="A23" i="4"/>
  <c r="A22" i="4"/>
  <c r="A3" i="4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75" i="5"/>
  <c r="A3" i="5"/>
  <c r="A6" i="5"/>
  <c r="A90" i="3"/>
  <c r="A4" i="3"/>
  <c r="A8" i="3"/>
  <c r="A9" i="3"/>
  <c r="A10" i="3"/>
  <c r="A11" i="3"/>
  <c r="A12" i="3"/>
  <c r="F17" i="3"/>
  <c r="A25" i="3"/>
  <c r="A26" i="3"/>
  <c r="A27" i="3"/>
  <c r="A28" i="3"/>
  <c r="A29" i="3"/>
  <c r="F34" i="3"/>
  <c r="F51" i="3"/>
  <c r="A62" i="3"/>
  <c r="B98" i="15"/>
  <c r="F60" i="1"/>
  <c r="E60" i="1"/>
  <c r="D60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A3" i="6"/>
  <c r="B129" i="2"/>
  <c r="A38" i="2"/>
  <c r="A37" i="2"/>
  <c r="A36" i="2"/>
  <c r="A28" i="2"/>
  <c r="A27" i="2"/>
  <c r="A26" i="2"/>
  <c r="B102" i="2"/>
  <c r="A3" i="2"/>
  <c r="N22" i="2"/>
  <c r="N23" i="2"/>
  <c r="N24" i="2"/>
  <c r="O22" i="2"/>
  <c r="O23" i="2"/>
  <c r="O24" i="2"/>
  <c r="P22" i="2"/>
  <c r="P23" i="2"/>
  <c r="P24" i="2"/>
  <c r="A112" i="2"/>
  <c r="A17" i="2"/>
  <c r="A18" i="2"/>
  <c r="A19" i="2"/>
  <c r="A22" i="2"/>
  <c r="A23" i="2"/>
  <c r="A24" i="2"/>
  <c r="K2" i="13"/>
  <c r="I5" i="13"/>
  <c r="I4" i="13"/>
  <c r="I3" i="13"/>
  <c r="I2" i="13"/>
  <c r="M34" i="13"/>
  <c r="K34" i="13"/>
  <c r="J34" i="13"/>
  <c r="I34" i="13"/>
  <c r="H34" i="13"/>
  <c r="F34" i="13"/>
  <c r="E34" i="13"/>
  <c r="D34" i="13"/>
  <c r="C34" i="13"/>
  <c r="K5" i="13"/>
  <c r="K3" i="13"/>
  <c r="K4" i="13"/>
  <c r="A3" i="13"/>
  <c r="C31" i="13"/>
  <c r="D31" i="13"/>
  <c r="E31" i="13"/>
  <c r="F31" i="13"/>
  <c r="H31" i="13"/>
  <c r="I31" i="13"/>
  <c r="J31" i="13"/>
  <c r="K31" i="13"/>
  <c r="M31" i="13"/>
  <c r="O31" i="13"/>
  <c r="P31" i="13"/>
  <c r="C32" i="13"/>
  <c r="D32" i="13"/>
  <c r="E32" i="13"/>
  <c r="F32" i="13"/>
  <c r="H32" i="13"/>
  <c r="I32" i="13"/>
  <c r="J32" i="13"/>
  <c r="K32" i="13"/>
  <c r="M32" i="13"/>
  <c r="N32" i="13"/>
  <c r="O32" i="13"/>
  <c r="P32" i="13"/>
  <c r="C33" i="13"/>
  <c r="D33" i="13"/>
  <c r="E33" i="13"/>
  <c r="F33" i="13"/>
  <c r="J33" i="13"/>
  <c r="K33" i="13"/>
  <c r="M33" i="13"/>
  <c r="C47" i="13"/>
  <c r="B58" i="13"/>
  <c r="H33" i="13"/>
  <c r="I33" i="13"/>
  <c r="N31" i="13"/>
  <c r="P34" i="13"/>
  <c r="P33" i="13"/>
  <c r="O34" i="13"/>
  <c r="O33" i="13"/>
  <c r="N34" i="13"/>
  <c r="N33" i="13"/>
  <c r="I5" i="14"/>
  <c r="I4" i="14"/>
  <c r="I3" i="14"/>
  <c r="I2" i="14"/>
  <c r="K2" i="14"/>
  <c r="K3" i="14"/>
  <c r="K4" i="14"/>
  <c r="K5" i="14"/>
  <c r="P31" i="14"/>
  <c r="O31" i="14"/>
  <c r="N31" i="14"/>
  <c r="M33" i="14"/>
  <c r="M31" i="14"/>
  <c r="M34" i="14"/>
  <c r="K33" i="14"/>
  <c r="K31" i="14"/>
  <c r="K34" i="14"/>
  <c r="J33" i="14"/>
  <c r="J31" i="14"/>
  <c r="J34" i="14"/>
  <c r="I33" i="14"/>
  <c r="I31" i="14"/>
  <c r="I34" i="14"/>
  <c r="H33" i="14"/>
  <c r="H31" i="14"/>
  <c r="H34" i="14"/>
  <c r="F33" i="14"/>
  <c r="F31" i="14"/>
  <c r="F34" i="14"/>
  <c r="E33" i="14"/>
  <c r="E31" i="14"/>
  <c r="E34" i="14"/>
  <c r="D33" i="14"/>
  <c r="D31" i="14"/>
  <c r="D34" i="14"/>
  <c r="C33" i="14"/>
  <c r="C31" i="14"/>
  <c r="C34" i="14"/>
  <c r="A3" i="14"/>
  <c r="C32" i="14"/>
  <c r="D32" i="14"/>
  <c r="E32" i="14"/>
  <c r="F32" i="14"/>
  <c r="H32" i="14"/>
  <c r="I32" i="14"/>
  <c r="J32" i="14"/>
  <c r="K32" i="14"/>
  <c r="M32" i="14"/>
  <c r="N32" i="14"/>
  <c r="O32" i="14"/>
  <c r="P32" i="14"/>
  <c r="C47" i="14"/>
  <c r="B58" i="14"/>
  <c r="P33" i="14"/>
  <c r="P34" i="14"/>
  <c r="O33" i="14"/>
  <c r="O34" i="14"/>
  <c r="N34" i="14"/>
  <c r="N33" i="14"/>
  <c r="O9" i="7"/>
  <c r="P9" i="7"/>
  <c r="E14" i="4"/>
  <c r="N12" i="4"/>
  <c r="O30" i="7"/>
  <c r="D30" i="4"/>
  <c r="L41" i="5"/>
  <c r="M41" i="5"/>
  <c r="N41" i="5"/>
  <c r="O41" i="5"/>
  <c r="P41" i="5"/>
  <c r="L30" i="5"/>
  <c r="M30" i="5"/>
  <c r="N30" i="5"/>
  <c r="O30" i="5"/>
  <c r="P30" i="5"/>
  <c r="L10" i="5"/>
  <c r="M10" i="5"/>
  <c r="N10" i="5"/>
  <c r="O10" i="5"/>
  <c r="P10" i="5"/>
  <c r="H18" i="2"/>
  <c r="O18" i="2"/>
  <c r="L15" i="5"/>
  <c r="M15" i="5"/>
  <c r="N15" i="5"/>
  <c r="O15" i="5"/>
  <c r="P15" i="5"/>
  <c r="L53" i="5"/>
  <c r="M53" i="5"/>
  <c r="N53" i="5"/>
  <c r="O53" i="5"/>
  <c r="P53" i="5"/>
  <c r="L57" i="5"/>
  <c r="M57" i="5"/>
  <c r="N57" i="5"/>
  <c r="O57" i="5"/>
  <c r="P57" i="5"/>
  <c r="R12" i="4"/>
  <c r="E12" i="4"/>
  <c r="L35" i="5"/>
  <c r="M35" i="5"/>
  <c r="N35" i="5"/>
  <c r="O35" i="5"/>
  <c r="P35" i="5"/>
  <c r="L33" i="5"/>
  <c r="M33" i="5"/>
  <c r="N33" i="5"/>
  <c r="O33" i="5"/>
  <c r="P33" i="5"/>
  <c r="L37" i="5"/>
  <c r="M37" i="5"/>
  <c r="N37" i="5"/>
  <c r="O37" i="5"/>
  <c r="P37" i="5"/>
  <c r="L22" i="5"/>
  <c r="M22" i="5"/>
  <c r="N22" i="5"/>
  <c r="O22" i="5"/>
  <c r="P22" i="5"/>
  <c r="L17" i="5"/>
  <c r="M17" i="5"/>
  <c r="N17" i="5"/>
  <c r="O17" i="5"/>
  <c r="P17" i="5"/>
  <c r="L12" i="5"/>
  <c r="M12" i="5"/>
  <c r="N12" i="5"/>
  <c r="O12" i="5"/>
  <c r="P12" i="5"/>
  <c r="F12" i="4"/>
  <c r="L66" i="5"/>
  <c r="M66" i="5"/>
  <c r="N66" i="5"/>
  <c r="O66" i="5"/>
  <c r="P66" i="5"/>
  <c r="L63" i="5"/>
  <c r="M63" i="5"/>
  <c r="N63" i="5"/>
  <c r="O63" i="5"/>
  <c r="P63" i="5"/>
  <c r="L43" i="5"/>
  <c r="M43" i="5"/>
  <c r="N43" i="5"/>
  <c r="O43" i="5"/>
  <c r="P43" i="5"/>
  <c r="L38" i="5"/>
  <c r="M38" i="5"/>
  <c r="N38" i="5"/>
  <c r="O38" i="5"/>
  <c r="P38" i="5"/>
  <c r="L34" i="5"/>
  <c r="M34" i="5"/>
  <c r="N34" i="5"/>
  <c r="O34" i="5"/>
  <c r="P34" i="5"/>
  <c r="L29" i="5"/>
  <c r="M29" i="5"/>
  <c r="N29" i="5"/>
  <c r="O29" i="5"/>
  <c r="P29" i="5"/>
  <c r="L14" i="5"/>
  <c r="M14" i="5"/>
  <c r="N14" i="5"/>
  <c r="O14" i="5"/>
  <c r="P14" i="5"/>
  <c r="L6" i="5"/>
  <c r="L40" i="5"/>
  <c r="M40" i="5"/>
  <c r="N40" i="5"/>
  <c r="O40" i="5"/>
  <c r="P40" i="5"/>
  <c r="L31" i="5"/>
  <c r="M31" i="5"/>
  <c r="N31" i="5"/>
  <c r="O31" i="5"/>
  <c r="P31" i="5"/>
  <c r="L21" i="5"/>
  <c r="M21" i="5"/>
  <c r="N21" i="5"/>
  <c r="O21" i="5"/>
  <c r="P21" i="5"/>
  <c r="L18" i="5"/>
  <c r="M18" i="5"/>
  <c r="N18" i="5"/>
  <c r="O18" i="5"/>
  <c r="P18" i="5"/>
  <c r="L7" i="5"/>
  <c r="M7" i="5"/>
  <c r="N7" i="5"/>
  <c r="O7" i="5"/>
  <c r="P7" i="5"/>
  <c r="L67" i="5"/>
  <c r="M67" i="5"/>
  <c r="N67" i="5"/>
  <c r="O67" i="5"/>
  <c r="P67" i="5"/>
  <c r="L60" i="5"/>
  <c r="M60" i="5"/>
  <c r="N60" i="5"/>
  <c r="O60" i="5"/>
  <c r="P60" i="5"/>
  <c r="L11" i="5"/>
  <c r="M11" i="5"/>
  <c r="N11" i="5"/>
  <c r="O11" i="5"/>
  <c r="P11" i="5"/>
  <c r="L9" i="5"/>
  <c r="M9" i="5"/>
  <c r="N9" i="5"/>
  <c r="O9" i="5"/>
  <c r="P9" i="5"/>
  <c r="L56" i="5"/>
  <c r="M56" i="5"/>
  <c r="N56" i="5"/>
  <c r="O56" i="5"/>
  <c r="P56" i="5"/>
  <c r="G12" i="4"/>
  <c r="L44" i="5"/>
  <c r="M44" i="5"/>
  <c r="N44" i="5"/>
  <c r="O44" i="5"/>
  <c r="P44" i="5"/>
  <c r="L39" i="5"/>
  <c r="M39" i="5"/>
  <c r="N39" i="5"/>
  <c r="O39" i="5"/>
  <c r="P39" i="5"/>
  <c r="L36" i="5"/>
  <c r="M36" i="5"/>
  <c r="N36" i="5"/>
  <c r="O36" i="5"/>
  <c r="P36" i="5"/>
  <c r="L32" i="5"/>
  <c r="M32" i="5"/>
  <c r="N32" i="5"/>
  <c r="O32" i="5"/>
  <c r="P32" i="5"/>
  <c r="L16" i="5"/>
  <c r="M16" i="5"/>
  <c r="N16" i="5"/>
  <c r="O16" i="5"/>
  <c r="P16" i="5"/>
  <c r="L13" i="5"/>
  <c r="M13" i="5"/>
  <c r="N13" i="5"/>
  <c r="O13" i="5"/>
  <c r="P13" i="5"/>
  <c r="L8" i="5"/>
  <c r="M8" i="5"/>
  <c r="N8" i="5"/>
  <c r="O8" i="5"/>
  <c r="P8" i="5"/>
  <c r="L64" i="5"/>
  <c r="M64" i="5"/>
  <c r="N64" i="5"/>
  <c r="O64" i="5"/>
  <c r="P64" i="5"/>
  <c r="L59" i="5"/>
  <c r="M59" i="5"/>
  <c r="N59" i="5"/>
  <c r="O59" i="5"/>
  <c r="P59" i="5"/>
  <c r="L52" i="5"/>
  <c r="M52" i="5"/>
  <c r="N52" i="5"/>
  <c r="O52" i="5"/>
  <c r="P52" i="5"/>
  <c r="L55" i="5"/>
  <c r="M55" i="5"/>
  <c r="N55" i="5"/>
  <c r="O55" i="5"/>
  <c r="P55" i="5"/>
  <c r="L61" i="5"/>
  <c r="M61" i="5"/>
  <c r="N61" i="5"/>
  <c r="O61" i="5"/>
  <c r="P61" i="5"/>
  <c r="L62" i="5"/>
  <c r="M62" i="5"/>
  <c r="N62" i="5"/>
  <c r="O62" i="5"/>
  <c r="P62" i="5"/>
  <c r="L58" i="5"/>
  <c r="M58" i="5"/>
  <c r="N58" i="5"/>
  <c r="O58" i="5"/>
  <c r="P58" i="5"/>
  <c r="L54" i="5"/>
  <c r="M54" i="5"/>
  <c r="N54" i="5"/>
  <c r="O54" i="5"/>
  <c r="P54" i="5"/>
  <c r="Q12" i="4"/>
  <c r="M6" i="5"/>
  <c r="N6" i="5"/>
  <c r="M30" i="7"/>
  <c r="P20" i="7"/>
  <c r="N31" i="7"/>
  <c r="L28" i="5"/>
  <c r="M28" i="5"/>
  <c r="N28" i="5"/>
  <c r="O28" i="5"/>
  <c r="P28" i="5"/>
  <c r="Q33" i="11"/>
  <c r="O6" i="5"/>
  <c r="P6" i="5"/>
  <c r="L51" i="5"/>
  <c r="M51" i="5"/>
  <c r="N51" i="5"/>
  <c r="O51" i="5"/>
  <c r="P51" i="5"/>
  <c r="L19" i="5"/>
  <c r="M19" i="5"/>
  <c r="N19" i="5"/>
  <c r="O19" i="5"/>
  <c r="P19" i="5"/>
  <c r="Q31" i="14"/>
  <c r="Q30" i="12"/>
  <c r="Q31" i="13"/>
  <c r="Q34" i="11"/>
  <c r="Q32" i="13"/>
  <c r="H12" i="4"/>
  <c r="O12" i="4"/>
  <c r="O18" i="4"/>
  <c r="Q32" i="14"/>
  <c r="Q31" i="12"/>
  <c r="M78" i="3"/>
  <c r="N78" i="3"/>
  <c r="O78" i="3"/>
  <c r="P78" i="3"/>
  <c r="Q78" i="3"/>
  <c r="L27" i="2"/>
  <c r="L26" i="2"/>
  <c r="Q34" i="14"/>
  <c r="Q33" i="12"/>
  <c r="Q34" i="13"/>
  <c r="Q36" i="11"/>
  <c r="M27" i="2"/>
  <c r="M26" i="2"/>
  <c r="N26" i="2"/>
  <c r="N27" i="2"/>
  <c r="L28" i="2"/>
  <c r="M28" i="2"/>
  <c r="O26" i="2"/>
  <c r="O27" i="2"/>
  <c r="M15" i="10"/>
  <c r="M71" i="3"/>
  <c r="L28" i="9" s="1"/>
  <c r="L6" i="2"/>
  <c r="P27" i="2"/>
  <c r="L102" i="2"/>
  <c r="P26" i="2"/>
  <c r="N28" i="2"/>
  <c r="N71" i="3"/>
  <c r="M28" i="9" s="1"/>
  <c r="N15" i="10"/>
  <c r="M65" i="3"/>
  <c r="L17" i="9" s="1"/>
  <c r="M6" i="2"/>
  <c r="L112" i="2"/>
  <c r="L104" i="2" s="1"/>
  <c r="M102" i="2"/>
  <c r="L75" i="2"/>
  <c r="L67" i="2" s="1"/>
  <c r="M11" i="10" s="1"/>
  <c r="M117" i="15" s="1"/>
  <c r="M119" i="15" s="1"/>
  <c r="L11" i="2"/>
  <c r="O28" i="2"/>
  <c r="L65" i="2"/>
  <c r="L52" i="2"/>
  <c r="L55" i="2" s="1"/>
  <c r="M16" i="10"/>
  <c r="O71" i="3"/>
  <c r="N28" i="9" s="1"/>
  <c r="N65" i="3"/>
  <c r="M17" i="9" s="1"/>
  <c r="O15" i="10"/>
  <c r="L46" i="2"/>
  <c r="L41" i="2" s="1"/>
  <c r="N6" i="2"/>
  <c r="M52" i="2"/>
  <c r="M55" i="2" s="1"/>
  <c r="P28" i="2"/>
  <c r="M8" i="8"/>
  <c r="M65" i="2"/>
  <c r="M11" i="2"/>
  <c r="M112" i="2"/>
  <c r="M104" i="2" s="1"/>
  <c r="N102" i="2"/>
  <c r="M75" i="2"/>
  <c r="M67" i="2" s="1"/>
  <c r="N11" i="10" s="1"/>
  <c r="N117" i="15" s="1"/>
  <c r="N119" i="15" s="1"/>
  <c r="O65" i="3"/>
  <c r="N17" i="9" s="1"/>
  <c r="P71" i="3"/>
  <c r="O28" i="9" s="1"/>
  <c r="M22" i="10"/>
  <c r="M24" i="10"/>
  <c r="P15" i="10"/>
  <c r="N16" i="10"/>
  <c r="N65" i="2"/>
  <c r="P6" i="2"/>
  <c r="L42" i="5"/>
  <c r="L65" i="5"/>
  <c r="L20" i="5"/>
  <c r="M46" i="2"/>
  <c r="M41" i="2" s="1"/>
  <c r="N75" i="2"/>
  <c r="N67" i="2" s="1"/>
  <c r="O11" i="10" s="1"/>
  <c r="N11" i="2"/>
  <c r="N112" i="2"/>
  <c r="N104" i="2" s="1"/>
  <c r="O102" i="2"/>
  <c r="O6" i="2"/>
  <c r="N52" i="2"/>
  <c r="N55" i="2" s="1"/>
  <c r="N8" i="8"/>
  <c r="M12" i="10"/>
  <c r="M123" i="15" s="1"/>
  <c r="M125" i="15" s="1"/>
  <c r="Q15" i="10"/>
  <c r="N22" i="10"/>
  <c r="N24" i="10" s="1"/>
  <c r="O16" i="10"/>
  <c r="Q71" i="3"/>
  <c r="P28" i="9" s="1"/>
  <c r="P65" i="3"/>
  <c r="O17" i="9" s="1"/>
  <c r="O112" i="2"/>
  <c r="O104" i="2" s="1"/>
  <c r="P102" i="2"/>
  <c r="O11" i="2"/>
  <c r="O75" i="2"/>
  <c r="O67" i="2" s="1"/>
  <c r="P11" i="10" s="1"/>
  <c r="P117" i="15" s="1"/>
  <c r="P119" i="15" s="1"/>
  <c r="O8" i="8"/>
  <c r="N12" i="10"/>
  <c r="N123" i="15" s="1"/>
  <c r="N125" i="15" s="1"/>
  <c r="P52" i="2"/>
  <c r="P55" i="2" s="1"/>
  <c r="N46" i="2"/>
  <c r="O122" i="15" s="1"/>
  <c r="M66" i="3"/>
  <c r="O52" i="2"/>
  <c r="O65" i="2"/>
  <c r="M65" i="5"/>
  <c r="M20" i="5"/>
  <c r="M42" i="5"/>
  <c r="L8" i="2"/>
  <c r="P75" i="2"/>
  <c r="P67" i="2" s="1"/>
  <c r="Q11" i="10" s="1"/>
  <c r="Q117" i="15" s="1"/>
  <c r="Q119" i="15" s="1"/>
  <c r="P112" i="2"/>
  <c r="P104" i="2" s="1"/>
  <c r="P11" i="2"/>
  <c r="P16" i="10"/>
  <c r="M72" i="3"/>
  <c r="Q65" i="3"/>
  <c r="P17" i="9" s="1"/>
  <c r="O22" i="10"/>
  <c r="O24" i="10" s="1"/>
  <c r="M17" i="8"/>
  <c r="M8" i="2"/>
  <c r="N19" i="8" s="1"/>
  <c r="O46" i="2"/>
  <c r="O41" i="2" s="1"/>
  <c r="P46" i="2"/>
  <c r="Q122" i="15" s="1"/>
  <c r="P65" i="2"/>
  <c r="N42" i="5"/>
  <c r="N65" i="5"/>
  <c r="N66" i="3"/>
  <c r="O12" i="10"/>
  <c r="O123" i="15" s="1"/>
  <c r="O125" i="15" s="1"/>
  <c r="P8" i="8"/>
  <c r="M79" i="3"/>
  <c r="N20" i="5"/>
  <c r="P22" i="10"/>
  <c r="P24" i="10" s="1"/>
  <c r="N72" i="3"/>
  <c r="Q16" i="10"/>
  <c r="O65" i="5"/>
  <c r="N8" i="2"/>
  <c r="O19" i="8" s="1"/>
  <c r="M66" i="2"/>
  <c r="M87" i="2"/>
  <c r="M80" i="2"/>
  <c r="M81" i="2"/>
  <c r="N16" i="8"/>
  <c r="M69" i="2"/>
  <c r="Q12" i="10"/>
  <c r="Q123" i="15" s="1"/>
  <c r="Q125" i="15" s="1"/>
  <c r="L106" i="2"/>
  <c r="L103" i="2"/>
  <c r="Q8" i="8"/>
  <c r="P12" i="10"/>
  <c r="P123" i="15" s="1"/>
  <c r="P125" i="15" s="1"/>
  <c r="O8" i="2"/>
  <c r="P19" i="8" s="1"/>
  <c r="N79" i="3"/>
  <c r="O66" i="3"/>
  <c r="M106" i="2"/>
  <c r="M103" i="2"/>
  <c r="P65" i="5"/>
  <c r="P20" i="5"/>
  <c r="P42" i="5"/>
  <c r="L66" i="2"/>
  <c r="L69" i="2"/>
  <c r="O20" i="5"/>
  <c r="O42" i="5"/>
  <c r="Q22" i="10"/>
  <c r="Q24" i="10"/>
  <c r="O72" i="3"/>
  <c r="N34" i="10"/>
  <c r="O17" i="8"/>
  <c r="M124" i="2"/>
  <c r="M117" i="2"/>
  <c r="P66" i="3"/>
  <c r="L124" i="2"/>
  <c r="L117" i="2"/>
  <c r="L118" i="2"/>
  <c r="L128" i="2"/>
  <c r="L87" i="2"/>
  <c r="L80" i="2"/>
  <c r="L81" i="2"/>
  <c r="M16" i="8"/>
  <c r="P8" i="2"/>
  <c r="Q19" i="8" s="1"/>
  <c r="M128" i="2"/>
  <c r="O79" i="3"/>
  <c r="P72" i="3"/>
  <c r="O69" i="2"/>
  <c r="O66" i="2"/>
  <c r="O87" i="2"/>
  <c r="O80" i="2"/>
  <c r="N103" i="2"/>
  <c r="N106" i="2"/>
  <c r="O103" i="2"/>
  <c r="O124" i="2"/>
  <c r="O117" i="2"/>
  <c r="O106" i="2"/>
  <c r="P79" i="3"/>
  <c r="N66" i="2"/>
  <c r="N87" i="2"/>
  <c r="N80" i="2"/>
  <c r="N69" i="2"/>
  <c r="N17" i="8"/>
  <c r="M34" i="10"/>
  <c r="L120" i="2"/>
  <c r="Q66" i="3"/>
  <c r="M118" i="2"/>
  <c r="M120" i="2"/>
  <c r="Q72" i="3"/>
  <c r="P34" i="10"/>
  <c r="Q17" i="8"/>
  <c r="O118" i="2"/>
  <c r="O120" i="2"/>
  <c r="O81" i="2"/>
  <c r="P16" i="8"/>
  <c r="Q79" i="3"/>
  <c r="O128" i="2"/>
  <c r="P106" i="2"/>
  <c r="P103" i="2"/>
  <c r="N128" i="2"/>
  <c r="N124" i="2"/>
  <c r="N117" i="2"/>
  <c r="N81" i="2"/>
  <c r="O16" i="8"/>
  <c r="O34" i="10"/>
  <c r="P17" i="8"/>
  <c r="P69" i="2"/>
  <c r="P66" i="2"/>
  <c r="P128" i="2"/>
  <c r="P87" i="2"/>
  <c r="P80" i="2"/>
  <c r="P77" i="2" s="1"/>
  <c r="P81" i="2"/>
  <c r="Q16" i="8"/>
  <c r="N118" i="2"/>
  <c r="N120" i="2"/>
  <c r="P124" i="2"/>
  <c r="P117" i="2"/>
  <c r="P118" i="2"/>
  <c r="P120" i="2"/>
  <c r="Q34" i="10"/>
  <c r="P30" i="7"/>
  <c r="N30" i="7"/>
  <c r="O31" i="7"/>
  <c r="M9" i="7"/>
  <c r="N20" i="7"/>
  <c r="Q31" i="7"/>
  <c r="Q30" i="7"/>
  <c r="P31" i="7"/>
  <c r="O20" i="7"/>
  <c r="M31" i="7"/>
  <c r="M20" i="7"/>
  <c r="O19" i="7"/>
  <c r="P19" i="7"/>
  <c r="Q19" i="7"/>
  <c r="M19" i="7"/>
  <c r="Q20" i="7"/>
  <c r="N19" i="7"/>
  <c r="N9" i="7"/>
  <c r="Q9" i="7"/>
  <c r="Q32" i="12"/>
  <c r="Q35" i="11"/>
  <c r="Q33" i="14"/>
  <c r="Q33" i="13"/>
  <c r="M67" i="3"/>
  <c r="L18" i="9" s="1"/>
  <c r="M80" i="3"/>
  <c r="M73" i="3"/>
  <c r="N73" i="3"/>
  <c r="N67" i="3"/>
  <c r="N80" i="3"/>
  <c r="O67" i="3"/>
  <c r="L7" i="2"/>
  <c r="M18" i="8" s="1"/>
  <c r="O80" i="3"/>
  <c r="O73" i="3"/>
  <c r="M7" i="2"/>
  <c r="N18" i="8" s="1"/>
  <c r="P73" i="3"/>
  <c r="P80" i="3"/>
  <c r="P67" i="3"/>
  <c r="Q80" i="3"/>
  <c r="Q73" i="3"/>
  <c r="P29" i="9" s="1"/>
  <c r="L10" i="2"/>
  <c r="M39" i="14"/>
  <c r="N7" i="2"/>
  <c r="O18" i="8" s="1"/>
  <c r="M39" i="13"/>
  <c r="Q67" i="3"/>
  <c r="O7" i="2"/>
  <c r="P18" i="8" s="1"/>
  <c r="M80" i="15"/>
  <c r="P7" i="2"/>
  <c r="Q18" i="8" s="1"/>
  <c r="N39" i="14"/>
  <c r="M10" i="2"/>
  <c r="M41" i="11"/>
  <c r="M38" i="12"/>
  <c r="N39" i="13"/>
  <c r="O39" i="14"/>
  <c r="N38" i="12"/>
  <c r="O39" i="13"/>
  <c r="N10" i="2"/>
  <c r="N41" i="11"/>
  <c r="N80" i="15"/>
  <c r="M66" i="15"/>
  <c r="Q39" i="13"/>
  <c r="P39" i="14"/>
  <c r="M38" i="10"/>
  <c r="N66" i="15"/>
  <c r="Q39" i="14"/>
  <c r="O80" i="15"/>
  <c r="O41" i="11"/>
  <c r="P39" i="13"/>
  <c r="P10" i="2"/>
  <c r="O38" i="12"/>
  <c r="O10" i="2"/>
  <c r="P41" i="11"/>
  <c r="Q38" i="12"/>
  <c r="P38" i="12"/>
  <c r="Q41" i="11"/>
  <c r="Q80" i="15"/>
  <c r="N38" i="10"/>
  <c r="N92" i="15" s="1"/>
  <c r="P80" i="15"/>
  <c r="O66" i="15"/>
  <c r="P66" i="15"/>
  <c r="O38" i="10"/>
  <c r="O106" i="15" s="1"/>
  <c r="Q66" i="15"/>
  <c r="P38" i="10"/>
  <c r="P92" i="15" s="1"/>
  <c r="Q38" i="10"/>
  <c r="Q106" i="15" s="1"/>
  <c r="M18" i="7"/>
  <c r="N18" i="7"/>
  <c r="O18" i="7"/>
  <c r="P18" i="7"/>
  <c r="Q18" i="7"/>
  <c r="M29" i="7"/>
  <c r="N29" i="7"/>
  <c r="O29" i="7"/>
  <c r="P29" i="7"/>
  <c r="Q29" i="7"/>
  <c r="M9" i="8"/>
  <c r="M7" i="7"/>
  <c r="M26" i="8"/>
  <c r="M20" i="12"/>
  <c r="M21" i="14"/>
  <c r="M20" i="11"/>
  <c r="M21" i="13"/>
  <c r="N7" i="7"/>
  <c r="O7" i="7"/>
  <c r="M41" i="10"/>
  <c r="P7" i="7"/>
  <c r="Q7" i="7"/>
  <c r="M8" i="7"/>
  <c r="L24" i="9"/>
  <c r="M13" i="13" s="1"/>
  <c r="M27" i="13" s="1"/>
  <c r="M42" i="14"/>
  <c r="M40" i="14"/>
  <c r="M40" i="13"/>
  <c r="M42" i="13"/>
  <c r="M42" i="11"/>
  <c r="M44" i="11"/>
  <c r="M87" i="15"/>
  <c r="M41" i="12"/>
  <c r="M39" i="12"/>
  <c r="N9" i="8"/>
  <c r="M12" i="15"/>
  <c r="M18" i="15" s="1"/>
  <c r="N26" i="8"/>
  <c r="N21" i="13"/>
  <c r="N20" i="11"/>
  <c r="M13" i="15"/>
  <c r="M19" i="15" s="1"/>
  <c r="M33" i="15" s="1"/>
  <c r="N21" i="14"/>
  <c r="M21" i="15"/>
  <c r="N20" i="12"/>
  <c r="N41" i="10"/>
  <c r="M15" i="15"/>
  <c r="M28" i="15"/>
  <c r="M48" i="15"/>
  <c r="M39" i="10"/>
  <c r="M55" i="15"/>
  <c r="M73" i="15"/>
  <c r="M94" i="15"/>
  <c r="M101" i="15"/>
  <c r="N8" i="7"/>
  <c r="M24" i="9"/>
  <c r="N13" i="13" s="1"/>
  <c r="N27" i="13" s="1"/>
  <c r="N40" i="13"/>
  <c r="N42" i="13"/>
  <c r="N39" i="12"/>
  <c r="N41" i="12"/>
  <c r="N42" i="14"/>
  <c r="N40" i="14"/>
  <c r="N87" i="15"/>
  <c r="N42" i="11"/>
  <c r="N44" i="11"/>
  <c r="O9" i="8"/>
  <c r="O26" i="8"/>
  <c r="N12" i="15"/>
  <c r="O41" i="10"/>
  <c r="O21" i="14"/>
  <c r="O20" i="11"/>
  <c r="N13" i="15"/>
  <c r="N19" i="15" s="1"/>
  <c r="N33" i="15" s="1"/>
  <c r="N39" i="10"/>
  <c r="O21" i="13"/>
  <c r="O20" i="12"/>
  <c r="N21" i="15"/>
  <c r="N55" i="15"/>
  <c r="N73" i="15"/>
  <c r="N15" i="15"/>
  <c r="N48" i="15"/>
  <c r="N28" i="15"/>
  <c r="N94" i="15"/>
  <c r="N101" i="15"/>
  <c r="O8" i="7"/>
  <c r="N24" i="9"/>
  <c r="O12" i="11" s="1"/>
  <c r="O27" i="11" s="1"/>
  <c r="O40" i="13"/>
  <c r="O42" i="13"/>
  <c r="O40" i="14"/>
  <c r="O42" i="14"/>
  <c r="O41" i="12"/>
  <c r="O39" i="12"/>
  <c r="O87" i="15"/>
  <c r="O42" i="11"/>
  <c r="O44" i="11"/>
  <c r="P9" i="8"/>
  <c r="P26" i="8"/>
  <c r="O12" i="15"/>
  <c r="O13" i="15"/>
  <c r="O19" i="15" s="1"/>
  <c r="O33" i="15" s="1"/>
  <c r="P20" i="11"/>
  <c r="P20" i="12"/>
  <c r="P21" i="14"/>
  <c r="P21" i="13"/>
  <c r="O15" i="15"/>
  <c r="P41" i="10"/>
  <c r="O28" i="15"/>
  <c r="O48" i="15"/>
  <c r="O39" i="10"/>
  <c r="O21" i="15"/>
  <c r="O55" i="15"/>
  <c r="O73" i="15"/>
  <c r="O94" i="15"/>
  <c r="O101" i="15"/>
  <c r="P8" i="7"/>
  <c r="O24" i="9"/>
  <c r="P12" i="12" s="1"/>
  <c r="P26" i="12" s="1"/>
  <c r="P42" i="13"/>
  <c r="P40" i="13"/>
  <c r="P44" i="11"/>
  <c r="P42" i="11"/>
  <c r="P41" i="12"/>
  <c r="P39" i="12"/>
  <c r="P87" i="15"/>
  <c r="P40" i="14"/>
  <c r="P42" i="14"/>
  <c r="Q9" i="8"/>
  <c r="P12" i="15"/>
  <c r="Q26" i="8"/>
  <c r="Q21" i="13"/>
  <c r="P21" i="15"/>
  <c r="Q21" i="14"/>
  <c r="P39" i="10"/>
  <c r="Q20" i="11"/>
  <c r="Q20" i="12"/>
  <c r="P13" i="15"/>
  <c r="P19" i="15" s="1"/>
  <c r="P33" i="15" s="1"/>
  <c r="P48" i="15"/>
  <c r="P28" i="15"/>
  <c r="Q41" i="10"/>
  <c r="P15" i="15"/>
  <c r="P73" i="15"/>
  <c r="P55" i="15"/>
  <c r="P94" i="15"/>
  <c r="P101" i="15"/>
  <c r="Q8" i="7"/>
  <c r="P24" i="9"/>
  <c r="Q12" i="11" s="1"/>
  <c r="Q25" i="8" s="1"/>
  <c r="Q39" i="12"/>
  <c r="Q41" i="12"/>
  <c r="Q40" i="14"/>
  <c r="Q42" i="14"/>
  <c r="Q42" i="13"/>
  <c r="Q40" i="13"/>
  <c r="Q87" i="15"/>
  <c r="Q42" i="11"/>
  <c r="Q44" i="11"/>
  <c r="Q12" i="15"/>
  <c r="Q13" i="15"/>
  <c r="Q19" i="15" s="1"/>
  <c r="Q33" i="15" s="1"/>
  <c r="Q21" i="15"/>
  <c r="Q15" i="15"/>
  <c r="Q39" i="10"/>
  <c r="Q55" i="15"/>
  <c r="Q73" i="15"/>
  <c r="Q28" i="15"/>
  <c r="Q48" i="15"/>
  <c r="Q101" i="15"/>
  <c r="Q94" i="15"/>
  <c r="N15" i="4"/>
  <c r="D15" i="4"/>
  <c r="G14" i="4"/>
  <c r="G15" i="4"/>
  <c r="C98" i="7"/>
  <c r="C99" i="7"/>
  <c r="D98" i="7"/>
  <c r="D100" i="7"/>
  <c r="E99" i="7"/>
  <c r="F98" i="7"/>
  <c r="F100" i="7"/>
  <c r="G99" i="7"/>
  <c r="H98" i="7"/>
  <c r="H100" i="7"/>
  <c r="I99" i="7"/>
  <c r="J98" i="7"/>
  <c r="J99" i="7"/>
  <c r="J100" i="7"/>
  <c r="K98" i="7"/>
  <c r="K99" i="7"/>
  <c r="K100" i="7"/>
  <c r="L98" i="7"/>
  <c r="L99" i="7"/>
  <c r="L100" i="7"/>
  <c r="M98" i="7"/>
  <c r="M99" i="7"/>
  <c r="M100" i="7"/>
  <c r="N98" i="7"/>
  <c r="N99" i="7"/>
  <c r="N100" i="7"/>
  <c r="O98" i="7"/>
  <c r="O99" i="7"/>
  <c r="O100" i="7"/>
  <c r="P98" i="7"/>
  <c r="P99" i="7"/>
  <c r="P100" i="7"/>
  <c r="Q98" i="7"/>
  <c r="Q99" i="7"/>
  <c r="Q100" i="7"/>
  <c r="R98" i="7"/>
  <c r="R99" i="7"/>
  <c r="R100" i="7"/>
  <c r="S99" i="7"/>
  <c r="S100" i="7"/>
  <c r="K25" i="4"/>
  <c r="C50" i="3"/>
  <c r="D46" i="3"/>
  <c r="C76" i="7"/>
  <c r="C78" i="7"/>
  <c r="D76" i="7"/>
  <c r="D78" i="7"/>
  <c r="E76" i="7"/>
  <c r="F77" i="7"/>
  <c r="F78" i="7"/>
  <c r="G77" i="7"/>
  <c r="G78" i="7"/>
  <c r="I76" i="7"/>
  <c r="I77" i="7"/>
  <c r="J76" i="7"/>
  <c r="J77" i="7"/>
  <c r="K78" i="7"/>
  <c r="L76" i="7"/>
  <c r="L78" i="7"/>
  <c r="M76" i="7"/>
  <c r="N77" i="7"/>
  <c r="N78" i="7"/>
  <c r="O77" i="7"/>
  <c r="O78" i="7"/>
  <c r="Q76" i="7"/>
  <c r="Q77" i="7"/>
  <c r="R76" i="7"/>
  <c r="R77" i="7"/>
  <c r="D19" i="2"/>
  <c r="I19" i="2"/>
  <c r="O19" i="2"/>
  <c r="Q27" i="4"/>
  <c r="R27" i="4"/>
  <c r="D27" i="4"/>
  <c r="E27" i="4"/>
  <c r="F27" i="4"/>
  <c r="O27" i="4"/>
  <c r="O17" i="4"/>
  <c r="P27" i="4"/>
  <c r="K17" i="4"/>
  <c r="M27" i="4"/>
  <c r="E17" i="4"/>
  <c r="H27" i="4"/>
  <c r="I27" i="4"/>
  <c r="R17" i="4"/>
  <c r="L17" i="4"/>
  <c r="L27" i="4"/>
  <c r="Q17" i="4"/>
  <c r="N17" i="4"/>
  <c r="G27" i="4"/>
  <c r="C36" i="5"/>
  <c r="D36" i="5" s="1"/>
  <c r="C49" i="3"/>
  <c r="L22" i="4"/>
  <c r="I22" i="4"/>
  <c r="R22" i="4"/>
  <c r="F15" i="4"/>
  <c r="J15" i="4"/>
  <c r="L15" i="4"/>
  <c r="E15" i="4"/>
  <c r="F18" i="2"/>
  <c r="J18" i="2"/>
  <c r="J37" i="2" s="1"/>
  <c r="J22" i="4"/>
  <c r="N22" i="4"/>
  <c r="O22" i="4"/>
  <c r="I15" i="4"/>
  <c r="O15" i="4"/>
  <c r="H15" i="4"/>
  <c r="G18" i="2"/>
  <c r="H22" i="4"/>
  <c r="K22" i="4"/>
  <c r="Q22" i="4"/>
  <c r="K11" i="4"/>
  <c r="M15" i="4"/>
  <c r="K15" i="4"/>
  <c r="I18" i="2"/>
  <c r="L18" i="2"/>
  <c r="O26" i="4"/>
  <c r="H26" i="4"/>
  <c r="N26" i="4"/>
  <c r="P10" i="4"/>
  <c r="K10" i="4"/>
  <c r="I10" i="4"/>
  <c r="O29" i="4"/>
  <c r="E29" i="4"/>
  <c r="K29" i="4"/>
  <c r="D44" i="3"/>
  <c r="E44" i="3" s="1"/>
  <c r="F44" i="3" s="1"/>
  <c r="R13" i="4"/>
  <c r="O13" i="4"/>
  <c r="J13" i="4"/>
  <c r="Q13" i="4"/>
  <c r="P13" i="4"/>
  <c r="D10" i="3"/>
  <c r="E10" i="3" s="1"/>
  <c r="F10" i="3" s="1"/>
  <c r="P25" i="4"/>
  <c r="R25" i="4"/>
  <c r="J29" i="4"/>
  <c r="N29" i="4"/>
  <c r="H29" i="4"/>
  <c r="I29" i="4"/>
  <c r="P29" i="4"/>
  <c r="Q29" i="4"/>
  <c r="M29" i="4"/>
  <c r="F29" i="4"/>
  <c r="J28" i="4"/>
  <c r="F28" i="4"/>
  <c r="E22" i="4"/>
  <c r="G25" i="4"/>
  <c r="N28" i="4"/>
  <c r="M25" i="4"/>
  <c r="N25" i="4"/>
  <c r="L25" i="4"/>
  <c r="D29" i="4"/>
  <c r="H25" i="4"/>
  <c r="M28" i="4"/>
  <c r="H28" i="4"/>
  <c r="K28" i="4"/>
  <c r="J25" i="4"/>
  <c r="F25" i="4"/>
  <c r="D25" i="4"/>
  <c r="I25" i="4"/>
  <c r="Q28" i="4"/>
  <c r="D28" i="4"/>
  <c r="G29" i="4"/>
  <c r="O25" i="4"/>
  <c r="G28" i="4"/>
  <c r="E25" i="4"/>
  <c r="G19" i="2"/>
  <c r="K19" i="2"/>
  <c r="E19" i="2"/>
  <c r="I14" i="4"/>
  <c r="O14" i="4"/>
  <c r="D14" i="4"/>
  <c r="M14" i="4"/>
  <c r="H14" i="4"/>
  <c r="R14" i="4"/>
  <c r="N14" i="4"/>
  <c r="K14" i="4"/>
  <c r="P14" i="4"/>
  <c r="L14" i="4"/>
  <c r="F14" i="4"/>
  <c r="J14" i="4"/>
  <c r="Q14" i="4"/>
  <c r="M24" i="4"/>
  <c r="N18" i="4"/>
  <c r="K18" i="4"/>
  <c r="Q18" i="4"/>
  <c r="D18" i="4"/>
  <c r="P18" i="4"/>
  <c r="J18" i="4"/>
  <c r="R29" i="4"/>
  <c r="L29" i="4"/>
  <c r="R26" i="4"/>
  <c r="O28" i="4"/>
  <c r="R28" i="4"/>
  <c r="I28" i="4"/>
  <c r="E28" i="4"/>
  <c r="P28" i="4"/>
  <c r="C59" i="5"/>
  <c r="D59" i="5" s="1"/>
  <c r="C40" i="5"/>
  <c r="C66" i="5"/>
  <c r="D66" i="5" s="1"/>
  <c r="E66" i="5" s="1"/>
  <c r="C18" i="5"/>
  <c r="D18" i="5" s="1"/>
  <c r="E18" i="5" s="1"/>
  <c r="F18" i="5" s="1"/>
  <c r="C38" i="5"/>
  <c r="C34" i="5"/>
  <c r="D26" i="4"/>
  <c r="M26" i="4"/>
  <c r="L26" i="4"/>
  <c r="F26" i="4"/>
  <c r="E26" i="4"/>
  <c r="J26" i="4"/>
  <c r="D22" i="4"/>
  <c r="F22" i="4"/>
  <c r="G22" i="4"/>
  <c r="C29" i="5"/>
  <c r="D29" i="5" s="1"/>
  <c r="E29" i="5" s="1"/>
  <c r="F29" i="5" s="1"/>
  <c r="C14" i="5"/>
  <c r="C11" i="5"/>
  <c r="C64" i="5"/>
  <c r="D64" i="5"/>
  <c r="C61" i="5"/>
  <c r="C10" i="5"/>
  <c r="D10" i="5" s="1"/>
  <c r="E10" i="5" s="1"/>
  <c r="F10" i="5" s="1"/>
  <c r="G10" i="5"/>
  <c r="H10" i="5"/>
  <c r="I10" i="5"/>
  <c r="J10" i="5"/>
  <c r="K10" i="5"/>
  <c r="C39" i="5"/>
  <c r="C53" i="5"/>
  <c r="D53" i="5" s="1"/>
  <c r="G57" i="5"/>
  <c r="H57" i="5"/>
  <c r="I57" i="5"/>
  <c r="J57" i="5"/>
  <c r="K57" i="5"/>
  <c r="C56" i="5"/>
  <c r="C52" i="5"/>
  <c r="C63" i="5"/>
  <c r="D63" i="5" s="1"/>
  <c r="E63" i="5" s="1"/>
  <c r="C55" i="5"/>
  <c r="C28" i="2"/>
  <c r="C27" i="2"/>
  <c r="C7" i="5"/>
  <c r="D7" i="5" s="1"/>
  <c r="E7" i="5" s="1"/>
  <c r="F7" i="5" s="1"/>
  <c r="C21" i="5"/>
  <c r="D21" i="5" s="1"/>
  <c r="E21" i="5" s="1"/>
  <c r="F21" i="5" s="1"/>
  <c r="G16" i="5"/>
  <c r="H16" i="5"/>
  <c r="I16" i="5"/>
  <c r="J16" i="5"/>
  <c r="K16" i="5"/>
  <c r="C12" i="5"/>
  <c r="DT52" i="7"/>
  <c r="F16" i="4"/>
  <c r="L16" i="4"/>
  <c r="G16" i="4"/>
  <c r="P16" i="4"/>
  <c r="D16" i="4"/>
  <c r="N16" i="4"/>
  <c r="H16" i="4"/>
  <c r="R16" i="4"/>
  <c r="M16" i="4"/>
  <c r="J16" i="4"/>
  <c r="Q16" i="4"/>
  <c r="K16" i="4"/>
  <c r="E16" i="4"/>
  <c r="I16" i="4"/>
  <c r="O16" i="4"/>
  <c r="T73" i="7"/>
  <c r="S78" i="7"/>
  <c r="S76" i="7"/>
  <c r="N31" i="4"/>
  <c r="P31" i="4"/>
  <c r="Q31" i="4"/>
  <c r="L31" i="4"/>
  <c r="A33" i="2"/>
  <c r="A2" i="3"/>
  <c r="A60" i="3" s="1"/>
  <c r="A1" i="6"/>
  <c r="A1" i="7" s="1"/>
  <c r="A1" i="8" s="1"/>
  <c r="A1" i="9" s="1"/>
  <c r="A1" i="10" s="1"/>
  <c r="L30" i="4"/>
  <c r="K30" i="4"/>
  <c r="M30" i="4"/>
  <c r="O30" i="4"/>
  <c r="J30" i="4"/>
  <c r="P30" i="4"/>
  <c r="I30" i="4"/>
  <c r="R30" i="4"/>
  <c r="N30" i="4"/>
  <c r="F30" i="4"/>
  <c r="E30" i="4"/>
  <c r="Q30" i="4"/>
  <c r="G30" i="4"/>
  <c r="H30" i="4"/>
  <c r="Q24" i="4"/>
  <c r="N24" i="4"/>
  <c r="M17" i="4"/>
  <c r="J17" i="4"/>
  <c r="D17" i="4"/>
  <c r="F17" i="4"/>
  <c r="I17" i="4"/>
  <c r="G17" i="4"/>
  <c r="H17" i="4"/>
  <c r="L13" i="4"/>
  <c r="I13" i="4"/>
  <c r="K13" i="4"/>
  <c r="M13" i="4"/>
  <c r="N13" i="4"/>
  <c r="N10" i="4"/>
  <c r="L10" i="4"/>
  <c r="O10" i="4"/>
  <c r="F10" i="4"/>
  <c r="I23" i="4"/>
  <c r="Q15" i="4"/>
  <c r="R15" i="4"/>
  <c r="P15" i="4"/>
  <c r="K26" i="4"/>
  <c r="P26" i="4"/>
  <c r="P22" i="4"/>
  <c r="M22" i="4"/>
  <c r="C28" i="5"/>
  <c r="D28" i="5" s="1"/>
  <c r="E28" i="5" s="1"/>
  <c r="C54" i="5"/>
  <c r="C9" i="5"/>
  <c r="C33" i="5"/>
  <c r="C58" i="5"/>
  <c r="D58" i="5" s="1"/>
  <c r="E58" i="5" s="1"/>
  <c r="F58" i="5" s="1"/>
  <c r="C31" i="5"/>
  <c r="J11" i="4"/>
  <c r="T95" i="7"/>
  <c r="S98" i="7"/>
  <c r="T78" i="7"/>
  <c r="T76" i="7"/>
  <c r="U95" i="7"/>
  <c r="T100" i="7"/>
  <c r="U100" i="7"/>
  <c r="G26" i="2"/>
  <c r="H26" i="2"/>
  <c r="I26" i="2"/>
  <c r="J26" i="2"/>
  <c r="K26" i="2"/>
  <c r="G27" i="2"/>
  <c r="DT56" i="7"/>
  <c r="DU52" i="7"/>
  <c r="V95" i="7"/>
  <c r="T99" i="7"/>
  <c r="T98" i="7"/>
  <c r="U73" i="7"/>
  <c r="T77" i="7"/>
  <c r="C41" i="5"/>
  <c r="D41" i="5" s="1"/>
  <c r="E41" i="5" s="1"/>
  <c r="F41" i="5" s="1"/>
  <c r="H16" i="10"/>
  <c r="H27" i="2"/>
  <c r="H37" i="2" s="1"/>
  <c r="U78" i="7"/>
  <c r="V73" i="7"/>
  <c r="I16" i="10"/>
  <c r="J16" i="10"/>
  <c r="K16" i="10"/>
  <c r="L16" i="10"/>
  <c r="V100" i="7"/>
  <c r="L31" i="12"/>
  <c r="L34" i="11"/>
  <c r="L32" i="14"/>
  <c r="L32" i="13"/>
  <c r="DV52" i="7"/>
  <c r="DU56" i="7"/>
  <c r="G28" i="2"/>
  <c r="I27" i="2"/>
  <c r="L31" i="14"/>
  <c r="L31" i="13"/>
  <c r="L30" i="12"/>
  <c r="L33" i="11"/>
  <c r="DW52" i="7"/>
  <c r="DV56" i="7"/>
  <c r="V78" i="7"/>
  <c r="V77" i="7"/>
  <c r="L34" i="13"/>
  <c r="L36" i="11"/>
  <c r="L34" i="14"/>
  <c r="L33" i="12"/>
  <c r="DX52" i="7"/>
  <c r="DW56" i="7"/>
  <c r="J27" i="2"/>
  <c r="H28" i="2"/>
  <c r="H22" i="10"/>
  <c r="H24" i="10" s="1"/>
  <c r="G6" i="2"/>
  <c r="I22" i="10"/>
  <c r="I24" i="10" s="1"/>
  <c r="I28" i="2"/>
  <c r="K27" i="2"/>
  <c r="DY52" i="7"/>
  <c r="DX56" i="7"/>
  <c r="G102" i="2"/>
  <c r="G65" i="2"/>
  <c r="H6" i="2"/>
  <c r="J22" i="10"/>
  <c r="J24" i="10" s="1"/>
  <c r="G112" i="2"/>
  <c r="G104" i="2" s="1"/>
  <c r="H102" i="2"/>
  <c r="G75" i="2"/>
  <c r="G67" i="2" s="1"/>
  <c r="H11" i="10" s="1"/>
  <c r="H117" i="15" s="1"/>
  <c r="H119" i="15" s="1"/>
  <c r="G11" i="2"/>
  <c r="DZ52" i="7"/>
  <c r="DY56" i="7"/>
  <c r="J28" i="2"/>
  <c r="G52" i="2"/>
  <c r="G55" i="2" s="1"/>
  <c r="G46" i="2"/>
  <c r="H122" i="15" s="1"/>
  <c r="K28" i="2"/>
  <c r="K38" i="2" s="1"/>
  <c r="I6" i="2"/>
  <c r="H65" i="2"/>
  <c r="K22" i="10"/>
  <c r="K24" i="10" s="1"/>
  <c r="H75" i="2"/>
  <c r="H67" i="2" s="1"/>
  <c r="I11" i="10" s="1"/>
  <c r="I117" i="15" s="1"/>
  <c r="I119" i="15" s="1"/>
  <c r="H112" i="2"/>
  <c r="H104" i="2" s="1"/>
  <c r="I102" i="2"/>
  <c r="H11" i="2"/>
  <c r="H15" i="10"/>
  <c r="H8" i="8"/>
  <c r="H52" i="2"/>
  <c r="H46" i="2"/>
  <c r="H41" i="2" s="1"/>
  <c r="L22" i="10"/>
  <c r="L24" i="10" s="1"/>
  <c r="I11" i="2"/>
  <c r="I75" i="2"/>
  <c r="I67" i="2" s="1"/>
  <c r="J11" i="10" s="1"/>
  <c r="J117" i="15" s="1"/>
  <c r="J119" i="15" s="1"/>
  <c r="I112" i="2"/>
  <c r="I104" i="2" s="1"/>
  <c r="J102" i="2"/>
  <c r="J6" i="2"/>
  <c r="H12" i="10"/>
  <c r="H123" i="15" s="1"/>
  <c r="H125" i="15" s="1"/>
  <c r="I8" i="8"/>
  <c r="I15" i="10"/>
  <c r="I65" i="2"/>
  <c r="I52" i="2"/>
  <c r="I55" i="2" s="1"/>
  <c r="G42" i="5"/>
  <c r="G65" i="5"/>
  <c r="G20" i="5"/>
  <c r="K6" i="2"/>
  <c r="H42" i="5"/>
  <c r="H65" i="5"/>
  <c r="H20" i="5"/>
  <c r="J8" i="8"/>
  <c r="I12" i="10"/>
  <c r="I123" i="15" s="1"/>
  <c r="I125" i="15" s="1"/>
  <c r="K75" i="2"/>
  <c r="K67" i="2" s="1"/>
  <c r="L11" i="10" s="1"/>
  <c r="L117" i="15" s="1"/>
  <c r="L119" i="15" s="1"/>
  <c r="K112" i="2"/>
  <c r="K104" i="2" s="1"/>
  <c r="K11" i="2"/>
  <c r="I46" i="2"/>
  <c r="J11" i="2"/>
  <c r="J75" i="2"/>
  <c r="J67" i="2" s="1"/>
  <c r="K11" i="10" s="1"/>
  <c r="J112" i="2"/>
  <c r="J104" i="2" s="1"/>
  <c r="K102" i="2"/>
  <c r="K52" i="2"/>
  <c r="K55" i="2" s="1"/>
  <c r="J15" i="10"/>
  <c r="J52" i="2"/>
  <c r="J55" i="2" s="1"/>
  <c r="J65" i="2"/>
  <c r="K8" i="8"/>
  <c r="J12" i="10"/>
  <c r="J123" i="15" s="1"/>
  <c r="J125" i="15" s="1"/>
  <c r="K46" i="2"/>
  <c r="L122" i="15" s="1"/>
  <c r="K65" i="2"/>
  <c r="J46" i="2"/>
  <c r="K122" i="15" s="1"/>
  <c r="K15" i="10"/>
  <c r="K19" i="10" s="1"/>
  <c r="I20" i="5"/>
  <c r="I42" i="5"/>
  <c r="I65" i="5"/>
  <c r="G69" i="2"/>
  <c r="G66" i="2"/>
  <c r="L12" i="10"/>
  <c r="L123" i="15" s="1"/>
  <c r="L125" i="15" s="1"/>
  <c r="K20" i="5"/>
  <c r="J42" i="5"/>
  <c r="L15" i="10"/>
  <c r="L8" i="8"/>
  <c r="K12" i="10"/>
  <c r="K123" i="15" s="1"/>
  <c r="K125" i="15" s="1"/>
  <c r="G103" i="2"/>
  <c r="G106" i="2"/>
  <c r="H17" i="8"/>
  <c r="K42" i="5"/>
  <c r="K65" i="5"/>
  <c r="J65" i="5"/>
  <c r="J20" i="5"/>
  <c r="G124" i="2"/>
  <c r="G117" i="2"/>
  <c r="H106" i="2"/>
  <c r="H103" i="2"/>
  <c r="G128" i="2"/>
  <c r="H69" i="2"/>
  <c r="H66" i="2"/>
  <c r="G87" i="2"/>
  <c r="G80" i="2"/>
  <c r="H34" i="10"/>
  <c r="I17" i="8"/>
  <c r="H124" i="2"/>
  <c r="H117" i="2"/>
  <c r="H118" i="2"/>
  <c r="I106" i="2"/>
  <c r="I103" i="2"/>
  <c r="G81" i="2"/>
  <c r="H16" i="8"/>
  <c r="H87" i="2"/>
  <c r="H80" i="2"/>
  <c r="H81" i="2"/>
  <c r="I16" i="8"/>
  <c r="H128" i="2"/>
  <c r="G118" i="2"/>
  <c r="G120" i="2"/>
  <c r="I66" i="2"/>
  <c r="I69" i="2"/>
  <c r="I87" i="2"/>
  <c r="I80" i="2"/>
  <c r="I81" i="2"/>
  <c r="J16" i="8"/>
  <c r="I124" i="2"/>
  <c r="I117" i="2"/>
  <c r="I118" i="2"/>
  <c r="K69" i="2"/>
  <c r="K66" i="2"/>
  <c r="J69" i="2"/>
  <c r="J66" i="2"/>
  <c r="J17" i="8"/>
  <c r="I34" i="10"/>
  <c r="I128" i="2"/>
  <c r="H120" i="2"/>
  <c r="K106" i="2"/>
  <c r="K103" i="2"/>
  <c r="J106" i="2"/>
  <c r="J103" i="2"/>
  <c r="J124" i="2"/>
  <c r="J117" i="2"/>
  <c r="K124" i="2"/>
  <c r="K117" i="2"/>
  <c r="K118" i="2"/>
  <c r="J128" i="2"/>
  <c r="K128" i="2"/>
  <c r="J81" i="2"/>
  <c r="K16" i="8"/>
  <c r="J87" i="2"/>
  <c r="J80" i="2"/>
  <c r="K87" i="2"/>
  <c r="K80" i="2"/>
  <c r="M77" i="2" s="1"/>
  <c r="I120" i="2"/>
  <c r="J34" i="10"/>
  <c r="K17" i="8"/>
  <c r="L34" i="10"/>
  <c r="K81" i="2"/>
  <c r="L16" i="8"/>
  <c r="L17" i="8"/>
  <c r="K34" i="10"/>
  <c r="K120" i="2"/>
  <c r="J118" i="2"/>
  <c r="J120" i="2"/>
  <c r="G38" i="2"/>
  <c r="L19" i="2"/>
  <c r="L38" i="2" s="1"/>
  <c r="N19" i="2"/>
  <c r="N38" i="2" s="1"/>
  <c r="P19" i="2"/>
  <c r="P38" i="2"/>
  <c r="M19" i="2"/>
  <c r="M38" i="2"/>
  <c r="J19" i="2"/>
  <c r="J38" i="2" s="1"/>
  <c r="F19" i="2"/>
  <c r="B38" i="2"/>
  <c r="H19" i="2"/>
  <c r="H38" i="2" s="1"/>
  <c r="I37" i="2"/>
  <c r="G37" i="2"/>
  <c r="P18" i="2"/>
  <c r="C18" i="2"/>
  <c r="C37" i="2" s="1"/>
  <c r="B37" i="2"/>
  <c r="D18" i="2"/>
  <c r="N18" i="2"/>
  <c r="K18" i="2"/>
  <c r="K37" i="2" s="1"/>
  <c r="M18" i="2"/>
  <c r="O38" i="2"/>
  <c r="P11" i="4"/>
  <c r="E10" i="4"/>
  <c r="G10" i="4"/>
  <c r="J10" i="4"/>
  <c r="M10" i="4"/>
  <c r="D10" i="4"/>
  <c r="R10" i="4"/>
  <c r="H10" i="4"/>
  <c r="P9" i="4"/>
  <c r="D27" i="2"/>
  <c r="D37" i="2" s="1"/>
  <c r="O37" i="2"/>
  <c r="C37" i="5"/>
  <c r="D37" i="5" s="1"/>
  <c r="E37" i="5" s="1"/>
  <c r="F37" i="5" s="1"/>
  <c r="C16" i="3"/>
  <c r="C32" i="3"/>
  <c r="E46" i="3"/>
  <c r="F46" i="3" s="1"/>
  <c r="E27" i="2"/>
  <c r="F27" i="2" s="1"/>
  <c r="F37" i="2" s="1"/>
  <c r="P37" i="2"/>
  <c r="C38" i="2"/>
  <c r="D28" i="2"/>
  <c r="L37" i="2"/>
  <c r="E53" i="5"/>
  <c r="F53" i="5"/>
  <c r="G53" i="5"/>
  <c r="H53" i="5"/>
  <c r="I53" i="5"/>
  <c r="J53" i="5"/>
  <c r="K53" i="5"/>
  <c r="O29" i="9"/>
  <c r="K30" i="7"/>
  <c r="L19" i="7"/>
  <c r="L20" i="7"/>
  <c r="J20" i="7"/>
  <c r="I19" i="7"/>
  <c r="K19" i="7"/>
  <c r="K20" i="7"/>
  <c r="J31" i="7"/>
  <c r="J30" i="7"/>
  <c r="K31" i="7"/>
  <c r="J19" i="7"/>
  <c r="H20" i="7"/>
  <c r="L30" i="7"/>
  <c r="L31" i="7"/>
  <c r="I20" i="7"/>
  <c r="I31" i="7"/>
  <c r="I30" i="7"/>
  <c r="H31" i="7"/>
  <c r="H30" i="7"/>
  <c r="H19" i="7"/>
  <c r="G67" i="5"/>
  <c r="H67" i="5"/>
  <c r="I67" i="5"/>
  <c r="J67" i="5"/>
  <c r="K67" i="5"/>
  <c r="G58" i="5"/>
  <c r="H58" i="5"/>
  <c r="I58" i="5"/>
  <c r="J58" i="5"/>
  <c r="K58" i="5"/>
  <c r="G18" i="5"/>
  <c r="H18" i="5"/>
  <c r="I18" i="5"/>
  <c r="J18" i="5"/>
  <c r="K18" i="5"/>
  <c r="E59" i="5"/>
  <c r="F59" i="5"/>
  <c r="G59" i="5"/>
  <c r="H59" i="5"/>
  <c r="I59" i="5"/>
  <c r="J59" i="5"/>
  <c r="K59" i="5"/>
  <c r="G8" i="5"/>
  <c r="H8" i="5"/>
  <c r="I8" i="5"/>
  <c r="J8" i="5"/>
  <c r="K8" i="5"/>
  <c r="G7" i="5"/>
  <c r="H7" i="5"/>
  <c r="I7" i="5"/>
  <c r="J7" i="5"/>
  <c r="K7" i="5"/>
  <c r="F63" i="5"/>
  <c r="G63" i="5"/>
  <c r="H63" i="5"/>
  <c r="I63" i="5"/>
  <c r="J63" i="5"/>
  <c r="K63" i="5"/>
  <c r="E64" i="5"/>
  <c r="F64" i="5" s="1"/>
  <c r="G64" i="5"/>
  <c r="H64" i="5"/>
  <c r="I64" i="5"/>
  <c r="J64" i="5"/>
  <c r="K64" i="5"/>
  <c r="G35" i="5"/>
  <c r="H35" i="5"/>
  <c r="I35" i="5"/>
  <c r="J35" i="5"/>
  <c r="K35" i="5"/>
  <c r="G29" i="5"/>
  <c r="H29" i="5"/>
  <c r="I29" i="5"/>
  <c r="J29" i="5"/>
  <c r="K29" i="5"/>
  <c r="G19" i="5"/>
  <c r="H19" i="5"/>
  <c r="I19" i="5"/>
  <c r="J19" i="5"/>
  <c r="K19" i="5"/>
  <c r="G43" i="5"/>
  <c r="H43" i="5"/>
  <c r="I43" i="5"/>
  <c r="J43" i="5"/>
  <c r="K43" i="5"/>
  <c r="G15" i="5"/>
  <c r="H15" i="5"/>
  <c r="I15" i="5"/>
  <c r="J15" i="5"/>
  <c r="K15" i="5"/>
  <c r="E36" i="5"/>
  <c r="F36" i="5" s="1"/>
  <c r="G36" i="5"/>
  <c r="H36" i="5"/>
  <c r="I36" i="5"/>
  <c r="J36" i="5"/>
  <c r="K36" i="5"/>
  <c r="F66" i="5"/>
  <c r="G66" i="5"/>
  <c r="H66" i="5"/>
  <c r="I66" i="5"/>
  <c r="J66" i="5"/>
  <c r="K66" i="5"/>
  <c r="G37" i="5"/>
  <c r="H37" i="5"/>
  <c r="I37" i="5"/>
  <c r="J37" i="5"/>
  <c r="K37" i="5"/>
  <c r="G41" i="5"/>
  <c r="H41" i="5"/>
  <c r="I41" i="5"/>
  <c r="J41" i="5"/>
  <c r="K41" i="5"/>
  <c r="D31" i="5"/>
  <c r="E31" i="5" s="1"/>
  <c r="F31" i="5" s="1"/>
  <c r="G31" i="5"/>
  <c r="H31" i="5"/>
  <c r="I31" i="5"/>
  <c r="J31" i="5"/>
  <c r="K31" i="5"/>
  <c r="D33" i="5"/>
  <c r="E33" i="5" s="1"/>
  <c r="F33" i="5" s="1"/>
  <c r="G33" i="5"/>
  <c r="H33" i="5"/>
  <c r="I33" i="5"/>
  <c r="J33" i="5"/>
  <c r="K33" i="5"/>
  <c r="D9" i="5"/>
  <c r="E9" i="5" s="1"/>
  <c r="F9" i="5"/>
  <c r="G9" i="5"/>
  <c r="H9" i="5"/>
  <c r="I9" i="5"/>
  <c r="J9" i="5"/>
  <c r="K9" i="5"/>
  <c r="D54" i="5"/>
  <c r="E54" i="5" s="1"/>
  <c r="F54" i="5" s="1"/>
  <c r="G54" i="5"/>
  <c r="H54" i="5"/>
  <c r="I54" i="5"/>
  <c r="J54" i="5"/>
  <c r="K54" i="5"/>
  <c r="D12" i="5"/>
  <c r="E12" i="5" s="1"/>
  <c r="F12" i="5" s="1"/>
  <c r="G12" i="5"/>
  <c r="H12" i="5"/>
  <c r="I12" i="5"/>
  <c r="J12" i="5"/>
  <c r="K12" i="5"/>
  <c r="G21" i="5"/>
  <c r="H21" i="5"/>
  <c r="I21" i="5"/>
  <c r="J21" i="5"/>
  <c r="K21" i="5"/>
  <c r="D14" i="5"/>
  <c r="E14" i="5" s="1"/>
  <c r="F14" i="5" s="1"/>
  <c r="G14" i="5"/>
  <c r="H14" i="5"/>
  <c r="I14" i="5"/>
  <c r="J14" i="5"/>
  <c r="K14" i="5"/>
  <c r="D56" i="5"/>
  <c r="E56" i="5" s="1"/>
  <c r="F56" i="5"/>
  <c r="G56" i="5"/>
  <c r="H56" i="5"/>
  <c r="I56" i="5"/>
  <c r="J56" i="5"/>
  <c r="K56" i="5"/>
  <c r="G22" i="5"/>
  <c r="H22" i="5"/>
  <c r="I22" i="5"/>
  <c r="J22" i="5"/>
  <c r="K22" i="5"/>
  <c r="D55" i="5"/>
  <c r="E55" i="5" s="1"/>
  <c r="F55" i="5" s="1"/>
  <c r="G55" i="5"/>
  <c r="H55" i="5"/>
  <c r="I55" i="5"/>
  <c r="J55" i="5"/>
  <c r="K55" i="5"/>
  <c r="D52" i="5"/>
  <c r="E52" i="5" s="1"/>
  <c r="F52" i="5"/>
  <c r="G52" i="5"/>
  <c r="H52" i="5"/>
  <c r="I52" i="5"/>
  <c r="J52" i="5"/>
  <c r="K52" i="5"/>
  <c r="G44" i="5"/>
  <c r="H44" i="5"/>
  <c r="I44" i="5"/>
  <c r="J44" i="5"/>
  <c r="K44" i="5"/>
  <c r="D39" i="5"/>
  <c r="E39" i="5" s="1"/>
  <c r="F39" i="5"/>
  <c r="G39" i="5"/>
  <c r="H39" i="5"/>
  <c r="I39" i="5"/>
  <c r="J39" i="5"/>
  <c r="K39" i="5"/>
  <c r="D61" i="5"/>
  <c r="E61" i="5" s="1"/>
  <c r="F61" i="5" s="1"/>
  <c r="G61" i="5"/>
  <c r="H61" i="5"/>
  <c r="I61" i="5"/>
  <c r="J61" i="5"/>
  <c r="K61" i="5"/>
  <c r="D11" i="5"/>
  <c r="E11" i="5" s="1"/>
  <c r="F11" i="5"/>
  <c r="G11" i="5"/>
  <c r="H11" i="5"/>
  <c r="I11" i="5"/>
  <c r="J11" i="5"/>
  <c r="K11" i="5"/>
  <c r="D34" i="5"/>
  <c r="E34" i="5" s="1"/>
  <c r="F34" i="5" s="1"/>
  <c r="G34" i="5"/>
  <c r="H34" i="5"/>
  <c r="I34" i="5"/>
  <c r="J34" i="5"/>
  <c r="K34" i="5"/>
  <c r="D38" i="5"/>
  <c r="E38" i="5" s="1"/>
  <c r="F38" i="5" s="1"/>
  <c r="G38" i="5"/>
  <c r="H38" i="5"/>
  <c r="I38" i="5"/>
  <c r="J38" i="5"/>
  <c r="K38" i="5"/>
  <c r="G60" i="5"/>
  <c r="H60" i="5"/>
  <c r="I60" i="5"/>
  <c r="J60" i="5"/>
  <c r="K60" i="5"/>
  <c r="D40" i="5"/>
  <c r="E40" i="5" s="1"/>
  <c r="F40" i="5" s="1"/>
  <c r="G40" i="5"/>
  <c r="H40" i="5"/>
  <c r="I40" i="5"/>
  <c r="J40" i="5"/>
  <c r="K40" i="5"/>
  <c r="G32" i="5"/>
  <c r="H32" i="5"/>
  <c r="I32" i="5"/>
  <c r="J32" i="5"/>
  <c r="K32" i="5"/>
  <c r="G17" i="5"/>
  <c r="H17" i="5"/>
  <c r="I17" i="5"/>
  <c r="J17" i="5"/>
  <c r="K17" i="5"/>
  <c r="G13" i="5"/>
  <c r="H13" i="5"/>
  <c r="I13" i="5"/>
  <c r="J13" i="5"/>
  <c r="K13" i="5"/>
  <c r="G30" i="5"/>
  <c r="H30" i="5"/>
  <c r="I30" i="5"/>
  <c r="J30" i="5"/>
  <c r="K30" i="5"/>
  <c r="F28" i="5"/>
  <c r="C62" i="5"/>
  <c r="D62" i="5"/>
  <c r="E62" i="5" s="1"/>
  <c r="F62" i="5" s="1"/>
  <c r="G62" i="5"/>
  <c r="H62" i="5"/>
  <c r="I62" i="5"/>
  <c r="J62" i="5"/>
  <c r="K62" i="5"/>
  <c r="A1" i="5"/>
  <c r="A1" i="15"/>
  <c r="A1" i="11"/>
  <c r="A1" i="12"/>
  <c r="A1" i="13" s="1"/>
  <c r="A1" i="14" s="1"/>
  <c r="M37" i="2"/>
  <c r="E28" i="2"/>
  <c r="F28" i="2" s="1"/>
  <c r="F38" i="2" s="1"/>
  <c r="D38" i="2"/>
  <c r="E37" i="2"/>
  <c r="G28" i="5"/>
  <c r="H80" i="3"/>
  <c r="I80" i="3"/>
  <c r="J80" i="3"/>
  <c r="K80" i="3"/>
  <c r="L80" i="3"/>
  <c r="H28" i="5"/>
  <c r="H73" i="3"/>
  <c r="I73" i="3"/>
  <c r="J73" i="3"/>
  <c r="K73" i="3"/>
  <c r="L73" i="3"/>
  <c r="I28" i="5"/>
  <c r="G6" i="5"/>
  <c r="G51" i="5"/>
  <c r="H67" i="3"/>
  <c r="I67" i="3"/>
  <c r="J67" i="3"/>
  <c r="K67" i="3"/>
  <c r="L67" i="3"/>
  <c r="H51" i="5"/>
  <c r="H6" i="5"/>
  <c r="J28" i="5"/>
  <c r="H78" i="3"/>
  <c r="G8" i="2"/>
  <c r="H19" i="8" s="1"/>
  <c r="K28" i="5"/>
  <c r="I6" i="5"/>
  <c r="I51" i="5"/>
  <c r="I78" i="3"/>
  <c r="H71" i="3"/>
  <c r="G28" i="9" s="1"/>
  <c r="H65" i="3"/>
  <c r="G17" i="9" s="1"/>
  <c r="L35" i="11"/>
  <c r="L33" i="14"/>
  <c r="L33" i="13"/>
  <c r="L32" i="12"/>
  <c r="J51" i="5"/>
  <c r="H8" i="2"/>
  <c r="J6" i="5"/>
  <c r="H29" i="7"/>
  <c r="I29" i="7"/>
  <c r="J29" i="7"/>
  <c r="K29" i="7"/>
  <c r="L29" i="7"/>
  <c r="J78" i="3"/>
  <c r="H79" i="3"/>
  <c r="I71" i="3"/>
  <c r="H28" i="9" s="1"/>
  <c r="I65" i="3"/>
  <c r="H17" i="9" s="1"/>
  <c r="K6" i="5"/>
  <c r="I8" i="2"/>
  <c r="J19" i="8" s="1"/>
  <c r="K51" i="5"/>
  <c r="I79" i="3"/>
  <c r="K78" i="3"/>
  <c r="J71" i="3"/>
  <c r="I28" i="9" s="1"/>
  <c r="H72" i="3"/>
  <c r="J65" i="3"/>
  <c r="I17" i="9" s="1"/>
  <c r="H18" i="7"/>
  <c r="I18" i="7"/>
  <c r="J18" i="7"/>
  <c r="K18" i="7"/>
  <c r="L18" i="7"/>
  <c r="K8" i="2"/>
  <c r="J8" i="2"/>
  <c r="K19" i="8" s="1"/>
  <c r="L78" i="3"/>
  <c r="J79" i="3"/>
  <c r="G7" i="2"/>
  <c r="H18" i="8" s="1"/>
  <c r="I72" i="3"/>
  <c r="K71" i="3"/>
  <c r="J28" i="9" s="1"/>
  <c r="H66" i="3"/>
  <c r="K65" i="3"/>
  <c r="H39" i="14"/>
  <c r="H39" i="13"/>
  <c r="H7" i="2"/>
  <c r="I18" i="8" s="1"/>
  <c r="K79" i="3"/>
  <c r="L71" i="3"/>
  <c r="K28" i="9" s="1"/>
  <c r="J72" i="3"/>
  <c r="L65" i="3"/>
  <c r="K17" i="9" s="1"/>
  <c r="I66" i="3"/>
  <c r="L79" i="3"/>
  <c r="H41" i="11"/>
  <c r="H38" i="12"/>
  <c r="G10" i="2"/>
  <c r="I7" i="2"/>
  <c r="J18" i="8" s="1"/>
  <c r="I39" i="13"/>
  <c r="I39" i="14"/>
  <c r="K72" i="3"/>
  <c r="J66" i="3"/>
  <c r="J39" i="14"/>
  <c r="J39" i="13"/>
  <c r="H10" i="2"/>
  <c r="I41" i="11"/>
  <c r="I38" i="12"/>
  <c r="J7" i="2"/>
  <c r="K18" i="8" s="1"/>
  <c r="H66" i="15"/>
  <c r="H80" i="15"/>
  <c r="K7" i="2"/>
  <c r="L18" i="8" s="1"/>
  <c r="L72" i="3"/>
  <c r="K66" i="3"/>
  <c r="J38" i="12"/>
  <c r="I10" i="2"/>
  <c r="J41" i="11"/>
  <c r="L39" i="13"/>
  <c r="L39" i="14"/>
  <c r="K39" i="13"/>
  <c r="K39" i="14"/>
  <c r="I80" i="15"/>
  <c r="I66" i="15"/>
  <c r="L66" i="3"/>
  <c r="K38" i="12"/>
  <c r="J10" i="2"/>
  <c r="K41" i="11"/>
  <c r="J80" i="15"/>
  <c r="J66" i="15"/>
  <c r="L38" i="12"/>
  <c r="L41" i="11"/>
  <c r="K10" i="2"/>
  <c r="K66" i="15"/>
  <c r="K80" i="15"/>
  <c r="L66" i="15"/>
  <c r="L80" i="15"/>
  <c r="H38" i="10"/>
  <c r="H106" i="15" s="1"/>
  <c r="I38" i="10"/>
  <c r="I92" i="15" s="1"/>
  <c r="J38" i="10"/>
  <c r="J106" i="15" s="1"/>
  <c r="K38" i="10"/>
  <c r="K106" i="15" s="1"/>
  <c r="L38" i="10"/>
  <c r="BK56" i="7"/>
  <c r="H7" i="7"/>
  <c r="H9" i="8"/>
  <c r="H26" i="8"/>
  <c r="H21" i="13"/>
  <c r="H20" i="11"/>
  <c r="H20" i="12"/>
  <c r="H21" i="14"/>
  <c r="BL56" i="7"/>
  <c r="H41" i="10"/>
  <c r="BM56" i="7"/>
  <c r="BN56" i="7"/>
  <c r="BO56" i="7"/>
  <c r="BP56" i="7"/>
  <c r="BQ56" i="7"/>
  <c r="BR56" i="7"/>
  <c r="BS56" i="7"/>
  <c r="BT56" i="7"/>
  <c r="BU56" i="7"/>
  <c r="BV56" i="7"/>
  <c r="H8" i="7"/>
  <c r="G24" i="9"/>
  <c r="H41" i="12"/>
  <c r="H39" i="12"/>
  <c r="H44" i="11"/>
  <c r="H42" i="11"/>
  <c r="H9" i="7"/>
  <c r="H87" i="15"/>
  <c r="H42" i="13"/>
  <c r="H40" i="13"/>
  <c r="H42" i="14"/>
  <c r="H40" i="14"/>
  <c r="BW56" i="7"/>
  <c r="I9" i="8"/>
  <c r="I26" i="8"/>
  <c r="I7" i="7"/>
  <c r="I20" i="12"/>
  <c r="I20" i="11"/>
  <c r="I21" i="14"/>
  <c r="I21" i="13"/>
  <c r="H12" i="15"/>
  <c r="I41" i="10"/>
  <c r="BX56" i="7"/>
  <c r="H13" i="15"/>
  <c r="H19" i="15" s="1"/>
  <c r="H33" i="15" s="1"/>
  <c r="H39" i="10"/>
  <c r="H73" i="15"/>
  <c r="H15" i="15"/>
  <c r="H21" i="15"/>
  <c r="H55" i="15"/>
  <c r="H48" i="15"/>
  <c r="H28" i="15"/>
  <c r="H101" i="15"/>
  <c r="H94" i="15"/>
  <c r="BY56" i="7"/>
  <c r="BZ56" i="7"/>
  <c r="CA56" i="7"/>
  <c r="CB56" i="7"/>
  <c r="CC56" i="7"/>
  <c r="CD56" i="7"/>
  <c r="CE56" i="7"/>
  <c r="CF56" i="7"/>
  <c r="CG56" i="7"/>
  <c r="CH56" i="7"/>
  <c r="I8" i="7"/>
  <c r="H24" i="9"/>
  <c r="I12" i="11" s="1"/>
  <c r="I9" i="7"/>
  <c r="I42" i="13"/>
  <c r="I40" i="13"/>
  <c r="I42" i="14"/>
  <c r="I40" i="14"/>
  <c r="I87" i="15"/>
  <c r="I44" i="11"/>
  <c r="I42" i="11"/>
  <c r="I41" i="12"/>
  <c r="I39" i="12"/>
  <c r="CI56" i="7"/>
  <c r="J7" i="7"/>
  <c r="J26" i="8"/>
  <c r="J9" i="8"/>
  <c r="I12" i="15"/>
  <c r="J21" i="13"/>
  <c r="J20" i="11"/>
  <c r="J20" i="12"/>
  <c r="J21" i="14"/>
  <c r="I39" i="10"/>
  <c r="I13" i="15"/>
  <c r="I19" i="15" s="1"/>
  <c r="I33" i="15" s="1"/>
  <c r="CJ56" i="7"/>
  <c r="I15" i="15"/>
  <c r="I21" i="15"/>
  <c r="I28" i="15"/>
  <c r="I48" i="15"/>
  <c r="I73" i="15"/>
  <c r="J41" i="10"/>
  <c r="I55" i="15"/>
  <c r="CK56" i="7"/>
  <c r="I94" i="15"/>
  <c r="I101" i="15"/>
  <c r="CL56" i="7"/>
  <c r="CM56" i="7"/>
  <c r="CN56" i="7"/>
  <c r="CO56" i="7"/>
  <c r="CP56" i="7"/>
  <c r="CQ56" i="7"/>
  <c r="CR56" i="7"/>
  <c r="CS56" i="7"/>
  <c r="CT56" i="7"/>
  <c r="J8" i="7"/>
  <c r="I24" i="9"/>
  <c r="J12" i="11" s="1"/>
  <c r="J9" i="7"/>
  <c r="J42" i="14"/>
  <c r="J40" i="14"/>
  <c r="J42" i="13"/>
  <c r="J40" i="13"/>
  <c r="J87" i="15"/>
  <c r="J41" i="12"/>
  <c r="J39" i="12"/>
  <c r="J44" i="11"/>
  <c r="J42" i="11"/>
  <c r="CU56" i="7"/>
  <c r="K7" i="7"/>
  <c r="K9" i="8"/>
  <c r="K26" i="8"/>
  <c r="J39" i="10"/>
  <c r="K20" i="11"/>
  <c r="K21" i="14"/>
  <c r="K20" i="12"/>
  <c r="K21" i="13"/>
  <c r="J12" i="15"/>
  <c r="J13" i="15"/>
  <c r="J19" i="15" s="1"/>
  <c r="J33" i="15" s="1"/>
  <c r="CV56" i="7"/>
  <c r="J21" i="15"/>
  <c r="J15" i="15"/>
  <c r="J48" i="15"/>
  <c r="J28" i="15"/>
  <c r="K41" i="10"/>
  <c r="J73" i="15"/>
  <c r="J55" i="15"/>
  <c r="J94" i="15"/>
  <c r="J101" i="15"/>
  <c r="CW56" i="7"/>
  <c r="CX56" i="7"/>
  <c r="CY56" i="7"/>
  <c r="CZ56" i="7"/>
  <c r="DA56" i="7"/>
  <c r="DB56" i="7"/>
  <c r="DC56" i="7"/>
  <c r="DD56" i="7"/>
  <c r="DE56" i="7"/>
  <c r="DF56" i="7"/>
  <c r="K8" i="7"/>
  <c r="J24" i="9"/>
  <c r="K13" i="13" s="1"/>
  <c r="K27" i="13" s="1"/>
  <c r="K9" i="7"/>
  <c r="K44" i="11"/>
  <c r="K42" i="11"/>
  <c r="K40" i="14"/>
  <c r="K42" i="14"/>
  <c r="K87" i="15"/>
  <c r="K41" i="12"/>
  <c r="K39" i="12"/>
  <c r="K42" i="13"/>
  <c r="K40" i="13"/>
  <c r="DG56" i="7"/>
  <c r="L7" i="7"/>
  <c r="L9" i="8"/>
  <c r="L26" i="8"/>
  <c r="L21" i="13"/>
  <c r="L20" i="12"/>
  <c r="L21" i="14"/>
  <c r="L20" i="11"/>
  <c r="K12" i="15"/>
  <c r="K39" i="10"/>
  <c r="DH56" i="7"/>
  <c r="K13" i="15"/>
  <c r="K19" i="15" s="1"/>
  <c r="K33" i="15" s="1"/>
  <c r="K28" i="15"/>
  <c r="K48" i="15"/>
  <c r="K15" i="15"/>
  <c r="K21" i="15"/>
  <c r="L41" i="10"/>
  <c r="K73" i="15"/>
  <c r="K94" i="15"/>
  <c r="K101" i="15"/>
  <c r="DI56" i="7"/>
  <c r="K55" i="15"/>
  <c r="DJ56" i="7"/>
  <c r="DK56" i="7"/>
  <c r="DL56" i="7"/>
  <c r="DM56" i="7"/>
  <c r="DN56" i="7"/>
  <c r="DO56" i="7"/>
  <c r="DP56" i="7"/>
  <c r="DQ56" i="7"/>
  <c r="DR56" i="7"/>
  <c r="L8" i="7"/>
  <c r="K24" i="9"/>
  <c r="L12" i="12" s="1"/>
  <c r="L26" i="12" s="1"/>
  <c r="L9" i="7"/>
  <c r="L42" i="14"/>
  <c r="L40" i="14"/>
  <c r="L42" i="13"/>
  <c r="L40" i="13"/>
  <c r="L87" i="15"/>
  <c r="L44" i="11"/>
  <c r="L42" i="11"/>
  <c r="L41" i="12"/>
  <c r="L39" i="12"/>
  <c r="L12" i="15"/>
  <c r="L13" i="15"/>
  <c r="L19" i="15" s="1"/>
  <c r="L33" i="15" s="1"/>
  <c r="L39" i="10"/>
  <c r="L21" i="15"/>
  <c r="L15" i="15"/>
  <c r="L48" i="15"/>
  <c r="L28" i="15"/>
  <c r="L73" i="15"/>
  <c r="L55" i="15"/>
  <c r="L94" i="15"/>
  <c r="L101" i="15"/>
  <c r="C32" i="4"/>
  <c r="E24" i="4"/>
  <c r="I26" i="4"/>
  <c r="G26" i="4"/>
  <c r="J24" i="4"/>
  <c r="R24" i="4"/>
  <c r="G24" i="4"/>
  <c r="G32" i="4" s="1"/>
  <c r="E23" i="9" s="1"/>
  <c r="I24" i="4"/>
  <c r="K24" i="4"/>
  <c r="D24" i="4"/>
  <c r="F24" i="4"/>
  <c r="P24" i="4"/>
  <c r="L24" i="4"/>
  <c r="O24" i="4"/>
  <c r="K23" i="4"/>
  <c r="N23" i="4"/>
  <c r="D23" i="4"/>
  <c r="D32" i="4" s="1"/>
  <c r="P23" i="4"/>
  <c r="P32" i="4" s="1"/>
  <c r="N23" i="9" s="1"/>
  <c r="L23" i="4"/>
  <c r="L32" i="4" s="1"/>
  <c r="J23" i="9" s="1"/>
  <c r="G23" i="4"/>
  <c r="G9" i="4"/>
  <c r="N9" i="4"/>
  <c r="K9" i="4"/>
  <c r="R9" i="4"/>
  <c r="M9" i="4"/>
  <c r="I9" i="4"/>
  <c r="H9" i="4"/>
  <c r="F9" i="4"/>
  <c r="Q9" i="4"/>
  <c r="J9" i="4"/>
  <c r="L9" i="4"/>
  <c r="E9" i="4"/>
  <c r="O9" i="4"/>
  <c r="D9" i="4"/>
  <c r="H11" i="4"/>
  <c r="N11" i="4"/>
  <c r="M11" i="4"/>
  <c r="E11" i="4"/>
  <c r="G11" i="4"/>
  <c r="L11" i="4"/>
  <c r="F11" i="4"/>
  <c r="O11" i="4"/>
  <c r="R11" i="4"/>
  <c r="I11" i="4"/>
  <c r="Q11" i="4"/>
  <c r="B23" i="9"/>
  <c r="C11" i="11" s="1"/>
  <c r="C25" i="11" s="1"/>
  <c r="B22" i="10"/>
  <c r="B24" i="10" s="1"/>
  <c r="B21" i="6"/>
  <c r="B31" i="12" s="1"/>
  <c r="Q19" i="4"/>
  <c r="O22" i="9" s="1"/>
  <c r="P11" i="14" s="1"/>
  <c r="P24" i="14" s="1"/>
  <c r="B34" i="11"/>
  <c r="B32" i="14"/>
  <c r="B24" i="8"/>
  <c r="O11" i="12"/>
  <c r="O24" i="12" s="1"/>
  <c r="O11" i="11"/>
  <c r="O25" i="11"/>
  <c r="O19" i="10" l="1"/>
  <c r="C19" i="4"/>
  <c r="J19" i="10"/>
  <c r="G13" i="4"/>
  <c r="O19" i="4"/>
  <c r="M22" i="9" s="1"/>
  <c r="N10" i="11" s="1"/>
  <c r="N24" i="11" s="1"/>
  <c r="D13" i="4"/>
  <c r="D19" i="4" s="1"/>
  <c r="C16" i="10" s="1"/>
  <c r="F13" i="4"/>
  <c r="Q19" i="10"/>
  <c r="P19" i="10"/>
  <c r="E13" i="4"/>
  <c r="I19" i="10"/>
  <c r="H19" i="10"/>
  <c r="K12" i="4"/>
  <c r="K19" i="4" s="1"/>
  <c r="I22" i="9" s="1"/>
  <c r="M12" i="4"/>
  <c r="M19" i="4" s="1"/>
  <c r="K22" i="9" s="1"/>
  <c r="L10" i="12" s="1"/>
  <c r="L23" i="12" s="1"/>
  <c r="I12" i="4"/>
  <c r="D12" i="4"/>
  <c r="L12" i="4"/>
  <c r="P12" i="4"/>
  <c r="P19" i="4" s="1"/>
  <c r="N22" i="9" s="1"/>
  <c r="O11" i="14" s="1"/>
  <c r="O24" i="14" s="1"/>
  <c r="L19" i="10"/>
  <c r="J19" i="4"/>
  <c r="H22" i="9" s="1"/>
  <c r="I10" i="11" s="1"/>
  <c r="I24" i="11" s="1"/>
  <c r="N19" i="4"/>
  <c r="L22" i="9" s="1"/>
  <c r="M10" i="11" s="1"/>
  <c r="M24" i="11" s="1"/>
  <c r="O10" i="11"/>
  <c r="O24" i="11" s="1"/>
  <c r="K11" i="11"/>
  <c r="K25" i="11" s="1"/>
  <c r="K11" i="12"/>
  <c r="K24" i="12" s="1"/>
  <c r="K12" i="14"/>
  <c r="K25" i="14" s="1"/>
  <c r="K12" i="13"/>
  <c r="K25" i="13" s="1"/>
  <c r="B32" i="13"/>
  <c r="D21" i="6"/>
  <c r="I32" i="4"/>
  <c r="G23" i="9" s="1"/>
  <c r="H11" i="11" s="1"/>
  <c r="H25" i="11" s="1"/>
  <c r="I23" i="5"/>
  <c r="I20" i="9" s="1"/>
  <c r="E38" i="2"/>
  <c r="C22" i="10"/>
  <c r="C24" i="10" s="1"/>
  <c r="EA52" i="7"/>
  <c r="DZ56" i="7"/>
  <c r="V98" i="7"/>
  <c r="V99" i="7"/>
  <c r="W95" i="7"/>
  <c r="M19" i="10"/>
  <c r="W73" i="7"/>
  <c r="V76" i="7"/>
  <c r="U76" i="7"/>
  <c r="U77" i="7"/>
  <c r="U98" i="7"/>
  <c r="U99" i="7"/>
  <c r="I31" i="4"/>
  <c r="E31" i="4"/>
  <c r="D31" i="4"/>
  <c r="I38" i="2"/>
  <c r="N19" i="10"/>
  <c r="N27" i="4"/>
  <c r="N32" i="4" s="1"/>
  <c r="L23" i="9" s="1"/>
  <c r="M12" i="14" s="1"/>
  <c r="M25" i="14" s="1"/>
  <c r="J27" i="4"/>
  <c r="K27" i="4"/>
  <c r="K32" i="4" s="1"/>
  <c r="I23" i="9" s="1"/>
  <c r="F23" i="4"/>
  <c r="F32" i="4" s="1"/>
  <c r="D23" i="9" s="1"/>
  <c r="M23" i="4"/>
  <c r="M32" i="4" s="1"/>
  <c r="K23" i="9" s="1"/>
  <c r="C100" i="7"/>
  <c r="D99" i="7"/>
  <c r="E98" i="7"/>
  <c r="E100" i="7"/>
  <c r="F99" i="7"/>
  <c r="G98" i="7"/>
  <c r="G100" i="7"/>
  <c r="H99" i="7"/>
  <c r="I98" i="7"/>
  <c r="I100" i="7"/>
  <c r="L29" i="9"/>
  <c r="N37" i="2"/>
  <c r="D19" i="5"/>
  <c r="E19" i="5" s="1"/>
  <c r="F19" i="5" s="1"/>
  <c r="C67" i="5"/>
  <c r="D67" i="5" s="1"/>
  <c r="E67" i="5" s="1"/>
  <c r="F67" i="5" s="1"/>
  <c r="C44" i="5"/>
  <c r="D44" i="5" s="1"/>
  <c r="E44" i="5" s="1"/>
  <c r="F44" i="5" s="1"/>
  <c r="C22" i="5"/>
  <c r="D22" i="5" s="1"/>
  <c r="E22" i="5" s="1"/>
  <c r="F22" i="5" s="1"/>
  <c r="C17" i="5"/>
  <c r="D17" i="5" s="1"/>
  <c r="E17" i="5" s="1"/>
  <c r="F17" i="5" s="1"/>
  <c r="C13" i="5"/>
  <c r="D13" i="5" s="1"/>
  <c r="E13" i="5" s="1"/>
  <c r="F13" i="5" s="1"/>
  <c r="DS56" i="7"/>
  <c r="E11" i="3"/>
  <c r="F11" i="3" s="1"/>
  <c r="C57" i="5"/>
  <c r="D57" i="5" s="1"/>
  <c r="E57" i="5" s="1"/>
  <c r="F57" i="5" s="1"/>
  <c r="C43" i="5"/>
  <c r="D43" i="5" s="1"/>
  <c r="E43" i="5" s="1"/>
  <c r="F43" i="5" s="1"/>
  <c r="C32" i="5"/>
  <c r="D32" i="5" s="1"/>
  <c r="E32" i="5" s="1"/>
  <c r="F32" i="5" s="1"/>
  <c r="C16" i="5"/>
  <c r="D16" i="5" s="1"/>
  <c r="E16" i="5" s="1"/>
  <c r="F16" i="5" s="1"/>
  <c r="C8" i="5"/>
  <c r="D8" i="5" s="1"/>
  <c r="E8" i="5" s="1"/>
  <c r="F8" i="5" s="1"/>
  <c r="H18" i="15"/>
  <c r="B32" i="6"/>
  <c r="K10" i="7"/>
  <c r="P68" i="3"/>
  <c r="O18" i="9"/>
  <c r="O30" i="9"/>
  <c r="J29" i="9"/>
  <c r="J30" i="9" s="1"/>
  <c r="E43" i="3"/>
  <c r="F43" i="3" s="1"/>
  <c r="E45" i="3"/>
  <c r="F45" i="3" s="1"/>
  <c r="K18" i="9"/>
  <c r="K19" i="9" s="1"/>
  <c r="J18" i="9"/>
  <c r="E9" i="3"/>
  <c r="F9" i="3" s="1"/>
  <c r="N18" i="9"/>
  <c r="N19" i="9" s="1"/>
  <c r="P18" i="9"/>
  <c r="P19" i="9" s="1"/>
  <c r="M18" i="9"/>
  <c r="M19" i="9" s="1"/>
  <c r="E26" i="3"/>
  <c r="F26" i="3" s="1"/>
  <c r="I29" i="9"/>
  <c r="I30" i="9" s="1"/>
  <c r="P74" i="3"/>
  <c r="M74" i="3"/>
  <c r="Q74" i="3"/>
  <c r="C47" i="3"/>
  <c r="G18" i="9"/>
  <c r="G19" i="9" s="1"/>
  <c r="O19" i="9"/>
  <c r="O81" i="3"/>
  <c r="O90" i="3" s="1"/>
  <c r="N81" i="3"/>
  <c r="N90" i="3" s="1"/>
  <c r="M32" i="7"/>
  <c r="H82" i="2"/>
  <c r="C26" i="2"/>
  <c r="D26" i="2" s="1"/>
  <c r="E26" i="2" s="1"/>
  <c r="F26" i="2" s="1"/>
  <c r="P45" i="5"/>
  <c r="P31" i="9" s="1"/>
  <c r="L68" i="5"/>
  <c r="L75" i="5" s="1"/>
  <c r="K68" i="5"/>
  <c r="K75" i="5" s="1"/>
  <c r="K45" i="5"/>
  <c r="K31" i="9" s="1"/>
  <c r="Q92" i="15"/>
  <c r="M45" i="5"/>
  <c r="M31" i="9" s="1"/>
  <c r="N45" i="5"/>
  <c r="N31" i="9" s="1"/>
  <c r="G45" i="5"/>
  <c r="G31" i="9" s="1"/>
  <c r="M23" i="5"/>
  <c r="M20" i="9" s="1"/>
  <c r="P32" i="7"/>
  <c r="P23" i="5"/>
  <c r="P20" i="9" s="1"/>
  <c r="H23" i="5"/>
  <c r="H20" i="9" s="1"/>
  <c r="G119" i="2"/>
  <c r="G68" i="5"/>
  <c r="G75" i="5" s="1"/>
  <c r="M81" i="3"/>
  <c r="M90" i="3" s="1"/>
  <c r="L81" i="3"/>
  <c r="L90" i="3" s="1"/>
  <c r="H81" i="3"/>
  <c r="H90" i="3" s="1"/>
  <c r="K81" i="3"/>
  <c r="K90" i="3" s="1"/>
  <c r="Q81" i="3"/>
  <c r="Q90" i="3" s="1"/>
  <c r="P81" i="3"/>
  <c r="P90" i="3" s="1"/>
  <c r="D47" i="3"/>
  <c r="E42" i="3"/>
  <c r="I21" i="7"/>
  <c r="I81" i="3"/>
  <c r="I90" i="3" s="1"/>
  <c r="J81" i="3"/>
  <c r="J90" i="3" s="1"/>
  <c r="N12" i="12"/>
  <c r="N26" i="12" s="1"/>
  <c r="K21" i="7"/>
  <c r="L32" i="7"/>
  <c r="D30" i="3"/>
  <c r="O74" i="3"/>
  <c r="H74" i="3"/>
  <c r="L74" i="3"/>
  <c r="H29" i="9"/>
  <c r="H30" i="9" s="1"/>
  <c r="E25" i="3"/>
  <c r="K29" i="9"/>
  <c r="K30" i="9" s="1"/>
  <c r="I74" i="3"/>
  <c r="C30" i="3"/>
  <c r="I68" i="3"/>
  <c r="D12" i="3"/>
  <c r="E12" i="3" s="1"/>
  <c r="F12" i="3" s="1"/>
  <c r="I32" i="7"/>
  <c r="C13" i="3"/>
  <c r="I18" i="9"/>
  <c r="I19" i="9" s="1"/>
  <c r="N13" i="14"/>
  <c r="N27" i="14" s="1"/>
  <c r="K68" i="3"/>
  <c r="N12" i="11"/>
  <c r="N27" i="11" s="1"/>
  <c r="N68" i="3"/>
  <c r="H18" i="9"/>
  <c r="H19" i="9" s="1"/>
  <c r="O68" i="3"/>
  <c r="O92" i="15"/>
  <c r="J17" i="9"/>
  <c r="Q68" i="3"/>
  <c r="E8" i="3"/>
  <c r="M68" i="3"/>
  <c r="H68" i="3"/>
  <c r="M12" i="12"/>
  <c r="M26" i="12" s="1"/>
  <c r="M12" i="11"/>
  <c r="M25" i="8" s="1"/>
  <c r="M13" i="14"/>
  <c r="M27" i="14" s="1"/>
  <c r="P82" i="2"/>
  <c r="Q21" i="7"/>
  <c r="L10" i="11"/>
  <c r="L24" i="11" s="1"/>
  <c r="F12" i="14"/>
  <c r="F25" i="14" s="1"/>
  <c r="F11" i="12"/>
  <c r="F24" i="12" s="1"/>
  <c r="F12" i="13"/>
  <c r="F25" i="13" s="1"/>
  <c r="C12" i="13"/>
  <c r="C25" i="13" s="1"/>
  <c r="C11" i="12"/>
  <c r="C24" i="12" s="1"/>
  <c r="C12" i="14"/>
  <c r="C25" i="14" s="1"/>
  <c r="M11" i="11"/>
  <c r="M25" i="11" s="1"/>
  <c r="M12" i="13"/>
  <c r="M25" i="13" s="1"/>
  <c r="M11" i="12"/>
  <c r="M24" i="12" s="1"/>
  <c r="P11" i="13"/>
  <c r="P24" i="13" s="1"/>
  <c r="P10" i="11"/>
  <c r="P24" i="11" s="1"/>
  <c r="F11" i="11"/>
  <c r="F25" i="11" s="1"/>
  <c r="H11" i="12"/>
  <c r="H24" i="12" s="1"/>
  <c r="H12" i="14"/>
  <c r="H25" i="14" s="1"/>
  <c r="H12" i="13"/>
  <c r="H25" i="13" s="1"/>
  <c r="P10" i="12"/>
  <c r="P23" i="12" s="1"/>
  <c r="O12" i="14"/>
  <c r="O25" i="14" s="1"/>
  <c r="O12" i="13"/>
  <c r="O25" i="13" s="1"/>
  <c r="J68" i="5"/>
  <c r="J75" i="5" s="1"/>
  <c r="K23" i="5"/>
  <c r="K20" i="9" s="1"/>
  <c r="I68" i="5"/>
  <c r="I75" i="5" s="1"/>
  <c r="L30" i="9"/>
  <c r="E11" i="12"/>
  <c r="E24" i="12" s="1"/>
  <c r="M21" i="7"/>
  <c r="K74" i="3"/>
  <c r="J68" i="3"/>
  <c r="G29" i="9"/>
  <c r="G30" i="9" s="1"/>
  <c r="J74" i="3"/>
  <c r="H68" i="5"/>
  <c r="H75" i="5" s="1"/>
  <c r="L23" i="5"/>
  <c r="L20" i="9" s="1"/>
  <c r="H45" i="5"/>
  <c r="H31" i="9" s="1"/>
  <c r="P30" i="9"/>
  <c r="O68" i="5"/>
  <c r="O75" i="5" s="1"/>
  <c r="L68" i="3"/>
  <c r="N74" i="3"/>
  <c r="M29" i="9"/>
  <c r="M30" i="9" s="1"/>
  <c r="J23" i="5"/>
  <c r="J20" i="9" s="1"/>
  <c r="J45" i="5"/>
  <c r="J31" i="9" s="1"/>
  <c r="G23" i="5"/>
  <c r="G20" i="9" s="1"/>
  <c r="N29" i="9"/>
  <c r="N30" i="9" s="1"/>
  <c r="L19" i="9"/>
  <c r="Q23" i="4"/>
  <c r="Q32" i="4" s="1"/>
  <c r="O23" i="9" s="1"/>
  <c r="O31" i="4"/>
  <c r="G31" i="4"/>
  <c r="R18" i="4"/>
  <c r="R19" i="4" s="1"/>
  <c r="P22" i="9" s="1"/>
  <c r="R78" i="7"/>
  <c r="P76" i="7"/>
  <c r="M77" i="7"/>
  <c r="J78" i="7"/>
  <c r="H76" i="7"/>
  <c r="E77" i="7"/>
  <c r="J23" i="4"/>
  <c r="J32" i="4" s="1"/>
  <c r="H23" i="9" s="1"/>
  <c r="O45" i="5"/>
  <c r="O31" i="9" s="1"/>
  <c r="O32" i="9" s="1"/>
  <c r="F18" i="4"/>
  <c r="L18" i="4"/>
  <c r="O23" i="4"/>
  <c r="O32" i="4" s="1"/>
  <c r="M23" i="9" s="1"/>
  <c r="O23" i="5"/>
  <c r="O20" i="9" s="1"/>
  <c r="L77" i="2"/>
  <c r="R31" i="4"/>
  <c r="F31" i="4"/>
  <c r="S77" i="7"/>
  <c r="G18" i="4"/>
  <c r="G19" i="4" s="1"/>
  <c r="I18" i="4"/>
  <c r="Q78" i="7"/>
  <c r="O76" i="7"/>
  <c r="L77" i="7"/>
  <c r="I78" i="7"/>
  <c r="G76" i="7"/>
  <c r="D77" i="7"/>
  <c r="R23" i="4"/>
  <c r="R32" i="4" s="1"/>
  <c r="P23" i="9" s="1"/>
  <c r="N10" i="7"/>
  <c r="N68" i="5"/>
  <c r="N75" i="5" s="1"/>
  <c r="C15" i="5"/>
  <c r="D15" i="5" s="1"/>
  <c r="E15" i="5" s="1"/>
  <c r="F15" i="5" s="1"/>
  <c r="C60" i="5"/>
  <c r="D60" i="5" s="1"/>
  <c r="E60" i="5" s="1"/>
  <c r="F60" i="5" s="1"/>
  <c r="C35" i="5"/>
  <c r="D35" i="5" s="1"/>
  <c r="E35" i="5" s="1"/>
  <c r="F35" i="5" s="1"/>
  <c r="I45" i="5"/>
  <c r="I31" i="9" s="1"/>
  <c r="E23" i="4"/>
  <c r="E32" i="4" s="1"/>
  <c r="K31" i="4"/>
  <c r="J31" i="4"/>
  <c r="E18" i="4"/>
  <c r="P78" i="7"/>
  <c r="N76" i="7"/>
  <c r="K77" i="7"/>
  <c r="H78" i="7"/>
  <c r="F76" i="7"/>
  <c r="C77" i="7"/>
  <c r="N82" i="2"/>
  <c r="L119" i="2"/>
  <c r="P68" i="5"/>
  <c r="P75" i="5" s="1"/>
  <c r="N23" i="5"/>
  <c r="N20" i="9" s="1"/>
  <c r="M68" i="5"/>
  <c r="M75" i="5" s="1"/>
  <c r="L45" i="5"/>
  <c r="L31" i="9" s="1"/>
  <c r="H18" i="4"/>
  <c r="H19" i="4" s="1"/>
  <c r="C30" i="5"/>
  <c r="D30" i="5" s="1"/>
  <c r="E30" i="5" s="1"/>
  <c r="F30" i="5" s="1"/>
  <c r="H23" i="4"/>
  <c r="H32" i="4" s="1"/>
  <c r="F23" i="9" s="1"/>
  <c r="H31" i="4"/>
  <c r="P77" i="7"/>
  <c r="M78" i="7"/>
  <c r="K76" i="7"/>
  <c r="H77" i="7"/>
  <c r="P41" i="2"/>
  <c r="P13" i="13"/>
  <c r="P27" i="13" s="1"/>
  <c r="P10" i="7"/>
  <c r="P12" i="11"/>
  <c r="P27" i="11" s="1"/>
  <c r="O21" i="7"/>
  <c r="N77" i="2"/>
  <c r="P106" i="15"/>
  <c r="P13" i="14"/>
  <c r="P27" i="14" s="1"/>
  <c r="L9" i="2"/>
  <c r="L11" i="9" s="1"/>
  <c r="M77" i="15" s="1"/>
  <c r="J41" i="2"/>
  <c r="J18" i="15"/>
  <c r="Q12" i="12"/>
  <c r="Q26" i="12" s="1"/>
  <c r="G41" i="2"/>
  <c r="O77" i="2"/>
  <c r="Q13" i="13"/>
  <c r="Q27" i="13" s="1"/>
  <c r="Q27" i="11"/>
  <c r="Q13" i="14"/>
  <c r="Q27" i="14" s="1"/>
  <c r="I38" i="11"/>
  <c r="I22" i="8" s="1"/>
  <c r="I12" i="12"/>
  <c r="I26" i="12" s="1"/>
  <c r="I13" i="14"/>
  <c r="I27" i="14" s="1"/>
  <c r="I36" i="13"/>
  <c r="M38" i="11"/>
  <c r="M22" i="8" s="1"/>
  <c r="K12" i="11"/>
  <c r="J36" i="13"/>
  <c r="I13" i="13"/>
  <c r="I27" i="13" s="1"/>
  <c r="J32" i="7"/>
  <c r="J9" i="2"/>
  <c r="K8" i="11" s="1"/>
  <c r="K13" i="14"/>
  <c r="K27" i="14" s="1"/>
  <c r="K12" i="12"/>
  <c r="K26" i="12" s="1"/>
  <c r="K92" i="15"/>
  <c r="I77" i="2"/>
  <c r="K77" i="2"/>
  <c r="J77" i="2"/>
  <c r="P38" i="11"/>
  <c r="P22" i="8" s="1"/>
  <c r="J119" i="2"/>
  <c r="M122" i="15"/>
  <c r="L38" i="11"/>
  <c r="L22" i="8" s="1"/>
  <c r="P35" i="12"/>
  <c r="P21" i="7"/>
  <c r="J10" i="7"/>
  <c r="N119" i="2"/>
  <c r="O82" i="2"/>
  <c r="O119" i="2"/>
  <c r="J82" i="2"/>
  <c r="H10" i="7"/>
  <c r="H36" i="13"/>
  <c r="K32" i="7"/>
  <c r="O36" i="13"/>
  <c r="G82" i="2"/>
  <c r="Q10" i="7"/>
  <c r="O32" i="7"/>
  <c r="M36" i="13"/>
  <c r="I10" i="7"/>
  <c r="L36" i="13"/>
  <c r="M19" i="8"/>
  <c r="K82" i="2"/>
  <c r="O25" i="8"/>
  <c r="K119" i="2"/>
  <c r="O13" i="14"/>
  <c r="O27" i="14" s="1"/>
  <c r="N106" i="15"/>
  <c r="K38" i="11"/>
  <c r="K22" i="8" s="1"/>
  <c r="O13" i="13"/>
  <c r="O27" i="13" s="1"/>
  <c r="O12" i="12"/>
  <c r="O26" i="12" s="1"/>
  <c r="K9" i="2"/>
  <c r="L8" i="11" s="1"/>
  <c r="H32" i="7"/>
  <c r="O9" i="2"/>
  <c r="P8" i="12" s="1"/>
  <c r="M82" i="2"/>
  <c r="M10" i="7"/>
  <c r="Q35" i="12"/>
  <c r="Q36" i="13"/>
  <c r="K41" i="2"/>
  <c r="M119" i="2"/>
  <c r="N122" i="15"/>
  <c r="O10" i="7"/>
  <c r="K36" i="13"/>
  <c r="H38" i="11"/>
  <c r="H22" i="8" s="1"/>
  <c r="J38" i="11"/>
  <c r="J22" i="8" s="1"/>
  <c r="N21" i="7"/>
  <c r="H92" i="15"/>
  <c r="Q32" i="7"/>
  <c r="I122" i="15"/>
  <c r="J12" i="12"/>
  <c r="J26" i="12" s="1"/>
  <c r="Q38" i="11"/>
  <c r="Q22" i="8" s="1"/>
  <c r="L19" i="8"/>
  <c r="I106" i="15"/>
  <c r="J47" i="7"/>
  <c r="H21" i="7"/>
  <c r="I119" i="2"/>
  <c r="N9" i="2"/>
  <c r="N11" i="9" s="1"/>
  <c r="M9" i="2"/>
  <c r="N8" i="12" s="1"/>
  <c r="N35" i="12"/>
  <c r="L12" i="11"/>
  <c r="L25" i="8" s="1"/>
  <c r="J13" i="13"/>
  <c r="J27" i="13" s="1"/>
  <c r="K47" i="7"/>
  <c r="G9" i="2"/>
  <c r="G11" i="9" s="1"/>
  <c r="H9" i="2"/>
  <c r="H11" i="9" s="1"/>
  <c r="O38" i="11"/>
  <c r="O22" i="8" s="1"/>
  <c r="J13" i="14"/>
  <c r="J27" i="14" s="1"/>
  <c r="J21" i="7"/>
  <c r="L18" i="15"/>
  <c r="L21" i="7"/>
  <c r="O35" i="12"/>
  <c r="L13" i="13"/>
  <c r="L27" i="13" s="1"/>
  <c r="P122" i="15"/>
  <c r="I82" i="2"/>
  <c r="L82" i="2"/>
  <c r="P18" i="15"/>
  <c r="J27" i="11"/>
  <c r="J25" i="8"/>
  <c r="I27" i="11"/>
  <c r="I25" i="8"/>
  <c r="K117" i="15"/>
  <c r="K119" i="15" s="1"/>
  <c r="K18" i="15"/>
  <c r="N36" i="13"/>
  <c r="H47" i="7"/>
  <c r="N18" i="15"/>
  <c r="J92" i="15"/>
  <c r="I9" i="2"/>
  <c r="J8" i="12" s="1"/>
  <c r="N41" i="2"/>
  <c r="I19" i="8"/>
  <c r="P119" i="2"/>
  <c r="I18" i="15"/>
  <c r="N32" i="7"/>
  <c r="L10" i="7"/>
  <c r="I47" i="7"/>
  <c r="O18" i="15"/>
  <c r="H119" i="2"/>
  <c r="Q18" i="15"/>
  <c r="N38" i="11"/>
  <c r="N22" i="8" s="1"/>
  <c r="P9" i="2"/>
  <c r="P36" i="13"/>
  <c r="L92" i="15"/>
  <c r="L106" i="15"/>
  <c r="L47" i="7"/>
  <c r="H12" i="11"/>
  <c r="H13" i="13"/>
  <c r="H27" i="13" s="1"/>
  <c r="H12" i="12"/>
  <c r="H26" i="12" s="1"/>
  <c r="H13" i="14"/>
  <c r="H27" i="14" s="1"/>
  <c r="I41" i="2"/>
  <c r="J122" i="15"/>
  <c r="I36" i="2"/>
  <c r="I39" i="2" s="1"/>
  <c r="I20" i="2"/>
  <c r="P17" i="2"/>
  <c r="B36" i="2"/>
  <c r="E17" i="2"/>
  <c r="L17" i="2"/>
  <c r="J17" i="2"/>
  <c r="M17" i="2"/>
  <c r="O17" i="2"/>
  <c r="B20" i="2"/>
  <c r="N17" i="2"/>
  <c r="H17" i="2"/>
  <c r="F17" i="2"/>
  <c r="G17" i="2"/>
  <c r="K17" i="2"/>
  <c r="D17" i="2"/>
  <c r="C17" i="2"/>
  <c r="L13" i="14"/>
  <c r="L27" i="14" s="1"/>
  <c r="M106" i="15"/>
  <c r="M92" i="15"/>
  <c r="O117" i="15"/>
  <c r="O119" i="15" s="1"/>
  <c r="H55" i="2"/>
  <c r="O55" i="2"/>
  <c r="N11" i="13" l="1"/>
  <c r="N24" i="13" s="1"/>
  <c r="M10" i="12"/>
  <c r="M23" i="12" s="1"/>
  <c r="E19" i="4"/>
  <c r="C22" i="9" s="1"/>
  <c r="L11" i="13"/>
  <c r="L24" i="13" s="1"/>
  <c r="O11" i="13"/>
  <c r="O24" i="13" s="1"/>
  <c r="B15" i="10"/>
  <c r="B20" i="6"/>
  <c r="F19" i="4"/>
  <c r="N10" i="12"/>
  <c r="N23" i="12" s="1"/>
  <c r="N11" i="14"/>
  <c r="N24" i="14" s="1"/>
  <c r="M11" i="13"/>
  <c r="M24" i="13" s="1"/>
  <c r="I11" i="13"/>
  <c r="I24" i="13" s="1"/>
  <c r="L11" i="14"/>
  <c r="L24" i="14" s="1"/>
  <c r="O10" i="12"/>
  <c r="O23" i="12" s="1"/>
  <c r="J10" i="11"/>
  <c r="J24" i="11" s="1"/>
  <c r="J11" i="14"/>
  <c r="J24" i="14" s="1"/>
  <c r="J11" i="13"/>
  <c r="J24" i="13" s="1"/>
  <c r="J10" i="12"/>
  <c r="J23" i="12" s="1"/>
  <c r="I19" i="4"/>
  <c r="G22" i="9" s="1"/>
  <c r="H10" i="11" s="1"/>
  <c r="H24" i="11" s="1"/>
  <c r="L19" i="4"/>
  <c r="J22" i="9" s="1"/>
  <c r="K11" i="13" s="1"/>
  <c r="K24" i="13" s="1"/>
  <c r="B22" i="9"/>
  <c r="C11" i="14" s="1"/>
  <c r="C24" i="14" s="1"/>
  <c r="M11" i="14"/>
  <c r="M24" i="14" s="1"/>
  <c r="I11" i="14"/>
  <c r="I24" i="14" s="1"/>
  <c r="I10" i="12"/>
  <c r="I23" i="12" s="1"/>
  <c r="J15" i="11"/>
  <c r="J20" i="8" s="1"/>
  <c r="I16" i="13"/>
  <c r="C89" i="7"/>
  <c r="C30" i="7" s="1"/>
  <c r="C90" i="7"/>
  <c r="C31" i="7" s="1"/>
  <c r="J11" i="12"/>
  <c r="J24" i="12" s="1"/>
  <c r="J12" i="14"/>
  <c r="J25" i="14" s="1"/>
  <c r="J12" i="13"/>
  <c r="J25" i="13" s="1"/>
  <c r="J11" i="11"/>
  <c r="J25" i="11" s="1"/>
  <c r="E12" i="14"/>
  <c r="E25" i="14" s="1"/>
  <c r="E11" i="11"/>
  <c r="E25" i="11" s="1"/>
  <c r="E12" i="13"/>
  <c r="E25" i="13" s="1"/>
  <c r="X73" i="7"/>
  <c r="W78" i="7"/>
  <c r="W76" i="7"/>
  <c r="W77" i="7"/>
  <c r="W99" i="7"/>
  <c r="W98" i="7"/>
  <c r="W100" i="7"/>
  <c r="X95" i="7"/>
  <c r="EB52" i="7"/>
  <c r="EA56" i="7"/>
  <c r="L11" i="12"/>
  <c r="L24" i="12" s="1"/>
  <c r="L12" i="13"/>
  <c r="L25" i="13" s="1"/>
  <c r="L11" i="11"/>
  <c r="L25" i="11" s="1"/>
  <c r="L12" i="14"/>
  <c r="L25" i="14" s="1"/>
  <c r="G32" i="13"/>
  <c r="G31" i="12"/>
  <c r="G34" i="11"/>
  <c r="G32" i="14"/>
  <c r="Q15" i="11"/>
  <c r="Q20" i="8" s="1"/>
  <c r="Q15" i="12"/>
  <c r="Q16" i="13"/>
  <c r="Q16" i="14"/>
  <c r="N16" i="14"/>
  <c r="J19" i="9"/>
  <c r="K10" i="13" s="1"/>
  <c r="J32" i="9"/>
  <c r="P9" i="11"/>
  <c r="P21" i="8" s="1"/>
  <c r="K32" i="9"/>
  <c r="P10" i="13"/>
  <c r="P9" i="12"/>
  <c r="P10" i="14"/>
  <c r="L32" i="9"/>
  <c r="G32" i="9"/>
  <c r="M84" i="3"/>
  <c r="H84" i="3"/>
  <c r="L84" i="3"/>
  <c r="I84" i="3"/>
  <c r="I15" i="12"/>
  <c r="N15" i="12"/>
  <c r="H15" i="12"/>
  <c r="O15" i="11"/>
  <c r="O20" i="8" s="1"/>
  <c r="L15" i="11"/>
  <c r="L20" i="8" s="1"/>
  <c r="N15" i="11"/>
  <c r="N20" i="8" s="1"/>
  <c r="N16" i="13"/>
  <c r="N32" i="9"/>
  <c r="J16" i="14"/>
  <c r="J16" i="13"/>
  <c r="M16" i="14"/>
  <c r="J15" i="12"/>
  <c r="M15" i="11"/>
  <c r="M20" i="8" s="1"/>
  <c r="M15" i="12"/>
  <c r="I32" i="9"/>
  <c r="M16" i="13"/>
  <c r="K15" i="11"/>
  <c r="K20" i="8" s="1"/>
  <c r="I15" i="11"/>
  <c r="I20" i="8" s="1"/>
  <c r="P15" i="12"/>
  <c r="P15" i="11"/>
  <c r="P20" i="8" s="1"/>
  <c r="I16" i="14"/>
  <c r="K15" i="12"/>
  <c r="K16" i="13"/>
  <c r="K16" i="14"/>
  <c r="H16" i="14"/>
  <c r="H16" i="13"/>
  <c r="H15" i="11"/>
  <c r="H20" i="8" s="1"/>
  <c r="P16" i="13"/>
  <c r="P16" i="14"/>
  <c r="O16" i="14"/>
  <c r="O15" i="12"/>
  <c r="O16" i="13"/>
  <c r="P84" i="3"/>
  <c r="Q84" i="3"/>
  <c r="M8" i="12"/>
  <c r="M32" i="10"/>
  <c r="M8" i="11"/>
  <c r="K32" i="10"/>
  <c r="F42" i="3"/>
  <c r="F47" i="3" s="1"/>
  <c r="C78" i="3" s="1"/>
  <c r="E47" i="3"/>
  <c r="H32" i="9"/>
  <c r="I32" i="10"/>
  <c r="J10" i="13"/>
  <c r="O84" i="3"/>
  <c r="E30" i="3"/>
  <c r="F25" i="3"/>
  <c r="F30" i="3" s="1"/>
  <c r="C71" i="3" s="1"/>
  <c r="Q9" i="11"/>
  <c r="Q21" i="8" s="1"/>
  <c r="Q27" i="8" s="1"/>
  <c r="N25" i="8"/>
  <c r="J84" i="3"/>
  <c r="L9" i="12"/>
  <c r="K10" i="14"/>
  <c r="K9" i="12"/>
  <c r="C67" i="7"/>
  <c r="C19" i="7" s="1"/>
  <c r="D13" i="3"/>
  <c r="N84" i="3"/>
  <c r="K84" i="3"/>
  <c r="N10" i="13"/>
  <c r="P32" i="10"/>
  <c r="L10" i="14"/>
  <c r="M27" i="11"/>
  <c r="L10" i="13"/>
  <c r="J9" i="11"/>
  <c r="J21" i="8" s="1"/>
  <c r="J27" i="8" s="1"/>
  <c r="L9" i="11"/>
  <c r="L21" i="8" s="1"/>
  <c r="J10" i="14"/>
  <c r="C68" i="7"/>
  <c r="C20" i="7" s="1"/>
  <c r="J9" i="12"/>
  <c r="E13" i="3"/>
  <c r="F8" i="3"/>
  <c r="F13" i="3" s="1"/>
  <c r="C65" i="3" s="1"/>
  <c r="Q10" i="13"/>
  <c r="O32" i="10"/>
  <c r="L8" i="12"/>
  <c r="D16" i="10"/>
  <c r="K10" i="12"/>
  <c r="K23" i="12" s="1"/>
  <c r="E22" i="9"/>
  <c r="M10" i="14"/>
  <c r="M9" i="12"/>
  <c r="M10" i="13"/>
  <c r="M9" i="11"/>
  <c r="M21" i="8" s="1"/>
  <c r="N10" i="14"/>
  <c r="Q10" i="14"/>
  <c r="G11" i="11"/>
  <c r="G25" i="11" s="1"/>
  <c r="G12" i="14"/>
  <c r="G25" i="14" s="1"/>
  <c r="G12" i="13"/>
  <c r="G25" i="13" s="1"/>
  <c r="G11" i="12"/>
  <c r="G24" i="12" s="1"/>
  <c r="Q9" i="12"/>
  <c r="P25" i="8"/>
  <c r="Q12" i="13"/>
  <c r="Q25" i="13" s="1"/>
  <c r="Q12" i="14"/>
  <c r="Q25" i="14" s="1"/>
  <c r="Q11" i="12"/>
  <c r="Q24" i="12" s="1"/>
  <c r="Q11" i="11"/>
  <c r="Q25" i="11" s="1"/>
  <c r="D22" i="9"/>
  <c r="L16" i="14"/>
  <c r="F22" i="9"/>
  <c r="C23" i="9"/>
  <c r="D22" i="10"/>
  <c r="Q10" i="12"/>
  <c r="Q23" i="12" s="1"/>
  <c r="Q11" i="14"/>
  <c r="Q24" i="14" s="1"/>
  <c r="Q10" i="11"/>
  <c r="Q24" i="11" s="1"/>
  <c r="Q11" i="13"/>
  <c r="Q24" i="13" s="1"/>
  <c r="L16" i="13"/>
  <c r="I12" i="13"/>
  <c r="I25" i="13" s="1"/>
  <c r="I11" i="12"/>
  <c r="I24" i="12" s="1"/>
  <c r="I11" i="11"/>
  <c r="I25" i="11" s="1"/>
  <c r="I12" i="14"/>
  <c r="I25" i="14" s="1"/>
  <c r="H10" i="14"/>
  <c r="H10" i="13"/>
  <c r="H9" i="12"/>
  <c r="H9" i="11"/>
  <c r="H21" i="8" s="1"/>
  <c r="N9" i="12"/>
  <c r="N12" i="14"/>
  <c r="N25" i="14" s="1"/>
  <c r="N11" i="12"/>
  <c r="N24" i="12" s="1"/>
  <c r="N12" i="13"/>
  <c r="N25" i="13" s="1"/>
  <c r="N11" i="11"/>
  <c r="N25" i="11" s="1"/>
  <c r="I10" i="14"/>
  <c r="I9" i="12"/>
  <c r="I10" i="13"/>
  <c r="I9" i="11"/>
  <c r="I21" i="8" s="1"/>
  <c r="L15" i="12"/>
  <c r="L32" i="10"/>
  <c r="O9" i="12"/>
  <c r="O10" i="13"/>
  <c r="O9" i="11"/>
  <c r="O21" i="8" s="1"/>
  <c r="O10" i="14"/>
  <c r="M32" i="9"/>
  <c r="N9" i="11"/>
  <c r="N21" i="8" s="1"/>
  <c r="P11" i="12"/>
  <c r="P24" i="12" s="1"/>
  <c r="P11" i="11"/>
  <c r="P25" i="11" s="1"/>
  <c r="P12" i="14"/>
  <c r="P25" i="14" s="1"/>
  <c r="P12" i="13"/>
  <c r="P25" i="13" s="1"/>
  <c r="P32" i="9"/>
  <c r="C11" i="13"/>
  <c r="C24" i="13" s="1"/>
  <c r="K25" i="8"/>
  <c r="K27" i="11"/>
  <c r="K8" i="12"/>
  <c r="J11" i="9"/>
  <c r="K77" i="15" s="1"/>
  <c r="M116" i="15"/>
  <c r="H8" i="11"/>
  <c r="O11" i="9"/>
  <c r="P116" i="15" s="1"/>
  <c r="J32" i="10"/>
  <c r="N8" i="11"/>
  <c r="Q32" i="10"/>
  <c r="M11" i="9"/>
  <c r="N77" i="15" s="1"/>
  <c r="H8" i="12"/>
  <c r="P8" i="11"/>
  <c r="I8" i="12"/>
  <c r="O8" i="11"/>
  <c r="K11" i="9"/>
  <c r="L116" i="15" s="1"/>
  <c r="N32" i="10"/>
  <c r="H32" i="10"/>
  <c r="O77" i="15"/>
  <c r="O116" i="15"/>
  <c r="I8" i="11"/>
  <c r="L27" i="11"/>
  <c r="O8" i="12"/>
  <c r="J8" i="11"/>
  <c r="I11" i="9"/>
  <c r="J116" i="15" s="1"/>
  <c r="Q8" i="11"/>
  <c r="Q8" i="12"/>
  <c r="P11" i="9"/>
  <c r="F20" i="2"/>
  <c r="F36" i="2"/>
  <c r="E20" i="2"/>
  <c r="E36" i="2"/>
  <c r="H77" i="15"/>
  <c r="H116" i="15"/>
  <c r="H36" i="2"/>
  <c r="H39" i="2" s="1"/>
  <c r="H20" i="2"/>
  <c r="B39" i="2"/>
  <c r="B6" i="2"/>
  <c r="P36" i="2"/>
  <c r="P39" i="2" s="1"/>
  <c r="P20" i="2"/>
  <c r="N36" i="2"/>
  <c r="N39" i="2" s="1"/>
  <c r="N20" i="2"/>
  <c r="I116" i="15"/>
  <c r="I77" i="15"/>
  <c r="C20" i="2"/>
  <c r="C36" i="2"/>
  <c r="O20" i="2"/>
  <c r="O36" i="2"/>
  <c r="O39" i="2" s="1"/>
  <c r="D20" i="2"/>
  <c r="D36" i="2"/>
  <c r="M36" i="2"/>
  <c r="M39" i="2" s="1"/>
  <c r="M20" i="2"/>
  <c r="I8" i="9"/>
  <c r="I53" i="2"/>
  <c r="I47" i="2"/>
  <c r="L77" i="15"/>
  <c r="K36" i="2"/>
  <c r="K39" i="2" s="1"/>
  <c r="K20" i="2"/>
  <c r="J36" i="2"/>
  <c r="J39" i="2" s="1"/>
  <c r="J20" i="2"/>
  <c r="G20" i="2"/>
  <c r="G36" i="2"/>
  <c r="G39" i="2" s="1"/>
  <c r="L36" i="2"/>
  <c r="L39" i="2" s="1"/>
  <c r="L20" i="2"/>
  <c r="H27" i="11"/>
  <c r="H25" i="8"/>
  <c r="H10" i="12" l="1"/>
  <c r="H23" i="12" s="1"/>
  <c r="B33" i="11"/>
  <c r="B31" i="13"/>
  <c r="B23" i="8"/>
  <c r="B27" i="8" s="1"/>
  <c r="B30" i="12"/>
  <c r="B31" i="14"/>
  <c r="D20" i="6"/>
  <c r="C10" i="11"/>
  <c r="C24" i="11" s="1"/>
  <c r="H11" i="14"/>
  <c r="H24" i="14" s="1"/>
  <c r="C15" i="10"/>
  <c r="B19" i="10"/>
  <c r="K11" i="14"/>
  <c r="K24" i="14" s="1"/>
  <c r="C10" i="12"/>
  <c r="C23" i="12" s="1"/>
  <c r="H11" i="13"/>
  <c r="H24" i="13" s="1"/>
  <c r="K10" i="11"/>
  <c r="K24" i="11" s="1"/>
  <c r="E16" i="10"/>
  <c r="O27" i="8"/>
  <c r="EB56" i="7"/>
  <c r="EC52" i="7"/>
  <c r="X76" i="7"/>
  <c r="X78" i="7"/>
  <c r="X77" i="7"/>
  <c r="Y73" i="7"/>
  <c r="X100" i="7"/>
  <c r="X98" i="7"/>
  <c r="Y95" i="7"/>
  <c r="X99" i="7"/>
  <c r="I27" i="8"/>
  <c r="K9" i="11"/>
  <c r="K21" i="8" s="1"/>
  <c r="L27" i="8"/>
  <c r="P27" i="8"/>
  <c r="M27" i="8"/>
  <c r="E54" i="3"/>
  <c r="F54" i="3" s="1"/>
  <c r="E53" i="3"/>
  <c r="E50" i="3"/>
  <c r="F50" i="3" s="1"/>
  <c r="E52" i="3"/>
  <c r="F52" i="3" s="1"/>
  <c r="E49" i="3"/>
  <c r="F49" i="3" s="1"/>
  <c r="D78" i="3"/>
  <c r="N27" i="8"/>
  <c r="B28" i="9"/>
  <c r="D71" i="3"/>
  <c r="E33" i="3"/>
  <c r="F33" i="3" s="1"/>
  <c r="E36" i="3"/>
  <c r="E32" i="3"/>
  <c r="F32" i="3" s="1"/>
  <c r="E37" i="3"/>
  <c r="F37" i="3" s="1"/>
  <c r="E35" i="3"/>
  <c r="F35" i="3" s="1"/>
  <c r="K27" i="8"/>
  <c r="B17" i="9"/>
  <c r="D65" i="3"/>
  <c r="E19" i="3"/>
  <c r="E18" i="3"/>
  <c r="F18" i="3" s="1"/>
  <c r="E16" i="3"/>
  <c r="F16" i="3" s="1"/>
  <c r="E15" i="3"/>
  <c r="F15" i="3" s="1"/>
  <c r="E20" i="3"/>
  <c r="F20" i="3" s="1"/>
  <c r="H27" i="8"/>
  <c r="G11" i="13"/>
  <c r="G24" i="13" s="1"/>
  <c r="G11" i="14"/>
  <c r="G24" i="14" s="1"/>
  <c r="G10" i="12"/>
  <c r="G23" i="12" s="1"/>
  <c r="G10" i="11"/>
  <c r="G24" i="11" s="1"/>
  <c r="F10" i="12"/>
  <c r="F23" i="12" s="1"/>
  <c r="F11" i="13"/>
  <c r="F24" i="13" s="1"/>
  <c r="F10" i="11"/>
  <c r="F24" i="11" s="1"/>
  <c r="F11" i="14"/>
  <c r="F24" i="14" s="1"/>
  <c r="D24" i="10"/>
  <c r="E22" i="10"/>
  <c r="E10" i="11"/>
  <c r="E24" i="11" s="1"/>
  <c r="E11" i="13"/>
  <c r="E24" i="13" s="1"/>
  <c r="E10" i="12"/>
  <c r="E23" i="12" s="1"/>
  <c r="E11" i="14"/>
  <c r="E24" i="14" s="1"/>
  <c r="F16" i="10"/>
  <c r="D11" i="11"/>
  <c r="D25" i="11" s="1"/>
  <c r="D11" i="12"/>
  <c r="D24" i="12" s="1"/>
  <c r="D12" i="14"/>
  <c r="D25" i="14" s="1"/>
  <c r="D12" i="13"/>
  <c r="D25" i="13" s="1"/>
  <c r="D11" i="14"/>
  <c r="D24" i="14" s="1"/>
  <c r="D10" i="11"/>
  <c r="D24" i="11" s="1"/>
  <c r="D10" i="12"/>
  <c r="D23" i="12" s="1"/>
  <c r="D11" i="13"/>
  <c r="D24" i="13" s="1"/>
  <c r="K116" i="15"/>
  <c r="N116" i="15"/>
  <c r="P77" i="15"/>
  <c r="J77" i="15"/>
  <c r="Q77" i="15"/>
  <c r="Q116" i="15"/>
  <c r="I21" i="9"/>
  <c r="I25" i="9" s="1"/>
  <c r="I34" i="9" s="1"/>
  <c r="J84" i="15" s="1"/>
  <c r="I9" i="9"/>
  <c r="H8" i="9"/>
  <c r="H53" i="2"/>
  <c r="H47" i="2"/>
  <c r="N47" i="2"/>
  <c r="N8" i="9"/>
  <c r="N53" i="2"/>
  <c r="C6" i="2"/>
  <c r="C39" i="2"/>
  <c r="M47" i="2"/>
  <c r="M8" i="9"/>
  <c r="M53" i="2"/>
  <c r="P53" i="2"/>
  <c r="P8" i="9"/>
  <c r="P47" i="2"/>
  <c r="I56" i="2"/>
  <c r="I57" i="2" s="1"/>
  <c r="I54" i="2"/>
  <c r="D6" i="2"/>
  <c r="D39" i="2"/>
  <c r="E39" i="2"/>
  <c r="E6" i="2"/>
  <c r="K53" i="2"/>
  <c r="K8" i="9"/>
  <c r="K47" i="2"/>
  <c r="G8" i="9"/>
  <c r="G47" i="2"/>
  <c r="G53" i="2"/>
  <c r="J8" i="9"/>
  <c r="J47" i="2"/>
  <c r="J53" i="2"/>
  <c r="O8" i="9"/>
  <c r="O53" i="2"/>
  <c r="O47" i="2"/>
  <c r="B75" i="2"/>
  <c r="B67" i="2" s="1"/>
  <c r="B112" i="2"/>
  <c r="B104" i="2" s="1"/>
  <c r="C102" i="2" s="1"/>
  <c r="B11" i="2"/>
  <c r="F39" i="2"/>
  <c r="F6" i="2"/>
  <c r="L53" i="2"/>
  <c r="L8" i="9"/>
  <c r="L47" i="2"/>
  <c r="J7" i="8"/>
  <c r="J13" i="8" s="1"/>
  <c r="J29" i="8" s="1"/>
  <c r="I48" i="2"/>
  <c r="B8" i="9"/>
  <c r="B52" i="2"/>
  <c r="B53" i="2" s="1"/>
  <c r="B56" i="2" s="1"/>
  <c r="D15" i="10" l="1"/>
  <c r="C19" i="10"/>
  <c r="G31" i="13"/>
  <c r="G33" i="11"/>
  <c r="G30" i="12"/>
  <c r="G31" i="14"/>
  <c r="EC56" i="7"/>
  <c r="ED52" i="7"/>
  <c r="Z95" i="7"/>
  <c r="Y100" i="7"/>
  <c r="Y98" i="7"/>
  <c r="Y99" i="7"/>
  <c r="Y78" i="7"/>
  <c r="Z73" i="7"/>
  <c r="Y76" i="7"/>
  <c r="Y77" i="7"/>
  <c r="C80" i="3"/>
  <c r="D80" i="3" s="1"/>
  <c r="E80" i="3" s="1"/>
  <c r="F80" i="3" s="1"/>
  <c r="G80" i="3" s="1"/>
  <c r="E78" i="3"/>
  <c r="E55" i="3"/>
  <c r="F55" i="3" s="1"/>
  <c r="F53" i="3"/>
  <c r="E38" i="3"/>
  <c r="F38" i="3" s="1"/>
  <c r="F36" i="3"/>
  <c r="C73" i="3"/>
  <c r="D73" i="3" s="1"/>
  <c r="E73" i="3" s="1"/>
  <c r="F73" i="3" s="1"/>
  <c r="G73" i="3" s="1"/>
  <c r="E71" i="3"/>
  <c r="C28" i="9"/>
  <c r="E21" i="3"/>
  <c r="F21" i="3" s="1"/>
  <c r="F19" i="3"/>
  <c r="C17" i="9"/>
  <c r="E65" i="3"/>
  <c r="C67" i="3"/>
  <c r="F22" i="10"/>
  <c r="E24" i="10"/>
  <c r="G16" i="10"/>
  <c r="K54" i="2"/>
  <c r="K56" i="2"/>
  <c r="K57" i="2" s="1"/>
  <c r="P21" i="9"/>
  <c r="P25" i="9" s="1"/>
  <c r="P34" i="9" s="1"/>
  <c r="Q84" i="15" s="1"/>
  <c r="P9" i="9"/>
  <c r="N9" i="9"/>
  <c r="N21" i="9"/>
  <c r="N25" i="9" s="1"/>
  <c r="N34" i="9" s="1"/>
  <c r="O84" i="15" s="1"/>
  <c r="N54" i="2"/>
  <c r="N56" i="2"/>
  <c r="N57" i="2" s="1"/>
  <c r="P54" i="2"/>
  <c r="P56" i="2"/>
  <c r="P57" i="2" s="1"/>
  <c r="N48" i="2"/>
  <c r="O7" i="8"/>
  <c r="O13" i="8" s="1"/>
  <c r="O29" i="8" s="1"/>
  <c r="B54" i="2"/>
  <c r="B46" i="2"/>
  <c r="B55" i="2"/>
  <c r="B57" i="2" s="1"/>
  <c r="K21" i="9"/>
  <c r="K25" i="9" s="1"/>
  <c r="K34" i="9" s="1"/>
  <c r="L84" i="15" s="1"/>
  <c r="K9" i="9"/>
  <c r="K7" i="8"/>
  <c r="K13" i="8" s="1"/>
  <c r="K29" i="8" s="1"/>
  <c r="J48" i="2"/>
  <c r="J21" i="9"/>
  <c r="J25" i="9" s="1"/>
  <c r="J34" i="9" s="1"/>
  <c r="K84" i="15" s="1"/>
  <c r="J9" i="9"/>
  <c r="E8" i="9"/>
  <c r="E52" i="2"/>
  <c r="E53" i="2" s="1"/>
  <c r="E56" i="2" s="1"/>
  <c r="M56" i="2"/>
  <c r="M57" i="2" s="1"/>
  <c r="M54" i="2"/>
  <c r="H48" i="2"/>
  <c r="I7" i="8"/>
  <c r="I13" i="8" s="1"/>
  <c r="I29" i="8" s="1"/>
  <c r="J56" i="2"/>
  <c r="J57" i="2" s="1"/>
  <c r="J54" i="2"/>
  <c r="J31" i="10"/>
  <c r="J10" i="10"/>
  <c r="J13" i="10" s="1"/>
  <c r="G56" i="2"/>
  <c r="G57" i="2" s="1"/>
  <c r="G54" i="2"/>
  <c r="D8" i="9"/>
  <c r="D52" i="2"/>
  <c r="D53" i="2" s="1"/>
  <c r="D56" i="2" s="1"/>
  <c r="M9" i="9"/>
  <c r="M21" i="9"/>
  <c r="M25" i="9" s="1"/>
  <c r="M34" i="9" s="1"/>
  <c r="N84" i="15" s="1"/>
  <c r="H56" i="2"/>
  <c r="H57" i="2" s="1"/>
  <c r="H54" i="2"/>
  <c r="F112" i="2"/>
  <c r="F104" i="2" s="1"/>
  <c r="F11" i="2"/>
  <c r="F75" i="2"/>
  <c r="F67" i="2" s="1"/>
  <c r="G11" i="10" s="1"/>
  <c r="G117" i="15" s="1"/>
  <c r="F8" i="9"/>
  <c r="F52" i="2"/>
  <c r="F53" i="2" s="1"/>
  <c r="F56" i="2" s="1"/>
  <c r="E11" i="2"/>
  <c r="E75" i="2"/>
  <c r="E67" i="2" s="1"/>
  <c r="E112" i="2"/>
  <c r="E104" i="2" s="1"/>
  <c r="F102" i="2" s="1"/>
  <c r="I68" i="2"/>
  <c r="I105" i="2"/>
  <c r="I127" i="2" s="1"/>
  <c r="C11" i="10"/>
  <c r="C117" i="15" s="1"/>
  <c r="C65" i="2"/>
  <c r="D11" i="2"/>
  <c r="D75" i="2"/>
  <c r="D67" i="2" s="1"/>
  <c r="D112" i="2"/>
  <c r="D104" i="2" s="1"/>
  <c r="E102" i="2" s="1"/>
  <c r="N7" i="8"/>
  <c r="N13" i="8" s="1"/>
  <c r="N29" i="8" s="1"/>
  <c r="M48" i="2"/>
  <c r="H9" i="9"/>
  <c r="H21" i="9"/>
  <c r="H25" i="9" s="1"/>
  <c r="H34" i="9" s="1"/>
  <c r="I84" i="15" s="1"/>
  <c r="O9" i="9"/>
  <c r="O21" i="9"/>
  <c r="O25" i="9" s="1"/>
  <c r="O34" i="9" s="1"/>
  <c r="P84" i="15" s="1"/>
  <c r="L48" i="2"/>
  <c r="M7" i="8"/>
  <c r="M13" i="8" s="1"/>
  <c r="M29" i="8" s="1"/>
  <c r="G48" i="2"/>
  <c r="H7" i="8"/>
  <c r="H13" i="8" s="1"/>
  <c r="H29" i="8" s="1"/>
  <c r="L21" i="9"/>
  <c r="L25" i="9" s="1"/>
  <c r="L34" i="9" s="1"/>
  <c r="M84" i="15" s="1"/>
  <c r="L9" i="9"/>
  <c r="O48" i="2"/>
  <c r="P7" i="8"/>
  <c r="P13" i="8" s="1"/>
  <c r="P29" i="8" s="1"/>
  <c r="G21" i="9"/>
  <c r="G25" i="9" s="1"/>
  <c r="G34" i="9" s="1"/>
  <c r="H84" i="15" s="1"/>
  <c r="G9" i="9"/>
  <c r="C52" i="2"/>
  <c r="C8" i="9"/>
  <c r="J8" i="13"/>
  <c r="J7" i="11"/>
  <c r="J13" i="11" s="1"/>
  <c r="J17" i="11" s="1"/>
  <c r="J8" i="14"/>
  <c r="J7" i="12"/>
  <c r="J13" i="12" s="1"/>
  <c r="J17" i="12" s="1"/>
  <c r="J64" i="15"/>
  <c r="J71" i="15" s="1"/>
  <c r="J78" i="15" s="1"/>
  <c r="J85" i="15" s="1"/>
  <c r="I14" i="9"/>
  <c r="P48" i="2"/>
  <c r="Q7" i="8"/>
  <c r="Q13" i="8" s="1"/>
  <c r="Q29" i="8" s="1"/>
  <c r="B9" i="9"/>
  <c r="B21" i="9"/>
  <c r="L56" i="2"/>
  <c r="L57" i="2" s="1"/>
  <c r="L54" i="2"/>
  <c r="O56" i="2"/>
  <c r="O57" i="2" s="1"/>
  <c r="O54" i="2"/>
  <c r="K48" i="2"/>
  <c r="L7" i="8"/>
  <c r="L13" i="8" s="1"/>
  <c r="L29" i="8" s="1"/>
  <c r="C112" i="2"/>
  <c r="C104" i="2" s="1"/>
  <c r="D102" i="2" s="1"/>
  <c r="C11" i="2"/>
  <c r="C75" i="2"/>
  <c r="C67" i="2" s="1"/>
  <c r="E15" i="10" l="1"/>
  <c r="D19" i="10"/>
  <c r="Z77" i="7"/>
  <c r="D68" i="7" s="1"/>
  <c r="D20" i="7" s="1"/>
  <c r="Z78" i="7"/>
  <c r="Z76" i="7"/>
  <c r="D67" i="7" s="1"/>
  <c r="D19" i="7" s="1"/>
  <c r="AA73" i="7"/>
  <c r="ED56" i="7"/>
  <c r="EE52" i="7"/>
  <c r="Z100" i="7"/>
  <c r="AA95" i="7"/>
  <c r="Z98" i="7"/>
  <c r="D89" i="7" s="1"/>
  <c r="D30" i="7" s="1"/>
  <c r="Z99" i="7"/>
  <c r="D90" i="7" s="1"/>
  <c r="D31" i="7" s="1"/>
  <c r="M47" i="7"/>
  <c r="C72" i="3"/>
  <c r="C74" i="3" s="1"/>
  <c r="F39" i="3"/>
  <c r="F56" i="3"/>
  <c r="F78" i="3"/>
  <c r="C79" i="3"/>
  <c r="D28" i="9"/>
  <c r="F71" i="3"/>
  <c r="C66" i="3"/>
  <c r="D66" i="3" s="1"/>
  <c r="D67" i="3"/>
  <c r="E67" i="3" s="1"/>
  <c r="F67" i="3" s="1"/>
  <c r="G67" i="3" s="1"/>
  <c r="C6" i="6"/>
  <c r="F22" i="3"/>
  <c r="D17" i="9"/>
  <c r="F65" i="3"/>
  <c r="F24" i="10"/>
  <c r="G22" i="10"/>
  <c r="G24" i="10" s="1"/>
  <c r="O31" i="10"/>
  <c r="O10" i="10"/>
  <c r="O13" i="10" s="1"/>
  <c r="Q7" i="11"/>
  <c r="Q13" i="11" s="1"/>
  <c r="Q17" i="11" s="1"/>
  <c r="Q8" i="13"/>
  <c r="P14" i="9"/>
  <c r="Q8" i="14"/>
  <c r="Q7" i="12"/>
  <c r="Q13" i="12" s="1"/>
  <c r="Q17" i="12" s="1"/>
  <c r="Q64" i="15"/>
  <c r="Q71" i="15" s="1"/>
  <c r="Q78" i="15" s="1"/>
  <c r="Q85" i="15" s="1"/>
  <c r="C21" i="9"/>
  <c r="C9" i="9"/>
  <c r="C55" i="2"/>
  <c r="C46" i="2"/>
  <c r="J63" i="15"/>
  <c r="I36" i="9"/>
  <c r="I40" i="9" s="1"/>
  <c r="H10" i="10"/>
  <c r="H13" i="10" s="1"/>
  <c r="H31" i="10"/>
  <c r="M68" i="2"/>
  <c r="M105" i="2"/>
  <c r="M127" i="2" s="1"/>
  <c r="J9" i="14"/>
  <c r="J14" i="14" s="1"/>
  <c r="J18" i="14" s="1"/>
  <c r="J9" i="13"/>
  <c r="J14" i="13" s="1"/>
  <c r="J18" i="13" s="1"/>
  <c r="F55" i="2"/>
  <c r="F57" i="2" s="1"/>
  <c r="F46" i="2"/>
  <c r="F54" i="2"/>
  <c r="J32" i="15"/>
  <c r="J35" i="15" s="1"/>
  <c r="J27" i="10"/>
  <c r="J68" i="2"/>
  <c r="J105" i="2"/>
  <c r="J127" i="2" s="1"/>
  <c r="N105" i="2"/>
  <c r="N127" i="2" s="1"/>
  <c r="N68" i="2"/>
  <c r="L31" i="10"/>
  <c r="L10" i="10"/>
  <c r="L13" i="10" s="1"/>
  <c r="M7" i="11"/>
  <c r="M13" i="11" s="1"/>
  <c r="M17" i="11" s="1"/>
  <c r="L14" i="9"/>
  <c r="M64" i="15"/>
  <c r="M71" i="15" s="1"/>
  <c r="M78" i="15" s="1"/>
  <c r="M85" i="15" s="1"/>
  <c r="M8" i="14"/>
  <c r="M8" i="13"/>
  <c r="M7" i="12"/>
  <c r="M13" i="12" s="1"/>
  <c r="M17" i="12" s="1"/>
  <c r="C53" i="2"/>
  <c r="C56" i="2" s="1"/>
  <c r="G68" i="2"/>
  <c r="G105" i="2"/>
  <c r="G127" i="2" s="1"/>
  <c r="N10" i="10"/>
  <c r="N13" i="10" s="1"/>
  <c r="N31" i="10"/>
  <c r="F9" i="9"/>
  <c r="F21" i="9"/>
  <c r="M14" i="9"/>
  <c r="N8" i="13"/>
  <c r="N7" i="12"/>
  <c r="N13" i="12" s="1"/>
  <c r="N17" i="12" s="1"/>
  <c r="N7" i="11"/>
  <c r="N13" i="11" s="1"/>
  <c r="N17" i="11" s="1"/>
  <c r="N8" i="14"/>
  <c r="N64" i="15"/>
  <c r="N71" i="15" s="1"/>
  <c r="N78" i="15" s="1"/>
  <c r="N85" i="15" s="1"/>
  <c r="K31" i="10"/>
  <c r="K10" i="10"/>
  <c r="K13" i="10" s="1"/>
  <c r="H64" i="15"/>
  <c r="H71" i="15" s="1"/>
  <c r="H78" i="15" s="1"/>
  <c r="H85" i="15" s="1"/>
  <c r="H7" i="12"/>
  <c r="H13" i="12" s="1"/>
  <c r="H17" i="12" s="1"/>
  <c r="H8" i="14"/>
  <c r="H8" i="13"/>
  <c r="G14" i="9"/>
  <c r="H7" i="11"/>
  <c r="H13" i="11" s="1"/>
  <c r="H17" i="11" s="1"/>
  <c r="M31" i="10"/>
  <c r="M10" i="10"/>
  <c r="M13" i="10" s="1"/>
  <c r="E55" i="2"/>
  <c r="E57" i="2" s="1"/>
  <c r="E46" i="2"/>
  <c r="E54" i="2"/>
  <c r="L7" i="11"/>
  <c r="L13" i="11" s="1"/>
  <c r="L17" i="11" s="1"/>
  <c r="L8" i="14"/>
  <c r="L8" i="13"/>
  <c r="L7" i="12"/>
  <c r="L13" i="12" s="1"/>
  <c r="L17" i="12" s="1"/>
  <c r="L64" i="15"/>
  <c r="L71" i="15" s="1"/>
  <c r="L78" i="15" s="1"/>
  <c r="L85" i="15" s="1"/>
  <c r="K14" i="9"/>
  <c r="O64" i="15"/>
  <c r="O71" i="15" s="1"/>
  <c r="O78" i="15" s="1"/>
  <c r="O85" i="15" s="1"/>
  <c r="O8" i="14"/>
  <c r="O8" i="13"/>
  <c r="O7" i="11"/>
  <c r="O13" i="11" s="1"/>
  <c r="O17" i="11" s="1"/>
  <c r="O7" i="12"/>
  <c r="O13" i="12" s="1"/>
  <c r="O17" i="12" s="1"/>
  <c r="N14" i="9"/>
  <c r="P105" i="2"/>
  <c r="P127" i="2" s="1"/>
  <c r="P68" i="2"/>
  <c r="I7" i="12"/>
  <c r="I13" i="12" s="1"/>
  <c r="I17" i="12" s="1"/>
  <c r="I7" i="11"/>
  <c r="I13" i="11" s="1"/>
  <c r="I17" i="11" s="1"/>
  <c r="I8" i="14"/>
  <c r="I8" i="13"/>
  <c r="I64" i="15"/>
  <c r="I71" i="15" s="1"/>
  <c r="I78" i="15" s="1"/>
  <c r="I85" i="15" s="1"/>
  <c r="H14" i="9"/>
  <c r="L105" i="2"/>
  <c r="L127" i="2" s="1"/>
  <c r="L68" i="2"/>
  <c r="E9" i="9"/>
  <c r="E21" i="9"/>
  <c r="B42" i="5"/>
  <c r="B45" i="5" s="1"/>
  <c r="B31" i="9" s="1"/>
  <c r="K68" i="2"/>
  <c r="K105" i="2"/>
  <c r="K127" i="2" s="1"/>
  <c r="D65" i="2"/>
  <c r="D11" i="10"/>
  <c r="D117" i="15" s="1"/>
  <c r="P10" i="10"/>
  <c r="P13" i="10" s="1"/>
  <c r="P31" i="10"/>
  <c r="E11" i="10"/>
  <c r="E117" i="15" s="1"/>
  <c r="E65" i="2"/>
  <c r="F11" i="10"/>
  <c r="F117" i="15" s="1"/>
  <c r="F65" i="2"/>
  <c r="D46" i="2"/>
  <c r="D54" i="2"/>
  <c r="D55" i="2"/>
  <c r="D57" i="2" s="1"/>
  <c r="I31" i="10"/>
  <c r="I10" i="10"/>
  <c r="I13" i="10" s="1"/>
  <c r="K64" i="15"/>
  <c r="K71" i="15" s="1"/>
  <c r="K78" i="15" s="1"/>
  <c r="K85" i="15" s="1"/>
  <c r="K8" i="14"/>
  <c r="K7" i="12"/>
  <c r="K13" i="12" s="1"/>
  <c r="K17" i="12" s="1"/>
  <c r="K8" i="13"/>
  <c r="K7" i="11"/>
  <c r="K13" i="11" s="1"/>
  <c r="K17" i="11" s="1"/>
  <c r="J14" i="9"/>
  <c r="B65" i="5"/>
  <c r="B68" i="5" s="1"/>
  <c r="Q31" i="10"/>
  <c r="Q10" i="10"/>
  <c r="Q13" i="10" s="1"/>
  <c r="C7" i="12"/>
  <c r="C7" i="11"/>
  <c r="C8" i="13"/>
  <c r="C64" i="15"/>
  <c r="C71" i="15" s="1"/>
  <c r="C78" i="15" s="1"/>
  <c r="C85" i="15" s="1"/>
  <c r="C8" i="14"/>
  <c r="O68" i="2"/>
  <c r="O105" i="2"/>
  <c r="O127" i="2" s="1"/>
  <c r="O14" i="9"/>
  <c r="P7" i="11"/>
  <c r="P13" i="11" s="1"/>
  <c r="P17" i="11" s="1"/>
  <c r="P8" i="14"/>
  <c r="P64" i="15"/>
  <c r="P71" i="15" s="1"/>
  <c r="P78" i="15" s="1"/>
  <c r="P85" i="15" s="1"/>
  <c r="P7" i="12"/>
  <c r="P13" i="12" s="1"/>
  <c r="P17" i="12" s="1"/>
  <c r="P8" i="13"/>
  <c r="D21" i="9"/>
  <c r="D9" i="9"/>
  <c r="H68" i="2"/>
  <c r="H105" i="2"/>
  <c r="H127" i="2" s="1"/>
  <c r="B41" i="2"/>
  <c r="C122" i="15"/>
  <c r="D8" i="8"/>
  <c r="C12" i="10"/>
  <c r="C123" i="15" s="1"/>
  <c r="C16" i="6"/>
  <c r="B23" i="6" s="1"/>
  <c r="B47" i="2"/>
  <c r="B48" i="2" s="1"/>
  <c r="B20" i="5"/>
  <c r="B23" i="5" s="1"/>
  <c r="F15" i="10" l="1"/>
  <c r="E19" i="10"/>
  <c r="AA99" i="7"/>
  <c r="AA100" i="7"/>
  <c r="AA98" i="7"/>
  <c r="AB95" i="7"/>
  <c r="EE56" i="7"/>
  <c r="EF52" i="7"/>
  <c r="AA77" i="7"/>
  <c r="AB73" i="7"/>
  <c r="AA78" i="7"/>
  <c r="AA76" i="7"/>
  <c r="B29" i="9"/>
  <c r="B30" i="9" s="1"/>
  <c r="D72" i="3"/>
  <c r="E72" i="3" s="1"/>
  <c r="B32" i="9"/>
  <c r="C68" i="3"/>
  <c r="B18" i="9"/>
  <c r="B19" i="9" s="1"/>
  <c r="C9" i="11" s="1"/>
  <c r="C21" i="8" s="1"/>
  <c r="F65" i="5"/>
  <c r="F68" i="5" s="1"/>
  <c r="F75" i="5" s="1"/>
  <c r="F42" i="5"/>
  <c r="F45" i="5" s="1"/>
  <c r="F31" i="9" s="1"/>
  <c r="F20" i="5"/>
  <c r="F23" i="5" s="1"/>
  <c r="F20" i="9" s="1"/>
  <c r="D79" i="3"/>
  <c r="C81" i="3"/>
  <c r="G78" i="3"/>
  <c r="C29" i="9"/>
  <c r="C30" i="9" s="1"/>
  <c r="G71" i="3"/>
  <c r="E28" i="9"/>
  <c r="C10" i="14"/>
  <c r="E17" i="9"/>
  <c r="G65" i="3"/>
  <c r="E66" i="3"/>
  <c r="C18" i="9"/>
  <c r="C19" i="9" s="1"/>
  <c r="D68" i="3"/>
  <c r="C125" i="15"/>
  <c r="B75" i="5"/>
  <c r="B8" i="2"/>
  <c r="L9" i="13"/>
  <c r="L14" i="13" s="1"/>
  <c r="L18" i="13" s="1"/>
  <c r="L9" i="14"/>
  <c r="L14" i="14" s="1"/>
  <c r="L18" i="14" s="1"/>
  <c r="Q9" i="13"/>
  <c r="Q14" i="13" s="1"/>
  <c r="Q18" i="13" s="1"/>
  <c r="Q9" i="14"/>
  <c r="Q14" i="14" s="1"/>
  <c r="Q18" i="14" s="1"/>
  <c r="M27" i="10"/>
  <c r="M32" i="15"/>
  <c r="M35" i="15" s="1"/>
  <c r="C42" i="5"/>
  <c r="C45" i="5" s="1"/>
  <c r="C31" i="9" s="1"/>
  <c r="C20" i="5"/>
  <c r="C23" i="5" s="1"/>
  <c r="C20" i="9" s="1"/>
  <c r="C65" i="5"/>
  <c r="C68" i="5" s="1"/>
  <c r="M63" i="15"/>
  <c r="L36" i="9"/>
  <c r="L40" i="9" s="1"/>
  <c r="J25" i="15"/>
  <c r="J46" i="15" s="1"/>
  <c r="J99" i="15"/>
  <c r="D7" i="11"/>
  <c r="D64" i="15"/>
  <c r="D71" i="15" s="1"/>
  <c r="D78" i="15" s="1"/>
  <c r="D85" i="15" s="1"/>
  <c r="D7" i="12"/>
  <c r="D8" i="14"/>
  <c r="D8" i="13"/>
  <c r="O27" i="10"/>
  <c r="O32" i="15"/>
  <c r="O35" i="15" s="1"/>
  <c r="K63" i="15"/>
  <c r="J36" i="9"/>
  <c r="J40" i="9" s="1"/>
  <c r="I63" i="15"/>
  <c r="H36" i="9"/>
  <c r="H40" i="9" s="1"/>
  <c r="O63" i="15"/>
  <c r="N36" i="9"/>
  <c r="N40" i="9" s="1"/>
  <c r="K27" i="10"/>
  <c r="K32" i="15"/>
  <c r="K35" i="15" s="1"/>
  <c r="N63" i="15"/>
  <c r="M36" i="9"/>
  <c r="M40" i="9" s="1"/>
  <c r="P63" i="15"/>
  <c r="O36" i="9"/>
  <c r="O40" i="9" s="1"/>
  <c r="L27" i="10"/>
  <c r="L32" i="15"/>
  <c r="L35" i="15" s="1"/>
  <c r="H32" i="15"/>
  <c r="H35" i="15" s="1"/>
  <c r="H27" i="10"/>
  <c r="D42" i="5"/>
  <c r="D45" i="5" s="1"/>
  <c r="D31" i="9" s="1"/>
  <c r="D41" i="2"/>
  <c r="F8" i="8"/>
  <c r="E12" i="10"/>
  <c r="E123" i="15" s="1"/>
  <c r="E122" i="15"/>
  <c r="D47" i="2"/>
  <c r="E7" i="8" s="1"/>
  <c r="P32" i="15"/>
  <c r="P35" i="15" s="1"/>
  <c r="P27" i="10"/>
  <c r="H63" i="15"/>
  <c r="G36" i="9"/>
  <c r="G40" i="9" s="1"/>
  <c r="G8" i="14"/>
  <c r="G7" i="11"/>
  <c r="G7" i="12"/>
  <c r="G8" i="13"/>
  <c r="G64" i="15"/>
  <c r="G71" i="15" s="1"/>
  <c r="G78" i="15" s="1"/>
  <c r="G85" i="15" s="1"/>
  <c r="G122" i="15"/>
  <c r="F41" i="2"/>
  <c r="G12" i="10"/>
  <c r="G123" i="15" s="1"/>
  <c r="F47" i="2"/>
  <c r="G7" i="8" s="1"/>
  <c r="I43" i="9"/>
  <c r="I42" i="9"/>
  <c r="D20" i="5"/>
  <c r="D23" i="5" s="1"/>
  <c r="D20" i="9" s="1"/>
  <c r="P9" i="14"/>
  <c r="P14" i="14" s="1"/>
  <c r="P18" i="14" s="1"/>
  <c r="P9" i="13"/>
  <c r="P14" i="13" s="1"/>
  <c r="P18" i="13" s="1"/>
  <c r="C7" i="6"/>
  <c r="C8" i="6" s="1"/>
  <c r="B20" i="9"/>
  <c r="F8" i="14"/>
  <c r="F7" i="11"/>
  <c r="F8" i="13"/>
  <c r="F64" i="15"/>
  <c r="F71" i="15" s="1"/>
  <c r="F78" i="15" s="1"/>
  <c r="F85" i="15" s="1"/>
  <c r="F7" i="12"/>
  <c r="D65" i="5"/>
  <c r="D68" i="5" s="1"/>
  <c r="B105" i="2"/>
  <c r="B68" i="2"/>
  <c r="F62" i="1"/>
  <c r="C7" i="8"/>
  <c r="I9" i="13"/>
  <c r="I14" i="13" s="1"/>
  <c r="I18" i="13" s="1"/>
  <c r="I9" i="14"/>
  <c r="I14" i="14" s="1"/>
  <c r="I18" i="14" s="1"/>
  <c r="N32" i="15"/>
  <c r="N35" i="15" s="1"/>
  <c r="N27" i="10"/>
  <c r="O9" i="13"/>
  <c r="O14" i="13" s="1"/>
  <c r="O18" i="13" s="1"/>
  <c r="O9" i="14"/>
  <c r="O14" i="14" s="1"/>
  <c r="O18" i="14" s="1"/>
  <c r="C54" i="2"/>
  <c r="Q63" i="15"/>
  <c r="P36" i="9"/>
  <c r="P40" i="9" s="1"/>
  <c r="E20" i="5"/>
  <c r="E23" i="5" s="1"/>
  <c r="E20" i="9" s="1"/>
  <c r="F63" i="1"/>
  <c r="F122" i="15"/>
  <c r="E41" i="2"/>
  <c r="G8" i="8"/>
  <c r="F12" i="10"/>
  <c r="F123" i="15" s="1"/>
  <c r="E47" i="2"/>
  <c r="F7" i="8" s="1"/>
  <c r="H9" i="13"/>
  <c r="H14" i="13" s="1"/>
  <c r="H18" i="13" s="1"/>
  <c r="H9" i="14"/>
  <c r="H14" i="14" s="1"/>
  <c r="H18" i="14" s="1"/>
  <c r="K9" i="14"/>
  <c r="K14" i="14" s="1"/>
  <c r="K18" i="14" s="1"/>
  <c r="K9" i="13"/>
  <c r="K14" i="13" s="1"/>
  <c r="K18" i="13" s="1"/>
  <c r="E8" i="8"/>
  <c r="C41" i="2"/>
  <c r="D122" i="15"/>
  <c r="D12" i="10"/>
  <c r="D123" i="15" s="1"/>
  <c r="C47" i="2"/>
  <c r="D7" i="8" s="1"/>
  <c r="E65" i="5"/>
  <c r="E68" i="5" s="1"/>
  <c r="Q27" i="10"/>
  <c r="Q32" i="15"/>
  <c r="Q35" i="15" s="1"/>
  <c r="B34" i="14"/>
  <c r="B36" i="11"/>
  <c r="B33" i="12"/>
  <c r="D23" i="6"/>
  <c r="B34" i="13"/>
  <c r="E64" i="15"/>
  <c r="E71" i="15" s="1"/>
  <c r="E78" i="15" s="1"/>
  <c r="E85" i="15" s="1"/>
  <c r="E7" i="12"/>
  <c r="E8" i="13"/>
  <c r="E8" i="14"/>
  <c r="E7" i="11"/>
  <c r="I27" i="10"/>
  <c r="I32" i="15"/>
  <c r="I35" i="15" s="1"/>
  <c r="M9" i="14"/>
  <c r="M14" i="14" s="1"/>
  <c r="M18" i="14" s="1"/>
  <c r="M9" i="13"/>
  <c r="M14" i="13" s="1"/>
  <c r="M18" i="13" s="1"/>
  <c r="L63" i="15"/>
  <c r="K36" i="9"/>
  <c r="K40" i="9" s="1"/>
  <c r="N9" i="14"/>
  <c r="N14" i="14" s="1"/>
  <c r="N18" i="14" s="1"/>
  <c r="N9" i="13"/>
  <c r="N14" i="13" s="1"/>
  <c r="N18" i="13" s="1"/>
  <c r="C57" i="2"/>
  <c r="E42" i="5"/>
  <c r="E45" i="5" s="1"/>
  <c r="E31" i="9" s="1"/>
  <c r="G15" i="10" l="1"/>
  <c r="G19" i="10" s="1"/>
  <c r="F19" i="10"/>
  <c r="C32" i="9"/>
  <c r="D74" i="3"/>
  <c r="F8" i="2"/>
  <c r="G19" i="8" s="1"/>
  <c r="AB78" i="7"/>
  <c r="AB77" i="7"/>
  <c r="AB76" i="7"/>
  <c r="AC73" i="7"/>
  <c r="EF56" i="7"/>
  <c r="EG52" i="7"/>
  <c r="AB99" i="7"/>
  <c r="AC95" i="7"/>
  <c r="AB98" i="7"/>
  <c r="AB100" i="7"/>
  <c r="G15" i="11"/>
  <c r="G20" i="8" s="1"/>
  <c r="G16" i="13"/>
  <c r="C84" i="3"/>
  <c r="C9" i="12"/>
  <c r="C10" i="13"/>
  <c r="G16" i="14"/>
  <c r="G15" i="12"/>
  <c r="C90" i="3"/>
  <c r="B7" i="2"/>
  <c r="C18" i="8" s="1"/>
  <c r="E79" i="3"/>
  <c r="D81" i="3"/>
  <c r="F28" i="9"/>
  <c r="D29" i="9"/>
  <c r="D30" i="9" s="1"/>
  <c r="D32" i="9" s="1"/>
  <c r="F72" i="3"/>
  <c r="E74" i="3"/>
  <c r="F17" i="9"/>
  <c r="D9" i="11"/>
  <c r="D21" i="8" s="1"/>
  <c r="D10" i="14"/>
  <c r="D10" i="13"/>
  <c r="D9" i="12"/>
  <c r="D18" i="9"/>
  <c r="D19" i="9" s="1"/>
  <c r="F66" i="3"/>
  <c r="E68" i="3"/>
  <c r="D125" i="15"/>
  <c r="E125" i="15"/>
  <c r="I44" i="9"/>
  <c r="I45" i="9" s="1"/>
  <c r="F125" i="15"/>
  <c r="I99" i="15"/>
  <c r="I25" i="15"/>
  <c r="I46" i="15" s="1"/>
  <c r="K43" i="9"/>
  <c r="K42" i="9"/>
  <c r="L99" i="15"/>
  <c r="L25" i="15"/>
  <c r="L46" i="15" s="1"/>
  <c r="O42" i="9"/>
  <c r="O43" i="9"/>
  <c r="L42" i="9"/>
  <c r="L43" i="9"/>
  <c r="E75" i="5"/>
  <c r="E8" i="2"/>
  <c r="B103" i="2"/>
  <c r="B127" i="2"/>
  <c r="B106" i="2"/>
  <c r="C16" i="14"/>
  <c r="C15" i="11"/>
  <c r="C20" i="8" s="1"/>
  <c r="C16" i="13"/>
  <c r="C15" i="12"/>
  <c r="P25" i="15"/>
  <c r="P46" i="15" s="1"/>
  <c r="P99" i="15"/>
  <c r="K99" i="15"/>
  <c r="K25" i="15"/>
  <c r="K46" i="15" s="1"/>
  <c r="J42" i="9"/>
  <c r="J43" i="9"/>
  <c r="C8" i="2"/>
  <c r="C75" i="5"/>
  <c r="E48" i="2"/>
  <c r="N25" i="15"/>
  <c r="N46" i="15" s="1"/>
  <c r="N99" i="15"/>
  <c r="D75" i="5"/>
  <c r="D8" i="2"/>
  <c r="D15" i="11"/>
  <c r="D20" i="8" s="1"/>
  <c r="D16" i="14"/>
  <c r="D16" i="13"/>
  <c r="D15" i="12"/>
  <c r="F15" i="11"/>
  <c r="F20" i="8" s="1"/>
  <c r="F16" i="13"/>
  <c r="F16" i="14"/>
  <c r="F15" i="12"/>
  <c r="B66" i="2"/>
  <c r="B69" i="2"/>
  <c r="G36" i="11"/>
  <c r="G33" i="12"/>
  <c r="G34" i="14"/>
  <c r="G34" i="13"/>
  <c r="G125" i="15"/>
  <c r="G43" i="9"/>
  <c r="G42" i="9"/>
  <c r="H25" i="15"/>
  <c r="H46" i="15" s="1"/>
  <c r="H99" i="15"/>
  <c r="N43" i="9"/>
  <c r="N42" i="9"/>
  <c r="J20" i="13"/>
  <c r="J19" i="12"/>
  <c r="J19" i="11"/>
  <c r="J20" i="14"/>
  <c r="J33" i="10"/>
  <c r="J35" i="10" s="1"/>
  <c r="P43" i="9"/>
  <c r="P42" i="9"/>
  <c r="F48" i="2"/>
  <c r="D48" i="2"/>
  <c r="O25" i="15"/>
  <c r="O46" i="15" s="1"/>
  <c r="O99" i="15"/>
  <c r="C19" i="8"/>
  <c r="Q99" i="15"/>
  <c r="Q25" i="15"/>
  <c r="Q46" i="15" s="1"/>
  <c r="C48" i="2"/>
  <c r="E16" i="14"/>
  <c r="E16" i="13"/>
  <c r="E15" i="11"/>
  <c r="E20" i="8" s="1"/>
  <c r="E15" i="12"/>
  <c r="M43" i="9"/>
  <c r="M42" i="9"/>
  <c r="H43" i="9"/>
  <c r="H42" i="9"/>
  <c r="M25" i="15"/>
  <c r="M46" i="15" s="1"/>
  <c r="M99" i="15"/>
  <c r="AD95" i="7" l="1"/>
  <c r="AC100" i="7"/>
  <c r="AC99" i="7"/>
  <c r="AC98" i="7"/>
  <c r="EG56" i="7"/>
  <c r="EH52" i="7"/>
  <c r="AC77" i="7"/>
  <c r="AC76" i="7"/>
  <c r="AD73" i="7"/>
  <c r="AC78" i="7"/>
  <c r="B9" i="2"/>
  <c r="B10" i="2" s="1"/>
  <c r="D90" i="3"/>
  <c r="C7" i="2"/>
  <c r="D18" i="8" s="1"/>
  <c r="F79" i="3"/>
  <c r="E81" i="3"/>
  <c r="E84" i="3" s="1"/>
  <c r="D84" i="3"/>
  <c r="G72" i="3"/>
  <c r="E29" i="9"/>
  <c r="E30" i="9" s="1"/>
  <c r="E32" i="9" s="1"/>
  <c r="F74" i="3"/>
  <c r="E9" i="11"/>
  <c r="E21" i="8" s="1"/>
  <c r="E9" i="12"/>
  <c r="E10" i="14"/>
  <c r="E10" i="13"/>
  <c r="E18" i="9"/>
  <c r="E19" i="9" s="1"/>
  <c r="G66" i="3"/>
  <c r="F68" i="3"/>
  <c r="M44" i="9"/>
  <c r="M46" i="9" s="1"/>
  <c r="I46" i="9"/>
  <c r="I47" i="9" s="1"/>
  <c r="N44" i="9"/>
  <c r="N45" i="9" s="1"/>
  <c r="P44" i="9"/>
  <c r="P45" i="9" s="1"/>
  <c r="K44" i="9"/>
  <c r="K45" i="9" s="1"/>
  <c r="L44" i="9"/>
  <c r="L46" i="9" s="1"/>
  <c r="G44" i="9"/>
  <c r="G45" i="9" s="1"/>
  <c r="J44" i="9"/>
  <c r="J45" i="9" s="1"/>
  <c r="H44" i="9"/>
  <c r="H46" i="9" s="1"/>
  <c r="F105" i="2"/>
  <c r="F68" i="2"/>
  <c r="E105" i="2"/>
  <c r="E68" i="2"/>
  <c r="E19" i="8"/>
  <c r="D19" i="8"/>
  <c r="C9" i="2"/>
  <c r="B87" i="2"/>
  <c r="B80" i="2" s="1"/>
  <c r="C9" i="6"/>
  <c r="C10" i="6" s="1"/>
  <c r="C11" i="6" s="1"/>
  <c r="C12" i="6" s="1"/>
  <c r="C14" i="6" s="1"/>
  <c r="B22" i="6" s="1"/>
  <c r="Q20" i="14"/>
  <c r="Q33" i="10"/>
  <c r="Q35" i="10" s="1"/>
  <c r="Q20" i="13"/>
  <c r="Q19" i="12"/>
  <c r="Q19" i="11"/>
  <c r="J25" i="12"/>
  <c r="J21" i="12"/>
  <c r="M19" i="11"/>
  <c r="M19" i="12"/>
  <c r="M20" i="13"/>
  <c r="M33" i="10"/>
  <c r="M35" i="10" s="1"/>
  <c r="M20" i="14"/>
  <c r="N33" i="10"/>
  <c r="N35" i="10" s="1"/>
  <c r="N19" i="12"/>
  <c r="N20" i="14"/>
  <c r="N20" i="13"/>
  <c r="N19" i="11"/>
  <c r="J26" i="11"/>
  <c r="J22" i="11"/>
  <c r="B128" i="2"/>
  <c r="C9" i="13"/>
  <c r="C9" i="14"/>
  <c r="D105" i="2"/>
  <c r="D68" i="2"/>
  <c r="P20" i="13"/>
  <c r="P19" i="11"/>
  <c r="P33" i="10"/>
  <c r="P35" i="10" s="1"/>
  <c r="P20" i="14"/>
  <c r="P19" i="12"/>
  <c r="C105" i="2"/>
  <c r="C68" i="2"/>
  <c r="J26" i="13"/>
  <c r="J22" i="13"/>
  <c r="H20" i="14"/>
  <c r="H19" i="12"/>
  <c r="H33" i="10"/>
  <c r="H35" i="10" s="1"/>
  <c r="H19" i="11"/>
  <c r="H20" i="13"/>
  <c r="B124" i="2"/>
  <c r="B117" i="2" s="1"/>
  <c r="B118" i="2" s="1"/>
  <c r="O44" i="9"/>
  <c r="J26" i="15"/>
  <c r="J45" i="15"/>
  <c r="J52" i="15"/>
  <c r="J26" i="14"/>
  <c r="J22" i="14"/>
  <c r="C8" i="12"/>
  <c r="I20" i="13"/>
  <c r="I19" i="12"/>
  <c r="I20" i="14"/>
  <c r="I19" i="11"/>
  <c r="I33" i="10"/>
  <c r="I35" i="10" s="1"/>
  <c r="O19" i="11"/>
  <c r="O19" i="12"/>
  <c r="O33" i="10"/>
  <c r="O35" i="10" s="1"/>
  <c r="O20" i="14"/>
  <c r="O20" i="13"/>
  <c r="K33" i="10"/>
  <c r="K35" i="10" s="1"/>
  <c r="K19" i="12"/>
  <c r="K19" i="11"/>
  <c r="K20" i="13"/>
  <c r="K20" i="14"/>
  <c r="F19" i="8"/>
  <c r="L19" i="11"/>
  <c r="L20" i="14"/>
  <c r="L20" i="13"/>
  <c r="L19" i="12"/>
  <c r="L33" i="10"/>
  <c r="L35" i="10" s="1"/>
  <c r="B11" i="9" l="1"/>
  <c r="C77" i="15" s="1"/>
  <c r="C80" i="15" s="1"/>
  <c r="AE73" i="7"/>
  <c r="AD78" i="7"/>
  <c r="AD76" i="7"/>
  <c r="AD77" i="7"/>
  <c r="AD98" i="7"/>
  <c r="AE95" i="7"/>
  <c r="AD99" i="7"/>
  <c r="AD100" i="7"/>
  <c r="EH56" i="7"/>
  <c r="EI52" i="7"/>
  <c r="C8" i="11"/>
  <c r="B8" i="11" s="1"/>
  <c r="P46" i="9"/>
  <c r="P47" i="9" s="1"/>
  <c r="Q70" i="15" s="1"/>
  <c r="Q91" i="15" s="1"/>
  <c r="Q98" i="15" s="1"/>
  <c r="D7" i="2"/>
  <c r="E90" i="3"/>
  <c r="G79" i="3"/>
  <c r="G81" i="3" s="1"/>
  <c r="F81" i="3"/>
  <c r="F84" i="3" s="1"/>
  <c r="F29" i="9"/>
  <c r="F30" i="9" s="1"/>
  <c r="F32" i="9" s="1"/>
  <c r="G74" i="3"/>
  <c r="M45" i="9"/>
  <c r="M47" i="9" s="1"/>
  <c r="N105" i="15" s="1"/>
  <c r="N108" i="15" s="1"/>
  <c r="F18" i="9"/>
  <c r="F19" i="9" s="1"/>
  <c r="G68" i="3"/>
  <c r="F9" i="11"/>
  <c r="F21" i="8" s="1"/>
  <c r="F10" i="14"/>
  <c r="F10" i="13"/>
  <c r="F9" i="12"/>
  <c r="N46" i="9"/>
  <c r="N47" i="9" s="1"/>
  <c r="O40" i="10" s="1"/>
  <c r="O42" i="10" s="1"/>
  <c r="O53" i="15" s="1"/>
  <c r="J105" i="15"/>
  <c r="J108" i="15" s="1"/>
  <c r="J40" i="10"/>
  <c r="J42" i="10" s="1"/>
  <c r="J53" i="15" s="1"/>
  <c r="B81" i="2"/>
  <c r="B83" i="2" s="1"/>
  <c r="B77" i="2"/>
  <c r="J27" i="12"/>
  <c r="J37" i="12" s="1"/>
  <c r="J52" i="12" s="1"/>
  <c r="L45" i="9"/>
  <c r="L47" i="9" s="1"/>
  <c r="M70" i="15" s="1"/>
  <c r="M91" i="15" s="1"/>
  <c r="M98" i="15" s="1"/>
  <c r="K46" i="9"/>
  <c r="K47" i="9" s="1"/>
  <c r="L70" i="15" s="1"/>
  <c r="L91" i="15" s="1"/>
  <c r="L98" i="15" s="1"/>
  <c r="J28" i="13"/>
  <c r="J38" i="13" s="1"/>
  <c r="J53" i="13" s="1"/>
  <c r="J70" i="15"/>
  <c r="J91" i="15" s="1"/>
  <c r="J98" i="15" s="1"/>
  <c r="J46" i="9"/>
  <c r="J47" i="9" s="1"/>
  <c r="G46" i="9"/>
  <c r="G47" i="9" s="1"/>
  <c r="H40" i="10" s="1"/>
  <c r="H42" i="10" s="1"/>
  <c r="J29" i="11"/>
  <c r="J40" i="11" s="1"/>
  <c r="J55" i="11" s="1"/>
  <c r="H45" i="9"/>
  <c r="H47" i="9" s="1"/>
  <c r="I26" i="14"/>
  <c r="I22" i="14"/>
  <c r="C39" i="14"/>
  <c r="L26" i="11"/>
  <c r="L22" i="11"/>
  <c r="I25" i="12"/>
  <c r="I21" i="12"/>
  <c r="C39" i="13"/>
  <c r="B9" i="13"/>
  <c r="I26" i="13"/>
  <c r="I22" i="13"/>
  <c r="H45" i="15"/>
  <c r="H52" i="15"/>
  <c r="H26" i="15"/>
  <c r="P26" i="14"/>
  <c r="P22" i="14"/>
  <c r="Q26" i="11"/>
  <c r="Q22" i="11"/>
  <c r="E66" i="2"/>
  <c r="E69" i="2"/>
  <c r="F66" i="2"/>
  <c r="F69" i="2"/>
  <c r="L26" i="14"/>
  <c r="L22" i="14"/>
  <c r="P25" i="12"/>
  <c r="P21" i="12"/>
  <c r="O52" i="15"/>
  <c r="O45" i="15"/>
  <c r="O26" i="15"/>
  <c r="H25" i="12"/>
  <c r="H21" i="12"/>
  <c r="P26" i="15"/>
  <c r="P52" i="15"/>
  <c r="P45" i="15"/>
  <c r="N26" i="11"/>
  <c r="N22" i="11"/>
  <c r="M26" i="14"/>
  <c r="M22" i="14"/>
  <c r="Q25" i="12"/>
  <c r="Q21" i="12"/>
  <c r="E127" i="2"/>
  <c r="E106" i="2"/>
  <c r="E103" i="2"/>
  <c r="F106" i="2"/>
  <c r="F127" i="2"/>
  <c r="F103" i="2"/>
  <c r="K26" i="14"/>
  <c r="K22" i="14"/>
  <c r="O25" i="12"/>
  <c r="O21" i="12"/>
  <c r="H26" i="14"/>
  <c r="H22" i="14"/>
  <c r="P26" i="11"/>
  <c r="P22" i="11"/>
  <c r="N26" i="13"/>
  <c r="N22" i="13"/>
  <c r="M52" i="15"/>
  <c r="M26" i="15"/>
  <c r="M45" i="15"/>
  <c r="Q26" i="13"/>
  <c r="Q22" i="13"/>
  <c r="D17" i="8"/>
  <c r="C34" i="10"/>
  <c r="O26" i="14"/>
  <c r="O22" i="14"/>
  <c r="K26" i="13"/>
  <c r="K22" i="13"/>
  <c r="P26" i="13"/>
  <c r="P22" i="13"/>
  <c r="N26" i="14"/>
  <c r="N22" i="14"/>
  <c r="M26" i="13"/>
  <c r="M22" i="13"/>
  <c r="Q52" i="15"/>
  <c r="Q45" i="15"/>
  <c r="Q26" i="15"/>
  <c r="K45" i="15"/>
  <c r="K26" i="15"/>
  <c r="K52" i="15"/>
  <c r="H26" i="13"/>
  <c r="H22" i="13"/>
  <c r="O26" i="13"/>
  <c r="O22" i="13"/>
  <c r="H26" i="11"/>
  <c r="H22" i="11"/>
  <c r="L52" i="15"/>
  <c r="L26" i="15"/>
  <c r="L45" i="15"/>
  <c r="O26" i="11"/>
  <c r="O22" i="11"/>
  <c r="C38" i="12"/>
  <c r="O46" i="9"/>
  <c r="O45" i="9"/>
  <c r="L25" i="12"/>
  <c r="L21" i="12"/>
  <c r="K26" i="11"/>
  <c r="K22" i="11"/>
  <c r="I45" i="15"/>
  <c r="I52" i="15"/>
  <c r="I26" i="15"/>
  <c r="C116" i="15"/>
  <c r="C119" i="15" s="1"/>
  <c r="B119" i="2"/>
  <c r="B120" i="2" s="1"/>
  <c r="D66" i="2"/>
  <c r="D69" i="2"/>
  <c r="N25" i="12"/>
  <c r="N21" i="12"/>
  <c r="M25" i="12"/>
  <c r="M21" i="12"/>
  <c r="Q26" i="14"/>
  <c r="Q22" i="14"/>
  <c r="D8" i="12"/>
  <c r="D8" i="11"/>
  <c r="C10" i="2"/>
  <c r="C11" i="9"/>
  <c r="C103" i="2"/>
  <c r="C127" i="2"/>
  <c r="C106" i="2"/>
  <c r="L26" i="13"/>
  <c r="L22" i="13"/>
  <c r="K25" i="12"/>
  <c r="K21" i="12"/>
  <c r="I26" i="11"/>
  <c r="I22" i="11"/>
  <c r="J28" i="14"/>
  <c r="J38" i="14" s="1"/>
  <c r="C69" i="2"/>
  <c r="C66" i="2"/>
  <c r="D127" i="2"/>
  <c r="D106" i="2"/>
  <c r="D103" i="2"/>
  <c r="N26" i="15"/>
  <c r="N52" i="15"/>
  <c r="N45" i="15"/>
  <c r="M26" i="11"/>
  <c r="M22" i="11"/>
  <c r="B32" i="12"/>
  <c r="B34" i="12" s="1"/>
  <c r="B37" i="12" s="1"/>
  <c r="B33" i="13"/>
  <c r="B33" i="14"/>
  <c r="B35" i="14" s="1"/>
  <c r="B38" i="14" s="1"/>
  <c r="B35" i="11"/>
  <c r="B24" i="6"/>
  <c r="D22" i="6"/>
  <c r="B14" i="9" l="1"/>
  <c r="C41" i="11"/>
  <c r="B82" i="2"/>
  <c r="F64" i="1" s="1"/>
  <c r="C16" i="8"/>
  <c r="EJ52" i="7"/>
  <c r="EI56" i="7"/>
  <c r="AE100" i="7"/>
  <c r="AF95" i="7"/>
  <c r="AE99" i="7"/>
  <c r="AE98" i="7"/>
  <c r="AE78" i="7"/>
  <c r="AF73" i="7"/>
  <c r="AE77" i="7"/>
  <c r="AE76" i="7"/>
  <c r="F90" i="3"/>
  <c r="F9" i="13" s="1"/>
  <c r="E7" i="2"/>
  <c r="F7" i="2"/>
  <c r="G90" i="3"/>
  <c r="G9" i="14" s="1"/>
  <c r="G84" i="3"/>
  <c r="E18" i="8"/>
  <c r="D9" i="2"/>
  <c r="J54" i="13"/>
  <c r="G10" i="14"/>
  <c r="G10" i="13"/>
  <c r="G9" i="11"/>
  <c r="G21" i="8" s="1"/>
  <c r="G9" i="12"/>
  <c r="J53" i="12"/>
  <c r="J44" i="10"/>
  <c r="J46" i="10" s="1"/>
  <c r="O70" i="15"/>
  <c r="O91" i="15" s="1"/>
  <c r="O98" i="15" s="1"/>
  <c r="L40" i="10"/>
  <c r="L42" i="10" s="1"/>
  <c r="L53" i="15" s="1"/>
  <c r="L105" i="15"/>
  <c r="L108" i="15" s="1"/>
  <c r="N70" i="15"/>
  <c r="N91" i="15" s="1"/>
  <c r="N98" i="15" s="1"/>
  <c r="K40" i="10"/>
  <c r="K42" i="10" s="1"/>
  <c r="K53" i="15" s="1"/>
  <c r="K70" i="15"/>
  <c r="K91" i="15" s="1"/>
  <c r="K98" i="15" s="1"/>
  <c r="K105" i="15"/>
  <c r="K108" i="15" s="1"/>
  <c r="J54" i="11"/>
  <c r="N40" i="10"/>
  <c r="N42" i="10" s="1"/>
  <c r="N53" i="15" s="1"/>
  <c r="L27" i="12"/>
  <c r="L37" i="12" s="1"/>
  <c r="L52" i="12" s="1"/>
  <c r="L28" i="14"/>
  <c r="L38" i="14" s="1"/>
  <c r="L53" i="14" s="1"/>
  <c r="Q105" i="15"/>
  <c r="Q108" i="15" s="1"/>
  <c r="O105" i="15"/>
  <c r="O108" i="15" s="1"/>
  <c r="M105" i="15"/>
  <c r="M108" i="15" s="1"/>
  <c r="M40" i="10"/>
  <c r="M42" i="10" s="1"/>
  <c r="M53" i="15" s="1"/>
  <c r="M28" i="13"/>
  <c r="M38" i="13" s="1"/>
  <c r="M53" i="13" s="1"/>
  <c r="K28" i="13"/>
  <c r="K38" i="13" s="1"/>
  <c r="K54" i="13" s="1"/>
  <c r="Q40" i="10"/>
  <c r="Q42" i="10" s="1"/>
  <c r="Q53" i="15" s="1"/>
  <c r="K27" i="12"/>
  <c r="K37" i="12" s="1"/>
  <c r="K52" i="12" s="1"/>
  <c r="M27" i="12"/>
  <c r="M37" i="12" s="1"/>
  <c r="M52" i="12" s="1"/>
  <c r="P28" i="14"/>
  <c r="P38" i="14" s="1"/>
  <c r="P53" i="14" s="1"/>
  <c r="Q27" i="12"/>
  <c r="Q37" i="12" s="1"/>
  <c r="Q52" i="12" s="1"/>
  <c r="O28" i="13"/>
  <c r="O38" i="13" s="1"/>
  <c r="O54" i="13" s="1"/>
  <c r="Q28" i="13"/>
  <c r="Q38" i="13" s="1"/>
  <c r="Q54" i="13" s="1"/>
  <c r="P29" i="11"/>
  <c r="P40" i="11" s="1"/>
  <c r="P54" i="11" s="1"/>
  <c r="H70" i="15"/>
  <c r="H91" i="15" s="1"/>
  <c r="H98" i="15" s="1"/>
  <c r="H28" i="14"/>
  <c r="H38" i="14" s="1"/>
  <c r="H53" i="14" s="1"/>
  <c r="I27" i="12"/>
  <c r="I37" i="12" s="1"/>
  <c r="I52" i="12" s="1"/>
  <c r="H105" i="15"/>
  <c r="H108" i="15" s="1"/>
  <c r="I105" i="15"/>
  <c r="I108" i="15" s="1"/>
  <c r="I40" i="10"/>
  <c r="I42" i="10" s="1"/>
  <c r="I70" i="15"/>
  <c r="I91" i="15" s="1"/>
  <c r="I98" i="15" s="1"/>
  <c r="H53" i="15"/>
  <c r="H44" i="10"/>
  <c r="H46" i="10" s="1"/>
  <c r="H27" i="12"/>
  <c r="H37" i="12" s="1"/>
  <c r="H52" i="12" s="1"/>
  <c r="M29" i="11"/>
  <c r="M40" i="11" s="1"/>
  <c r="M55" i="11" s="1"/>
  <c r="L28" i="13"/>
  <c r="L38" i="13" s="1"/>
  <c r="L54" i="13" s="1"/>
  <c r="N27" i="12"/>
  <c r="N37" i="12" s="1"/>
  <c r="N52" i="12" s="1"/>
  <c r="O47" i="9"/>
  <c r="P105" i="15" s="1"/>
  <c r="P108" i="15" s="1"/>
  <c r="N28" i="14"/>
  <c r="N38" i="14" s="1"/>
  <c r="N53" i="14" s="1"/>
  <c r="O28" i="14"/>
  <c r="O38" i="14" s="1"/>
  <c r="O54" i="14" s="1"/>
  <c r="I29" i="11"/>
  <c r="I40" i="11" s="1"/>
  <c r="I55" i="11" s="1"/>
  <c r="Q28" i="14"/>
  <c r="Q38" i="14" s="1"/>
  <c r="Q54" i="14" s="1"/>
  <c r="K29" i="11"/>
  <c r="K40" i="11" s="1"/>
  <c r="K54" i="11" s="1"/>
  <c r="P27" i="12"/>
  <c r="P37" i="12" s="1"/>
  <c r="P53" i="12" s="1"/>
  <c r="O27" i="12"/>
  <c r="O37" i="12" s="1"/>
  <c r="O53" i="12" s="1"/>
  <c r="M28" i="14"/>
  <c r="M38" i="14" s="1"/>
  <c r="M53" i="14" s="1"/>
  <c r="L29" i="11"/>
  <c r="L40" i="11" s="1"/>
  <c r="L55" i="11" s="1"/>
  <c r="J53" i="14"/>
  <c r="J54" i="14"/>
  <c r="F124" i="2"/>
  <c r="F117" i="2" s="1"/>
  <c r="F118" i="2" s="1"/>
  <c r="E87" i="2"/>
  <c r="E80" i="2" s="1"/>
  <c r="E81" i="2" s="1"/>
  <c r="F16" i="8" s="1"/>
  <c r="B53" i="14"/>
  <c r="B54" i="14"/>
  <c r="C63" i="15"/>
  <c r="C66" i="15" s="1"/>
  <c r="O29" i="11"/>
  <c r="O40" i="11" s="1"/>
  <c r="P28" i="13"/>
  <c r="P38" i="13" s="1"/>
  <c r="K28" i="14"/>
  <c r="K38" i="14" s="1"/>
  <c r="N29" i="11"/>
  <c r="N40" i="11" s="1"/>
  <c r="F128" i="2"/>
  <c r="E124" i="2"/>
  <c r="E117" i="2" s="1"/>
  <c r="E118" i="2" s="1"/>
  <c r="C29" i="6"/>
  <c r="F235" i="1"/>
  <c r="C31" i="6"/>
  <c r="C30" i="6"/>
  <c r="C28" i="6"/>
  <c r="D38" i="12"/>
  <c r="D124" i="2"/>
  <c r="D117" i="2" s="1"/>
  <c r="C124" i="2"/>
  <c r="C117" i="2" s="1"/>
  <c r="C118" i="2" s="1"/>
  <c r="H29" i="11"/>
  <c r="H40" i="11" s="1"/>
  <c r="Q29" i="11"/>
  <c r="Q40" i="11" s="1"/>
  <c r="I28" i="13"/>
  <c r="I38" i="13" s="1"/>
  <c r="D87" i="2"/>
  <c r="D80" i="2" s="1"/>
  <c r="D77" i="2" s="1"/>
  <c r="D116" i="15"/>
  <c r="D119" i="15" s="1"/>
  <c r="D77" i="15"/>
  <c r="D80" i="15" s="1"/>
  <c r="C14" i="9"/>
  <c r="E128" i="2"/>
  <c r="F9" i="14"/>
  <c r="F65" i="1"/>
  <c r="F87" i="2"/>
  <c r="F80" i="2" s="1"/>
  <c r="F81" i="2" s="1"/>
  <c r="G16" i="8" s="1"/>
  <c r="C128" i="2"/>
  <c r="D9" i="13"/>
  <c r="D9" i="14"/>
  <c r="B52" i="12"/>
  <c r="B53" i="12"/>
  <c r="E9" i="13"/>
  <c r="D128" i="2"/>
  <c r="E9" i="14"/>
  <c r="C87" i="2"/>
  <c r="C80" i="2" s="1"/>
  <c r="G32" i="12"/>
  <c r="G33" i="13"/>
  <c r="G33" i="14"/>
  <c r="G35" i="11"/>
  <c r="D24" i="6"/>
  <c r="D41" i="11"/>
  <c r="H28" i="13"/>
  <c r="H38" i="13" s="1"/>
  <c r="N28" i="13"/>
  <c r="N38" i="13" s="1"/>
  <c r="O44" i="10"/>
  <c r="O46" i="10" s="1"/>
  <c r="I28" i="14"/>
  <c r="I38" i="14" s="1"/>
  <c r="EK52" i="7" l="1"/>
  <c r="EJ56" i="7"/>
  <c r="AG73" i="7"/>
  <c r="AF78" i="7"/>
  <c r="AF76" i="7"/>
  <c r="AF77" i="7"/>
  <c r="AF100" i="7"/>
  <c r="AF99" i="7"/>
  <c r="AF98" i="7"/>
  <c r="AG95" i="7"/>
  <c r="G9" i="13"/>
  <c r="M53" i="12"/>
  <c r="E8" i="11"/>
  <c r="E41" i="11" s="1"/>
  <c r="D10" i="2"/>
  <c r="D11" i="9"/>
  <c r="E8" i="12"/>
  <c r="E38" i="12" s="1"/>
  <c r="G18" i="8"/>
  <c r="F9" i="2"/>
  <c r="F18" i="8"/>
  <c r="E9" i="2"/>
  <c r="L44" i="10"/>
  <c r="L46" i="10" s="1"/>
  <c r="K44" i="10"/>
  <c r="K46" i="10" s="1"/>
  <c r="P54" i="14"/>
  <c r="C81" i="2"/>
  <c r="D16" i="8" s="1"/>
  <c r="C77" i="2"/>
  <c r="O52" i="12"/>
  <c r="M54" i="13"/>
  <c r="Q53" i="12"/>
  <c r="M44" i="10"/>
  <c r="M46" i="10" s="1"/>
  <c r="L54" i="14"/>
  <c r="P55" i="11"/>
  <c r="L53" i="12"/>
  <c r="N44" i="10"/>
  <c r="N46" i="10" s="1"/>
  <c r="Q44" i="10"/>
  <c r="Q46" i="10" s="1"/>
  <c r="Q53" i="13"/>
  <c r="O53" i="13"/>
  <c r="N53" i="12"/>
  <c r="K53" i="13"/>
  <c r="M54" i="14"/>
  <c r="O53" i="14"/>
  <c r="I54" i="11"/>
  <c r="K53" i="12"/>
  <c r="L54" i="11"/>
  <c r="P70" i="15"/>
  <c r="P91" i="15" s="1"/>
  <c r="P98" i="15" s="1"/>
  <c r="P40" i="10"/>
  <c r="P42" i="10" s="1"/>
  <c r="P44" i="10" s="1"/>
  <c r="P46" i="10" s="1"/>
  <c r="M54" i="11"/>
  <c r="I53" i="12"/>
  <c r="L53" i="13"/>
  <c r="P52" i="12"/>
  <c r="H54" i="14"/>
  <c r="N54" i="14"/>
  <c r="K55" i="11"/>
  <c r="H53" i="12"/>
  <c r="Q53" i="14"/>
  <c r="I53" i="15"/>
  <c r="I44" i="10"/>
  <c r="I46" i="10" s="1"/>
  <c r="E39" i="14"/>
  <c r="D39" i="13"/>
  <c r="D63" i="15"/>
  <c r="D66" i="15" s="1"/>
  <c r="Q54" i="11"/>
  <c r="Q55" i="11"/>
  <c r="B7" i="7"/>
  <c r="B54" i="7"/>
  <c r="G39" i="14"/>
  <c r="H54" i="11"/>
  <c r="H55" i="11"/>
  <c r="O55" i="11"/>
  <c r="O54" i="11"/>
  <c r="I54" i="14"/>
  <c r="I53" i="14"/>
  <c r="F82" i="2"/>
  <c r="H77" i="2"/>
  <c r="G34" i="10"/>
  <c r="F39" i="14"/>
  <c r="C119" i="2"/>
  <c r="C120" i="2" s="1"/>
  <c r="E39" i="13"/>
  <c r="B11" i="8"/>
  <c r="B38" i="10"/>
  <c r="B42" i="10" s="1"/>
  <c r="B53" i="15" s="1"/>
  <c r="C32" i="6"/>
  <c r="F77" i="2"/>
  <c r="F17" i="8"/>
  <c r="E34" i="10"/>
  <c r="N54" i="11"/>
  <c r="N55" i="11"/>
  <c r="N53" i="13"/>
  <c r="N54" i="13"/>
  <c r="B75" i="7"/>
  <c r="B18" i="7"/>
  <c r="H54" i="13"/>
  <c r="H53" i="13"/>
  <c r="D81" i="2"/>
  <c r="E16" i="8" s="1"/>
  <c r="B29" i="7"/>
  <c r="C29" i="7" s="1"/>
  <c r="C32" i="7" s="1"/>
  <c r="D29" i="7" s="1"/>
  <c r="D32" i="7" s="1"/>
  <c r="E29" i="7" s="1"/>
  <c r="B97" i="7"/>
  <c r="K53" i="14"/>
  <c r="K54" i="14"/>
  <c r="G77" i="2"/>
  <c r="E82" i="2"/>
  <c r="F34" i="10"/>
  <c r="G17" i="8"/>
  <c r="F39" i="13"/>
  <c r="D34" i="10"/>
  <c r="E77" i="2"/>
  <c r="E17" i="8"/>
  <c r="D39" i="14"/>
  <c r="I53" i="13"/>
  <c r="I54" i="13"/>
  <c r="D118" i="2"/>
  <c r="D119" i="2" s="1"/>
  <c r="D120" i="2" s="1"/>
  <c r="E119" i="2"/>
  <c r="E120" i="2" s="1"/>
  <c r="G39" i="13"/>
  <c r="P53" i="13"/>
  <c r="P54" i="13"/>
  <c r="F119" i="2"/>
  <c r="F120" i="2" s="1"/>
  <c r="AG100" i="7" l="1"/>
  <c r="AH95" i="7"/>
  <c r="AG99" i="7"/>
  <c r="AG98" i="7"/>
  <c r="AG77" i="7"/>
  <c r="AG76" i="7"/>
  <c r="AH73" i="7"/>
  <c r="AG78" i="7"/>
  <c r="EK56" i="7"/>
  <c r="EL52" i="7"/>
  <c r="C82" i="2"/>
  <c r="E10" i="2"/>
  <c r="F8" i="12"/>
  <c r="F38" i="12" s="1"/>
  <c r="F8" i="11"/>
  <c r="F41" i="11" s="1"/>
  <c r="E11" i="9"/>
  <c r="G8" i="12"/>
  <c r="G38" i="12" s="1"/>
  <c r="G8" i="11"/>
  <c r="G41" i="11" s="1"/>
  <c r="F10" i="2"/>
  <c r="F11" i="9"/>
  <c r="E77" i="15"/>
  <c r="E80" i="15" s="1"/>
  <c r="E116" i="15"/>
  <c r="E119" i="15" s="1"/>
  <c r="D14" i="9"/>
  <c r="E63" i="15" s="1"/>
  <c r="E66" i="15" s="1"/>
  <c r="P53" i="15"/>
  <c r="D82" i="2"/>
  <c r="C55" i="7"/>
  <c r="B59" i="7"/>
  <c r="C45" i="7"/>
  <c r="B60" i="7"/>
  <c r="B10" i="8"/>
  <c r="B13" i="8" s="1"/>
  <c r="B29" i="8" s="1"/>
  <c r="C7" i="7"/>
  <c r="B32" i="11"/>
  <c r="B30" i="13"/>
  <c r="B35" i="13" s="1"/>
  <c r="B38" i="13" s="1"/>
  <c r="C18" i="7"/>
  <c r="C21" i="7" s="1"/>
  <c r="D18" i="7" s="1"/>
  <c r="D21" i="7" s="1"/>
  <c r="E18" i="7" s="1"/>
  <c r="B103" i="7"/>
  <c r="B102" i="7"/>
  <c r="C88" i="7"/>
  <c r="C91" i="7" s="1"/>
  <c r="D88" i="7" s="1"/>
  <c r="D91" i="7" s="1"/>
  <c r="E88" i="7" s="1"/>
  <c r="B81" i="7"/>
  <c r="B80" i="7"/>
  <c r="C66" i="7"/>
  <c r="C69" i="7" s="1"/>
  <c r="D66" i="7" s="1"/>
  <c r="D69" i="7" s="1"/>
  <c r="E66" i="7" s="1"/>
  <c r="AI73" i="7" l="1"/>
  <c r="AH78" i="7"/>
  <c r="AH76" i="7"/>
  <c r="AH77" i="7"/>
  <c r="EM52" i="7"/>
  <c r="EL56" i="7"/>
  <c r="AI95" i="7"/>
  <c r="AH98" i="7"/>
  <c r="AH99" i="7"/>
  <c r="AH100" i="7"/>
  <c r="G77" i="15"/>
  <c r="G80" i="15" s="1"/>
  <c r="G116" i="15"/>
  <c r="G119" i="15" s="1"/>
  <c r="F14" i="9"/>
  <c r="G63" i="15" s="1"/>
  <c r="G66" i="15" s="1"/>
  <c r="F77" i="15"/>
  <c r="F80" i="15" s="1"/>
  <c r="F116" i="15"/>
  <c r="F119" i="15" s="1"/>
  <c r="E14" i="9"/>
  <c r="F63" i="15" s="1"/>
  <c r="F66" i="15" s="1"/>
  <c r="C56" i="7"/>
  <c r="B53" i="13"/>
  <c r="B54" i="13"/>
  <c r="B32" i="10"/>
  <c r="B35" i="10" s="1"/>
  <c r="B37" i="11"/>
  <c r="B40" i="11" s="1"/>
  <c r="C9" i="8"/>
  <c r="C13" i="8" s="1"/>
  <c r="B10" i="10"/>
  <c r="B13" i="10" s="1"/>
  <c r="AI99" i="7" l="1"/>
  <c r="AJ95" i="7"/>
  <c r="AI100" i="7"/>
  <c r="AI98" i="7"/>
  <c r="EN52" i="7"/>
  <c r="EM56" i="7"/>
  <c r="AJ73" i="7"/>
  <c r="AI76" i="7"/>
  <c r="AI78" i="7"/>
  <c r="AI77" i="7"/>
  <c r="C57" i="7"/>
  <c r="B32" i="15"/>
  <c r="B27" i="10"/>
  <c r="B12" i="15"/>
  <c r="B55" i="11"/>
  <c r="C38" i="10"/>
  <c r="B54" i="11"/>
  <c r="B26" i="15"/>
  <c r="B52" i="15"/>
  <c r="B55" i="15" s="1"/>
  <c r="B13" i="15"/>
  <c r="B19" i="15" s="1"/>
  <c r="B33" i="15" s="1"/>
  <c r="B44" i="10"/>
  <c r="B45" i="15"/>
  <c r="AJ99" i="7" l="1"/>
  <c r="AJ100" i="7"/>
  <c r="AK95" i="7"/>
  <c r="AJ98" i="7"/>
  <c r="AJ77" i="7"/>
  <c r="AJ78" i="7"/>
  <c r="AJ76" i="7"/>
  <c r="AK73" i="7"/>
  <c r="EO52" i="7"/>
  <c r="EN56" i="7"/>
  <c r="B35" i="15"/>
  <c r="D55" i="7"/>
  <c r="B25" i="15"/>
  <c r="B46" i="10"/>
  <c r="C106" i="15"/>
  <c r="C92" i="15"/>
  <c r="D38" i="10"/>
  <c r="B15" i="15"/>
  <c r="B18" i="15"/>
  <c r="B21" i="15" s="1"/>
  <c r="AK76" i="7" l="1"/>
  <c r="AL73" i="7"/>
  <c r="AK77" i="7"/>
  <c r="AK78" i="7"/>
  <c r="EO56" i="7"/>
  <c r="EP52" i="7"/>
  <c r="AK100" i="7"/>
  <c r="AL95" i="7"/>
  <c r="AK99" i="7"/>
  <c r="AK98" i="7"/>
  <c r="B28" i="15"/>
  <c r="B46" i="15"/>
  <c r="B48" i="15" s="1"/>
  <c r="E38" i="10"/>
  <c r="D106" i="15"/>
  <c r="D92" i="15"/>
  <c r="D56" i="7"/>
  <c r="AL100" i="7" l="1"/>
  <c r="AL98" i="7"/>
  <c r="E89" i="7" s="1"/>
  <c r="E30" i="7" s="1"/>
  <c r="AM95" i="7"/>
  <c r="AL99" i="7"/>
  <c r="E90" i="7" s="1"/>
  <c r="EP56" i="7"/>
  <c r="N47" i="7" s="1"/>
  <c r="EQ52" i="7"/>
  <c r="AL78" i="7"/>
  <c r="AL76" i="7"/>
  <c r="E67" i="7" s="1"/>
  <c r="E19" i="7" s="1"/>
  <c r="AL77" i="7"/>
  <c r="E68" i="7" s="1"/>
  <c r="AM73" i="7"/>
  <c r="D57" i="7"/>
  <c r="E106" i="15"/>
  <c r="F38" i="10"/>
  <c r="E92" i="15"/>
  <c r="AM77" i="7" l="1"/>
  <c r="AN73" i="7"/>
  <c r="AM78" i="7"/>
  <c r="AM76" i="7"/>
  <c r="ER52" i="7"/>
  <c r="EQ56" i="7"/>
  <c r="E31" i="7"/>
  <c r="E32" i="7" s="1"/>
  <c r="F29" i="7" s="1"/>
  <c r="E91" i="7"/>
  <c r="F88" i="7" s="1"/>
  <c r="E20" i="7"/>
  <c r="E21" i="7" s="1"/>
  <c r="F18" i="7" s="1"/>
  <c r="E69" i="7"/>
  <c r="F66" i="7" s="1"/>
  <c r="AM99" i="7"/>
  <c r="AN95" i="7"/>
  <c r="AM100" i="7"/>
  <c r="AM98" i="7"/>
  <c r="G38" i="10"/>
  <c r="F92" i="15"/>
  <c r="F106" i="15"/>
  <c r="E55" i="7"/>
  <c r="AN98" i="7" l="1"/>
  <c r="AN100" i="7"/>
  <c r="AO95" i="7"/>
  <c r="AN99" i="7"/>
  <c r="AN78" i="7"/>
  <c r="AO73" i="7"/>
  <c r="AN77" i="7"/>
  <c r="AN76" i="7"/>
  <c r="ER56" i="7"/>
  <c r="ES52" i="7"/>
  <c r="E56" i="7"/>
  <c r="G92" i="15"/>
  <c r="G106" i="15"/>
  <c r="ET52" i="7" l="1"/>
  <c r="ES56" i="7"/>
  <c r="AO98" i="7"/>
  <c r="AO99" i="7"/>
  <c r="AP95" i="7"/>
  <c r="AO100" i="7"/>
  <c r="AO77" i="7"/>
  <c r="AP73" i="7"/>
  <c r="AO78" i="7"/>
  <c r="AO76" i="7"/>
  <c r="E57" i="7"/>
  <c r="AP98" i="7" l="1"/>
  <c r="AQ95" i="7"/>
  <c r="AP100" i="7"/>
  <c r="AP99" i="7"/>
  <c r="ET56" i="7"/>
  <c r="EU52" i="7"/>
  <c r="AP76" i="7"/>
  <c r="AP78" i="7"/>
  <c r="AQ73" i="7"/>
  <c r="AP77" i="7"/>
  <c r="F55" i="7"/>
  <c r="AQ76" i="7" l="1"/>
  <c r="AQ78" i="7"/>
  <c r="AR73" i="7"/>
  <c r="AQ77" i="7"/>
  <c r="EV52" i="7"/>
  <c r="EU56" i="7"/>
  <c r="AQ100" i="7"/>
  <c r="AQ98" i="7"/>
  <c r="AQ99" i="7"/>
  <c r="AR95" i="7"/>
  <c r="F56" i="7"/>
  <c r="EW52" i="7" l="1"/>
  <c r="EV56" i="7"/>
  <c r="AR76" i="7"/>
  <c r="AR78" i="7"/>
  <c r="AS73" i="7"/>
  <c r="AR77" i="7"/>
  <c r="AR100" i="7"/>
  <c r="AR99" i="7"/>
  <c r="AS95" i="7"/>
  <c r="AR98" i="7"/>
  <c r="F57" i="7"/>
  <c r="AS100" i="7" l="1"/>
  <c r="AS99" i="7"/>
  <c r="AS98" i="7"/>
  <c r="AT95" i="7"/>
  <c r="AS76" i="7"/>
  <c r="AT73" i="7"/>
  <c r="AS78" i="7"/>
  <c r="AS77" i="7"/>
  <c r="EX52" i="7"/>
  <c r="EW56" i="7"/>
  <c r="G55" i="7"/>
  <c r="G56" i="7" s="1"/>
  <c r="AT76" i="7" l="1"/>
  <c r="AT78" i="7"/>
  <c r="AT77" i="7"/>
  <c r="AU73" i="7"/>
  <c r="AT99" i="7"/>
  <c r="AT100" i="7"/>
  <c r="AT98" i="7"/>
  <c r="AU95" i="7"/>
  <c r="EY52" i="7"/>
  <c r="EX56" i="7"/>
  <c r="G57" i="7"/>
  <c r="AU98" i="7" l="1"/>
  <c r="AV95" i="7"/>
  <c r="AU100" i="7"/>
  <c r="AU99" i="7"/>
  <c r="AU78" i="7"/>
  <c r="AV73" i="7"/>
  <c r="AU77" i="7"/>
  <c r="AU76" i="7"/>
  <c r="EY56" i="7"/>
  <c r="EZ52" i="7"/>
  <c r="H55" i="7"/>
  <c r="H56" i="7" s="1"/>
  <c r="H57" i="7" s="1"/>
  <c r="FA52" i="7" l="1"/>
  <c r="EZ56" i="7"/>
  <c r="AW73" i="7"/>
  <c r="AV78" i="7"/>
  <c r="AV77" i="7"/>
  <c r="AV76" i="7"/>
  <c r="AW95" i="7"/>
  <c r="AV99" i="7"/>
  <c r="AV100" i="7"/>
  <c r="AV98" i="7"/>
  <c r="I55" i="7"/>
  <c r="I56" i="7" s="1"/>
  <c r="I57" i="7" s="1"/>
  <c r="AW100" i="7" l="1"/>
  <c r="AW99" i="7"/>
  <c r="AW98" i="7"/>
  <c r="AX95" i="7"/>
  <c r="AW76" i="7"/>
  <c r="AW78" i="7"/>
  <c r="AW77" i="7"/>
  <c r="AX73" i="7"/>
  <c r="FA56" i="7"/>
  <c r="FB52" i="7"/>
  <c r="J55" i="7"/>
  <c r="J56" i="7" s="1"/>
  <c r="J57" i="7" s="1"/>
  <c r="FB56" i="7" l="1"/>
  <c r="O47" i="7" s="1"/>
  <c r="FC52" i="7"/>
  <c r="AY73" i="7"/>
  <c r="AX76" i="7"/>
  <c r="F67" i="7" s="1"/>
  <c r="F19" i="7" s="1"/>
  <c r="AX77" i="7"/>
  <c r="F68" i="7" s="1"/>
  <c r="AX78" i="7"/>
  <c r="AX100" i="7"/>
  <c r="AX98" i="7"/>
  <c r="F89" i="7" s="1"/>
  <c r="F30" i="7" s="1"/>
  <c r="AY95" i="7"/>
  <c r="AX99" i="7"/>
  <c r="F90" i="7" s="1"/>
  <c r="K55" i="7"/>
  <c r="K56" i="7" s="1"/>
  <c r="K57" i="7" s="1"/>
  <c r="F31" i="7" l="1"/>
  <c r="F32" i="7" s="1"/>
  <c r="G29" i="7" s="1"/>
  <c r="F91" i="7"/>
  <c r="G88" i="7" s="1"/>
  <c r="FD52" i="7"/>
  <c r="FC56" i="7"/>
  <c r="AZ95" i="7"/>
  <c r="AY100" i="7"/>
  <c r="AY98" i="7"/>
  <c r="AY99" i="7"/>
  <c r="F20" i="7"/>
  <c r="F21" i="7" s="1"/>
  <c r="G18" i="7" s="1"/>
  <c r="F69" i="7"/>
  <c r="G66" i="7" s="1"/>
  <c r="AY78" i="7"/>
  <c r="AY77" i="7"/>
  <c r="AZ73" i="7"/>
  <c r="AY76" i="7"/>
  <c r="L55" i="7"/>
  <c r="L56" i="7" s="1"/>
  <c r="L57" i="7" s="1"/>
  <c r="AZ78" i="7" l="1"/>
  <c r="BA73" i="7"/>
  <c r="AZ77" i="7"/>
  <c r="AZ76" i="7"/>
  <c r="AZ100" i="7"/>
  <c r="AZ99" i="7"/>
  <c r="AZ98" i="7"/>
  <c r="BA95" i="7"/>
  <c r="FE52" i="7"/>
  <c r="FD56" i="7"/>
  <c r="M55" i="7"/>
  <c r="M56" i="7" s="1"/>
  <c r="M57" i="7" s="1"/>
  <c r="BA99" i="7" l="1"/>
  <c r="BA98" i="7"/>
  <c r="BB95" i="7"/>
  <c r="BA100" i="7"/>
  <c r="BA78" i="7"/>
  <c r="BB73" i="7"/>
  <c r="BA76" i="7"/>
  <c r="BA77" i="7"/>
  <c r="FF52" i="7"/>
  <c r="FE56" i="7"/>
  <c r="N55" i="7"/>
  <c r="FF56" i="7" l="1"/>
  <c r="FG52" i="7"/>
  <c r="BB100" i="7"/>
  <c r="BC95" i="7"/>
  <c r="BB98" i="7"/>
  <c r="BB99" i="7"/>
  <c r="BB77" i="7"/>
  <c r="BB76" i="7"/>
  <c r="BC73" i="7"/>
  <c r="BB78" i="7"/>
  <c r="N56" i="7"/>
  <c r="C46" i="7"/>
  <c r="C8" i="7" s="1"/>
  <c r="B24" i="9" s="1"/>
  <c r="BD73" i="7" l="1"/>
  <c r="BC78" i="7"/>
  <c r="BC77" i="7"/>
  <c r="BC76" i="7"/>
  <c r="BC100" i="7"/>
  <c r="BC99" i="7"/>
  <c r="BD95" i="7"/>
  <c r="BC98" i="7"/>
  <c r="FG56" i="7"/>
  <c r="FH52" i="7"/>
  <c r="C47" i="7"/>
  <c r="N57" i="7"/>
  <c r="C12" i="12"/>
  <c r="C13" i="13"/>
  <c r="C12" i="11"/>
  <c r="C13" i="14"/>
  <c r="B25" i="9"/>
  <c r="B34" i="9" s="1"/>
  <c r="BD100" i="7" l="1"/>
  <c r="BE95" i="7"/>
  <c r="BD99" i="7"/>
  <c r="BD98" i="7"/>
  <c r="BE73" i="7"/>
  <c r="BD76" i="7"/>
  <c r="BD77" i="7"/>
  <c r="BD78" i="7"/>
  <c r="FI52" i="7"/>
  <c r="FH56" i="7"/>
  <c r="C25" i="8"/>
  <c r="C44" i="11"/>
  <c r="C27" i="11"/>
  <c r="C42" i="11"/>
  <c r="C13" i="11"/>
  <c r="C17" i="11" s="1"/>
  <c r="B35" i="9"/>
  <c r="C84" i="15"/>
  <c r="C87" i="15" s="1"/>
  <c r="B36" i="9"/>
  <c r="B40" i="9" s="1"/>
  <c r="C42" i="13"/>
  <c r="C27" i="13"/>
  <c r="C40" i="13"/>
  <c r="C14" i="13"/>
  <c r="C18" i="13" s="1"/>
  <c r="C42" i="14"/>
  <c r="C40" i="14"/>
  <c r="C27" i="14"/>
  <c r="C14" i="14"/>
  <c r="C18" i="14" s="1"/>
  <c r="C26" i="12"/>
  <c r="C39" i="12"/>
  <c r="C41" i="12"/>
  <c r="C13" i="12"/>
  <c r="C17" i="12" s="1"/>
  <c r="O55" i="7"/>
  <c r="C9" i="7"/>
  <c r="C48" i="7"/>
  <c r="D45" i="7" s="1"/>
  <c r="FI56" i="7" l="1"/>
  <c r="FJ52" i="7"/>
  <c r="BF73" i="7"/>
  <c r="BE77" i="7"/>
  <c r="BE78" i="7"/>
  <c r="BE76" i="7"/>
  <c r="BE98" i="7"/>
  <c r="BE100" i="7"/>
  <c r="BE99" i="7"/>
  <c r="BF95" i="7"/>
  <c r="C36" i="13"/>
  <c r="C38" i="11"/>
  <c r="C22" i="8" s="1"/>
  <c r="C27" i="8" s="1"/>
  <c r="C29" i="8" s="1"/>
  <c r="C10" i="7"/>
  <c r="B43" i="9"/>
  <c r="B42" i="9"/>
  <c r="O56" i="7"/>
  <c r="BG95" i="7" l="1"/>
  <c r="BF100" i="7"/>
  <c r="BF98" i="7"/>
  <c r="BF99" i="7"/>
  <c r="FK52" i="7"/>
  <c r="FJ56" i="7"/>
  <c r="BF76" i="7"/>
  <c r="BG73" i="7"/>
  <c r="BF77" i="7"/>
  <c r="BF78" i="7"/>
  <c r="B44" i="9"/>
  <c r="B45" i="9" s="1"/>
  <c r="O57" i="7"/>
  <c r="C33" i="10"/>
  <c r="C19" i="12"/>
  <c r="C20" i="13"/>
  <c r="C20" i="14"/>
  <c r="C19" i="11"/>
  <c r="D26" i="8"/>
  <c r="C32" i="10"/>
  <c r="D7" i="7"/>
  <c r="C31" i="10"/>
  <c r="C10" i="10"/>
  <c r="C13" i="10" s="1"/>
  <c r="D9" i="8"/>
  <c r="D13" i="8" s="1"/>
  <c r="BH73" i="7" l="1"/>
  <c r="BG77" i="7"/>
  <c r="BG78" i="7"/>
  <c r="BG76" i="7"/>
  <c r="FL52" i="7"/>
  <c r="FK56" i="7"/>
  <c r="BG98" i="7"/>
  <c r="BH95" i="7"/>
  <c r="BG100" i="7"/>
  <c r="BG99" i="7"/>
  <c r="C35" i="10"/>
  <c r="C26" i="15" s="1"/>
  <c r="B46" i="9"/>
  <c r="C39" i="10" s="1"/>
  <c r="C12" i="15"/>
  <c r="C27" i="10"/>
  <c r="C32" i="15"/>
  <c r="D20" i="12"/>
  <c r="C25" i="12"/>
  <c r="C21" i="12"/>
  <c r="C26" i="14"/>
  <c r="D21" i="14"/>
  <c r="C22" i="14"/>
  <c r="D21" i="13"/>
  <c r="C26" i="13"/>
  <c r="C22" i="13"/>
  <c r="P55" i="7"/>
  <c r="C26" i="11"/>
  <c r="D20" i="11"/>
  <c r="C22" i="11"/>
  <c r="C27" i="12" l="1"/>
  <c r="C37" i="12" s="1"/>
  <c r="C53" i="12" s="1"/>
  <c r="BH98" i="7"/>
  <c r="BI95" i="7"/>
  <c r="BH99" i="7"/>
  <c r="BH100" i="7"/>
  <c r="FM52" i="7"/>
  <c r="FL56" i="7"/>
  <c r="BI73" i="7"/>
  <c r="BH77" i="7"/>
  <c r="BH78" i="7"/>
  <c r="BH76" i="7"/>
  <c r="B47" i="9"/>
  <c r="C70" i="15" s="1"/>
  <c r="C28" i="14"/>
  <c r="C38" i="14" s="1"/>
  <c r="C54" i="14" s="1"/>
  <c r="C52" i="15"/>
  <c r="C45" i="15"/>
  <c r="C13" i="15"/>
  <c r="C19" i="15" s="1"/>
  <c r="C33" i="15" s="1"/>
  <c r="C35" i="15" s="1"/>
  <c r="C28" i="13"/>
  <c r="C38" i="13" s="1"/>
  <c r="C53" i="13" s="1"/>
  <c r="C18" i="15"/>
  <c r="C25" i="15"/>
  <c r="C99" i="15"/>
  <c r="P56" i="7"/>
  <c r="C29" i="11"/>
  <c r="C40" i="11" s="1"/>
  <c r="C52" i="12" l="1"/>
  <c r="BI99" i="7"/>
  <c r="BI100" i="7"/>
  <c r="BI98" i="7"/>
  <c r="BJ95" i="7"/>
  <c r="BI76" i="7"/>
  <c r="BI78" i="7"/>
  <c r="BJ73" i="7"/>
  <c r="BI77" i="7"/>
  <c r="FM56" i="7"/>
  <c r="FN52" i="7"/>
  <c r="C105" i="15"/>
  <c r="C108" i="15" s="1"/>
  <c r="C40" i="10"/>
  <c r="C42" i="10" s="1"/>
  <c r="C53" i="14"/>
  <c r="C21" i="15"/>
  <c r="C54" i="13"/>
  <c r="C15" i="15"/>
  <c r="P57" i="7"/>
  <c r="C73" i="15"/>
  <c r="C91" i="15"/>
  <c r="C55" i="11"/>
  <c r="C54" i="11"/>
  <c r="C28" i="15"/>
  <c r="C46" i="15"/>
  <c r="C48" i="15" s="1"/>
  <c r="FN56" i="7" l="1"/>
  <c r="P47" i="7" s="1"/>
  <c r="FO52" i="7"/>
  <c r="BJ100" i="7"/>
  <c r="BJ98" i="7"/>
  <c r="G89" i="7" s="1"/>
  <c r="G30" i="7" s="1"/>
  <c r="BJ99" i="7"/>
  <c r="G90" i="7" s="1"/>
  <c r="BK95" i="7"/>
  <c r="BJ77" i="7"/>
  <c r="G68" i="7" s="1"/>
  <c r="BJ76" i="7"/>
  <c r="G67" i="7" s="1"/>
  <c r="G19" i="7" s="1"/>
  <c r="BK73" i="7"/>
  <c r="BJ78" i="7"/>
  <c r="D41" i="10"/>
  <c r="Q55" i="7"/>
  <c r="C53" i="15"/>
  <c r="C55" i="15" s="1"/>
  <c r="C44" i="10"/>
  <c r="C46" i="10" s="1"/>
  <c r="C94" i="15"/>
  <c r="C98" i="15"/>
  <c r="C101" i="15" s="1"/>
  <c r="BK100" i="7" l="1"/>
  <c r="BL95" i="7"/>
  <c r="BK99" i="7"/>
  <c r="BK98" i="7"/>
  <c r="FP52" i="7"/>
  <c r="FO56" i="7"/>
  <c r="BK77" i="7"/>
  <c r="BK76" i="7"/>
  <c r="BL73" i="7"/>
  <c r="BK78" i="7"/>
  <c r="G20" i="7"/>
  <c r="G21" i="7" s="1"/>
  <c r="G69" i="7"/>
  <c r="H66" i="7" s="1"/>
  <c r="G31" i="7"/>
  <c r="G32" i="7" s="1"/>
  <c r="G91" i="7"/>
  <c r="H88" i="7" s="1"/>
  <c r="Q56" i="7"/>
  <c r="BL98" i="7" l="1"/>
  <c r="BL99" i="7"/>
  <c r="BM95" i="7"/>
  <c r="BL100" i="7"/>
  <c r="BL76" i="7"/>
  <c r="BM73" i="7"/>
  <c r="BL77" i="7"/>
  <c r="BL78" i="7"/>
  <c r="FP56" i="7"/>
  <c r="FQ52" i="7"/>
  <c r="Q57" i="7"/>
  <c r="FQ56" i="7" l="1"/>
  <c r="FR52" i="7"/>
  <c r="BN95" i="7"/>
  <c r="BM98" i="7"/>
  <c r="BM99" i="7"/>
  <c r="BM100" i="7"/>
  <c r="BM77" i="7"/>
  <c r="BM76" i="7"/>
  <c r="BN73" i="7"/>
  <c r="BM78" i="7"/>
  <c r="R55" i="7"/>
  <c r="FR56" i="7" l="1"/>
  <c r="FS52" i="7"/>
  <c r="BN78" i="7"/>
  <c r="BN76" i="7"/>
  <c r="BN77" i="7"/>
  <c r="BO73" i="7"/>
  <c r="BN98" i="7"/>
  <c r="BO95" i="7"/>
  <c r="BN100" i="7"/>
  <c r="BN99" i="7"/>
  <c r="R56" i="7"/>
  <c r="BO98" i="7" l="1"/>
  <c r="BP95" i="7"/>
  <c r="BO99" i="7"/>
  <c r="BO100" i="7"/>
  <c r="BO77" i="7"/>
  <c r="BP73" i="7"/>
  <c r="BO78" i="7"/>
  <c r="BO76" i="7"/>
  <c r="FT52" i="7"/>
  <c r="FS56" i="7"/>
  <c r="R57" i="7"/>
  <c r="FT56" i="7" l="1"/>
  <c r="FU52" i="7"/>
  <c r="BP78" i="7"/>
  <c r="BP76" i="7"/>
  <c r="BP77" i="7"/>
  <c r="BQ73" i="7"/>
  <c r="BQ95" i="7"/>
  <c r="BP99" i="7"/>
  <c r="BP98" i="7"/>
  <c r="BP100" i="7"/>
  <c r="S55" i="7"/>
  <c r="BQ99" i="7" l="1"/>
  <c r="BQ100" i="7"/>
  <c r="BR95" i="7"/>
  <c r="BQ98" i="7"/>
  <c r="BQ76" i="7"/>
  <c r="BQ78" i="7"/>
  <c r="BQ77" i="7"/>
  <c r="BR73" i="7"/>
  <c r="FV52" i="7"/>
  <c r="FU56" i="7"/>
  <c r="S56" i="7"/>
  <c r="BS73" i="7" l="1"/>
  <c r="BR76" i="7"/>
  <c r="BR78" i="7"/>
  <c r="BR77" i="7"/>
  <c r="FV56" i="7"/>
  <c r="FW52" i="7"/>
  <c r="BR98" i="7"/>
  <c r="BS95" i="7"/>
  <c r="BR99" i="7"/>
  <c r="BR100" i="7"/>
  <c r="S57" i="7"/>
  <c r="BS99" i="7" l="1"/>
  <c r="BS98" i="7"/>
  <c r="BT95" i="7"/>
  <c r="BS100" i="7"/>
  <c r="FW56" i="7"/>
  <c r="FX52" i="7"/>
  <c r="BS76" i="7"/>
  <c r="BS78" i="7"/>
  <c r="BT73" i="7"/>
  <c r="BS77" i="7"/>
  <c r="T55" i="7"/>
  <c r="T56" i="7" s="1"/>
  <c r="T57" i="7" s="1"/>
  <c r="FX56" i="7" l="1"/>
  <c r="FY52" i="7"/>
  <c r="BU73" i="7"/>
  <c r="BT76" i="7"/>
  <c r="BT78" i="7"/>
  <c r="BT77" i="7"/>
  <c r="BT98" i="7"/>
  <c r="BT99" i="7"/>
  <c r="BT100" i="7"/>
  <c r="BU95" i="7"/>
  <c r="U55" i="7"/>
  <c r="U56" i="7" s="1"/>
  <c r="U57" i="7" s="1"/>
  <c r="BU100" i="7" l="1"/>
  <c r="BU99" i="7"/>
  <c r="BU98" i="7"/>
  <c r="BV95" i="7"/>
  <c r="FY56" i="7"/>
  <c r="FZ52" i="7"/>
  <c r="FZ56" i="7" s="1"/>
  <c r="BU78" i="7"/>
  <c r="BU77" i="7"/>
  <c r="BV73" i="7"/>
  <c r="BU76" i="7"/>
  <c r="V55" i="7"/>
  <c r="V56" i="7" s="1"/>
  <c r="V57" i="7" s="1"/>
  <c r="Q47" i="7" l="1"/>
  <c r="BV100" i="7"/>
  <c r="BV98" i="7"/>
  <c r="H89" i="7" s="1"/>
  <c r="BW95" i="7"/>
  <c r="BV99" i="7"/>
  <c r="H90" i="7" s="1"/>
  <c r="H91" i="7" s="1"/>
  <c r="I88" i="7" s="1"/>
  <c r="BV77" i="7"/>
  <c r="H68" i="7" s="1"/>
  <c r="H69" i="7" s="1"/>
  <c r="I66" i="7" s="1"/>
  <c r="BW73" i="7"/>
  <c r="BV78" i="7"/>
  <c r="BV76" i="7"/>
  <c r="H67" i="7" s="1"/>
  <c r="W55" i="7"/>
  <c r="W56" i="7" s="1"/>
  <c r="W57" i="7" s="1"/>
  <c r="BX73" i="7" l="1"/>
  <c r="BW78" i="7"/>
  <c r="BW76" i="7"/>
  <c r="BW77" i="7"/>
  <c r="BX95" i="7"/>
  <c r="BW100" i="7"/>
  <c r="BW98" i="7"/>
  <c r="BW99" i="7"/>
  <c r="X55" i="7"/>
  <c r="X56" i="7" s="1"/>
  <c r="X57" i="7" s="1"/>
  <c r="BX100" i="7" l="1"/>
  <c r="BY95" i="7"/>
  <c r="BX98" i="7"/>
  <c r="BX99" i="7"/>
  <c r="BY73" i="7"/>
  <c r="BX76" i="7"/>
  <c r="BX78" i="7"/>
  <c r="BX77" i="7"/>
  <c r="Y55" i="7"/>
  <c r="Y56" i="7" s="1"/>
  <c r="Y57" i="7" s="1"/>
  <c r="BY78" i="7" l="1"/>
  <c r="BZ73" i="7"/>
  <c r="BY77" i="7"/>
  <c r="BY76" i="7"/>
  <c r="BZ95" i="7"/>
  <c r="BY98" i="7"/>
  <c r="BY100" i="7"/>
  <c r="BY99" i="7"/>
  <c r="Z55" i="7"/>
  <c r="CA73" i="7" l="1"/>
  <c r="BZ76" i="7"/>
  <c r="BZ78" i="7"/>
  <c r="BZ77" i="7"/>
  <c r="BZ98" i="7"/>
  <c r="BZ100" i="7"/>
  <c r="BZ99" i="7"/>
  <c r="CA95" i="7"/>
  <c r="Z56" i="7"/>
  <c r="D46" i="7"/>
  <c r="D8" i="7" s="1"/>
  <c r="C24" i="9" s="1"/>
  <c r="CA98" i="7" l="1"/>
  <c r="CB95" i="7"/>
  <c r="CA99" i="7"/>
  <c r="CA100" i="7"/>
  <c r="CA77" i="7"/>
  <c r="CB73" i="7"/>
  <c r="CA78" i="7"/>
  <c r="CA76" i="7"/>
  <c r="D12" i="12"/>
  <c r="D13" i="14"/>
  <c r="D12" i="11"/>
  <c r="D13" i="13"/>
  <c r="C25" i="9"/>
  <c r="C34" i="9" s="1"/>
  <c r="D47" i="7"/>
  <c r="Z57" i="7"/>
  <c r="CB77" i="7" l="1"/>
  <c r="CC73" i="7"/>
  <c r="CB76" i="7"/>
  <c r="CB78" i="7"/>
  <c r="CB100" i="7"/>
  <c r="CC95" i="7"/>
  <c r="CB98" i="7"/>
  <c r="CB99" i="7"/>
  <c r="D9" i="7"/>
  <c r="D48" i="7"/>
  <c r="E45" i="7" s="1"/>
  <c r="D84" i="15"/>
  <c r="D87" i="15" s="1"/>
  <c r="C35" i="9"/>
  <c r="C36" i="9"/>
  <c r="C40" i="9" s="1"/>
  <c r="D27" i="13"/>
  <c r="D40" i="13"/>
  <c r="D42" i="13"/>
  <c r="D14" i="13"/>
  <c r="D18" i="13" s="1"/>
  <c r="D25" i="8"/>
  <c r="D27" i="11"/>
  <c r="D42" i="11"/>
  <c r="D44" i="11"/>
  <c r="D13" i="11"/>
  <c r="D17" i="11" s="1"/>
  <c r="D27" i="14"/>
  <c r="D40" i="14"/>
  <c r="D42" i="14"/>
  <c r="D14" i="14"/>
  <c r="D18" i="14" s="1"/>
  <c r="AA55" i="7"/>
  <c r="D26" i="12"/>
  <c r="D39" i="12"/>
  <c r="D41" i="12"/>
  <c r="D13" i="12"/>
  <c r="D17" i="12" s="1"/>
  <c r="CC98" i="7" l="1"/>
  <c r="CC100" i="7"/>
  <c r="CC99" i="7"/>
  <c r="CD95" i="7"/>
  <c r="CC77" i="7"/>
  <c r="CD73" i="7"/>
  <c r="CC76" i="7"/>
  <c r="CC78" i="7"/>
  <c r="C43" i="9"/>
  <c r="C42" i="9"/>
  <c r="AA56" i="7"/>
  <c r="D38" i="11"/>
  <c r="D22" i="8" s="1"/>
  <c r="D27" i="8" s="1"/>
  <c r="D29" i="8" s="1"/>
  <c r="D36" i="13"/>
  <c r="D10" i="7"/>
  <c r="CD77" i="7" l="1"/>
  <c r="CD78" i="7"/>
  <c r="CE73" i="7"/>
  <c r="CD76" i="7"/>
  <c r="CE95" i="7"/>
  <c r="CD99" i="7"/>
  <c r="CD98" i="7"/>
  <c r="CD100" i="7"/>
  <c r="C44" i="9"/>
  <c r="C46" i="9" s="1"/>
  <c r="E7" i="7"/>
  <c r="D32" i="10"/>
  <c r="AA57" i="7"/>
  <c r="E9" i="8"/>
  <c r="E13" i="8" s="1"/>
  <c r="D10" i="10"/>
  <c r="D13" i="10" s="1"/>
  <c r="D31" i="10"/>
  <c r="D19" i="11"/>
  <c r="D19" i="12"/>
  <c r="E26" i="8"/>
  <c r="D20" i="14"/>
  <c r="D33" i="10"/>
  <c r="D20" i="13"/>
  <c r="CE99" i="7" l="1"/>
  <c r="CE100" i="7"/>
  <c r="CF95" i="7"/>
  <c r="CE98" i="7"/>
  <c r="CE76" i="7"/>
  <c r="CF73" i="7"/>
  <c r="CE77" i="7"/>
  <c r="CE78" i="7"/>
  <c r="C45" i="9"/>
  <c r="D39" i="10" s="1"/>
  <c r="E21" i="13"/>
  <c r="D26" i="13"/>
  <c r="D22" i="13"/>
  <c r="E21" i="14"/>
  <c r="D26" i="14"/>
  <c r="D22" i="14"/>
  <c r="D26" i="11"/>
  <c r="E20" i="11"/>
  <c r="D22" i="11"/>
  <c r="D35" i="10"/>
  <c r="AB55" i="7"/>
  <c r="D25" i="12"/>
  <c r="E20" i="12"/>
  <c r="D21" i="12"/>
  <c r="D32" i="15"/>
  <c r="D12" i="15"/>
  <c r="D27" i="10"/>
  <c r="CF78" i="7" l="1"/>
  <c r="CF76" i="7"/>
  <c r="CG73" i="7"/>
  <c r="CF77" i="7"/>
  <c r="CF98" i="7"/>
  <c r="CG95" i="7"/>
  <c r="CF100" i="7"/>
  <c r="CF99" i="7"/>
  <c r="D28" i="13"/>
  <c r="D38" i="13" s="1"/>
  <c r="D53" i="13" s="1"/>
  <c r="D27" i="12"/>
  <c r="D37" i="12" s="1"/>
  <c r="D52" i="12" s="1"/>
  <c r="D28" i="14"/>
  <c r="D38" i="14" s="1"/>
  <c r="D53" i="14" s="1"/>
  <c r="C47" i="9"/>
  <c r="D29" i="11"/>
  <c r="D40" i="11" s="1"/>
  <c r="D55" i="11" s="1"/>
  <c r="D99" i="15"/>
  <c r="D25" i="15"/>
  <c r="D45" i="15"/>
  <c r="D52" i="15"/>
  <c r="D26" i="15"/>
  <c r="D13" i="15"/>
  <c r="D19" i="15" s="1"/>
  <c r="D33" i="15" s="1"/>
  <c r="D35" i="15" s="1"/>
  <c r="D18" i="15"/>
  <c r="AB56" i="7"/>
  <c r="CG98" i="7" l="1"/>
  <c r="CG100" i="7"/>
  <c r="CG99" i="7"/>
  <c r="CH95" i="7"/>
  <c r="CG78" i="7"/>
  <c r="CH73" i="7"/>
  <c r="CG77" i="7"/>
  <c r="CG76" i="7"/>
  <c r="D54" i="13"/>
  <c r="D53" i="12"/>
  <c r="D54" i="11"/>
  <c r="D54" i="14"/>
  <c r="D40" i="10"/>
  <c r="D70" i="15"/>
  <c r="D105" i="15"/>
  <c r="D108" i="15" s="1"/>
  <c r="AB57" i="7"/>
  <c r="D21" i="15"/>
  <c r="D28" i="15"/>
  <c r="D46" i="15"/>
  <c r="D48" i="15" s="1"/>
  <c r="D15" i="15"/>
  <c r="CH78" i="7" l="1"/>
  <c r="CH76" i="7"/>
  <c r="I67" i="7" s="1"/>
  <c r="CH77" i="7"/>
  <c r="I68" i="7" s="1"/>
  <c r="I69" i="7" s="1"/>
  <c r="J66" i="7" s="1"/>
  <c r="CI73" i="7"/>
  <c r="CI95" i="7"/>
  <c r="CH100" i="7"/>
  <c r="CH99" i="7"/>
  <c r="I90" i="7" s="1"/>
  <c r="I91" i="7" s="1"/>
  <c r="J88" i="7" s="1"/>
  <c r="CH98" i="7"/>
  <c r="I89" i="7" s="1"/>
  <c r="E41" i="10"/>
  <c r="D42" i="10"/>
  <c r="D91" i="15"/>
  <c r="D73" i="15"/>
  <c r="AC55" i="7"/>
  <c r="CJ73" i="7" l="1"/>
  <c r="CI77" i="7"/>
  <c r="CI76" i="7"/>
  <c r="CI78" i="7"/>
  <c r="CI98" i="7"/>
  <c r="CJ95" i="7"/>
  <c r="CI99" i="7"/>
  <c r="CI100" i="7"/>
  <c r="D94" i="15"/>
  <c r="D98" i="15"/>
  <c r="D101" i="15" s="1"/>
  <c r="D53" i="15"/>
  <c r="D55" i="15" s="1"/>
  <c r="D44" i="10"/>
  <c r="D46" i="10" s="1"/>
  <c r="AC56" i="7"/>
  <c r="CJ99" i="7" l="1"/>
  <c r="CK95" i="7"/>
  <c r="CJ100" i="7"/>
  <c r="CJ98" i="7"/>
  <c r="CK73" i="7"/>
  <c r="CJ76" i="7"/>
  <c r="CJ78" i="7"/>
  <c r="CJ77" i="7"/>
  <c r="AC57" i="7"/>
  <c r="CK76" i="7" l="1"/>
  <c r="CK77" i="7"/>
  <c r="CL73" i="7"/>
  <c r="CK78" i="7"/>
  <c r="CK100" i="7"/>
  <c r="CK98" i="7"/>
  <c r="CL95" i="7"/>
  <c r="CK99" i="7"/>
  <c r="AD55" i="7"/>
  <c r="CL100" i="7" l="1"/>
  <c r="CL98" i="7"/>
  <c r="CM95" i="7"/>
  <c r="CL99" i="7"/>
  <c r="CL77" i="7"/>
  <c r="CM73" i="7"/>
  <c r="CL78" i="7"/>
  <c r="CL76" i="7"/>
  <c r="AD56" i="7"/>
  <c r="CM77" i="7" l="1"/>
  <c r="CM76" i="7"/>
  <c r="CM78" i="7"/>
  <c r="CN73" i="7"/>
  <c r="CM98" i="7"/>
  <c r="CN95" i="7"/>
  <c r="CM99" i="7"/>
  <c r="CM100" i="7"/>
  <c r="AD57" i="7"/>
  <c r="CO95" i="7" l="1"/>
  <c r="CN100" i="7"/>
  <c r="CN99" i="7"/>
  <c r="CN98" i="7"/>
  <c r="CN76" i="7"/>
  <c r="CN78" i="7"/>
  <c r="CO73" i="7"/>
  <c r="CN77" i="7"/>
  <c r="AE55" i="7"/>
  <c r="CO76" i="7" l="1"/>
  <c r="CO77" i="7"/>
  <c r="CO78" i="7"/>
  <c r="CP73" i="7"/>
  <c r="CO100" i="7"/>
  <c r="CP95" i="7"/>
  <c r="CO99" i="7"/>
  <c r="CO98" i="7"/>
  <c r="AE56" i="7"/>
  <c r="CQ95" i="7" l="1"/>
  <c r="CP100" i="7"/>
  <c r="CP98" i="7"/>
  <c r="CP99" i="7"/>
  <c r="CP78" i="7"/>
  <c r="CP77" i="7"/>
  <c r="CQ73" i="7"/>
  <c r="CP76" i="7"/>
  <c r="AE57" i="7"/>
  <c r="CQ77" i="7" l="1"/>
  <c r="CQ76" i="7"/>
  <c r="CR73" i="7"/>
  <c r="CQ78" i="7"/>
  <c r="CQ99" i="7"/>
  <c r="CQ100" i="7"/>
  <c r="CR95" i="7"/>
  <c r="CQ98" i="7"/>
  <c r="AF55" i="7"/>
  <c r="AF56" i="7" s="1"/>
  <c r="AF57" i="7" s="1"/>
  <c r="CR100" i="7" l="1"/>
  <c r="CR99" i="7"/>
  <c r="CR98" i="7"/>
  <c r="CS95" i="7"/>
  <c r="CS73" i="7"/>
  <c r="CR76" i="7"/>
  <c r="CR78" i="7"/>
  <c r="CR77" i="7"/>
  <c r="AG55" i="7"/>
  <c r="AG56" i="7" s="1"/>
  <c r="AG57" i="7" s="1"/>
  <c r="CS100" i="7" l="1"/>
  <c r="CT95" i="7"/>
  <c r="CS99" i="7"/>
  <c r="CS98" i="7"/>
  <c r="CT73" i="7"/>
  <c r="CS77" i="7"/>
  <c r="CS78" i="7"/>
  <c r="CS76" i="7"/>
  <c r="AH55" i="7"/>
  <c r="AH56" i="7" s="1"/>
  <c r="AH57" i="7" s="1"/>
  <c r="CT100" i="7" l="1"/>
  <c r="CT98" i="7"/>
  <c r="J89" i="7" s="1"/>
  <c r="CU95" i="7"/>
  <c r="CT99" i="7"/>
  <c r="J90" i="7" s="1"/>
  <c r="J91" i="7" s="1"/>
  <c r="K88" i="7" s="1"/>
  <c r="CT76" i="7"/>
  <c r="J67" i="7" s="1"/>
  <c r="CU73" i="7"/>
  <c r="CT77" i="7"/>
  <c r="J68" i="7" s="1"/>
  <c r="J69" i="7" s="1"/>
  <c r="K66" i="7" s="1"/>
  <c r="CT78" i="7"/>
  <c r="AI55" i="7"/>
  <c r="AI56" i="7" s="1"/>
  <c r="AI57" i="7" s="1"/>
  <c r="CU77" i="7" l="1"/>
  <c r="CU78" i="7"/>
  <c r="CV73" i="7"/>
  <c r="CU76" i="7"/>
  <c r="CU98" i="7"/>
  <c r="CU99" i="7"/>
  <c r="CV95" i="7"/>
  <c r="CU100" i="7"/>
  <c r="AJ55" i="7"/>
  <c r="AJ56" i="7" s="1"/>
  <c r="AJ57" i="7" s="1"/>
  <c r="CW95" i="7" l="1"/>
  <c r="CV100" i="7"/>
  <c r="CV99" i="7"/>
  <c r="CV98" i="7"/>
  <c r="CV76" i="7"/>
  <c r="CW73" i="7"/>
  <c r="CV78" i="7"/>
  <c r="CV77" i="7"/>
  <c r="AK55" i="7"/>
  <c r="AK56" i="7" s="1"/>
  <c r="AK57" i="7" s="1"/>
  <c r="CX73" i="7" l="1"/>
  <c r="CW78" i="7"/>
  <c r="CW76" i="7"/>
  <c r="CW77" i="7"/>
  <c r="CW99" i="7"/>
  <c r="CW100" i="7"/>
  <c r="CX95" i="7"/>
  <c r="CW98" i="7"/>
  <c r="AL55" i="7"/>
  <c r="CX99" i="7" l="1"/>
  <c r="CY95" i="7"/>
  <c r="CX98" i="7"/>
  <c r="CX100" i="7"/>
  <c r="CX77" i="7"/>
  <c r="CX78" i="7"/>
  <c r="CY73" i="7"/>
  <c r="CX76" i="7"/>
  <c r="AL56" i="7"/>
  <c r="E46" i="7"/>
  <c r="E8" i="7" s="1"/>
  <c r="D24" i="9" s="1"/>
  <c r="CY77" i="7" l="1"/>
  <c r="CY78" i="7"/>
  <c r="CZ73" i="7"/>
  <c r="CY76" i="7"/>
  <c r="CY99" i="7"/>
  <c r="CY100" i="7"/>
  <c r="CZ95" i="7"/>
  <c r="CY98" i="7"/>
  <c r="E12" i="12"/>
  <c r="E13" i="13"/>
  <c r="E13" i="14"/>
  <c r="E12" i="11"/>
  <c r="D25" i="9"/>
  <c r="D34" i="9" s="1"/>
  <c r="E47" i="7"/>
  <c r="AL57" i="7"/>
  <c r="CZ100" i="7" l="1"/>
  <c r="CZ98" i="7"/>
  <c r="CZ99" i="7"/>
  <c r="DA95" i="7"/>
  <c r="CZ78" i="7"/>
  <c r="CZ77" i="7"/>
  <c r="CZ76" i="7"/>
  <c r="DA73" i="7"/>
  <c r="E44" i="11"/>
  <c r="E42" i="11"/>
  <c r="E27" i="11"/>
  <c r="E25" i="8"/>
  <c r="E13" i="11"/>
  <c r="E17" i="11" s="1"/>
  <c r="AM55" i="7"/>
  <c r="E9" i="7"/>
  <c r="E48" i="7"/>
  <c r="F45" i="7" s="1"/>
  <c r="D35" i="9"/>
  <c r="E84" i="15"/>
  <c r="E87" i="15" s="1"/>
  <c r="D36" i="9"/>
  <c r="D40" i="9" s="1"/>
  <c r="E40" i="14"/>
  <c r="E42" i="14"/>
  <c r="E27" i="14"/>
  <c r="E14" i="14"/>
  <c r="E18" i="14" s="1"/>
  <c r="E40" i="13"/>
  <c r="E42" i="13"/>
  <c r="E27" i="13"/>
  <c r="E14" i="13"/>
  <c r="E18" i="13" s="1"/>
  <c r="E26" i="12"/>
  <c r="E39" i="12"/>
  <c r="E41" i="12"/>
  <c r="E13" i="12"/>
  <c r="E17" i="12" s="1"/>
  <c r="DB73" i="7" l="1"/>
  <c r="DA77" i="7"/>
  <c r="DA76" i="7"/>
  <c r="DA78" i="7"/>
  <c r="DA99" i="7"/>
  <c r="DA100" i="7"/>
  <c r="DB95" i="7"/>
  <c r="DA98" i="7"/>
  <c r="D43" i="9"/>
  <c r="D42" i="9"/>
  <c r="E38" i="11"/>
  <c r="E22" i="8" s="1"/>
  <c r="E27" i="8" s="1"/>
  <c r="E29" i="8" s="1"/>
  <c r="E36" i="13"/>
  <c r="E10" i="7"/>
  <c r="AM56" i="7"/>
  <c r="DB100" i="7" l="1"/>
  <c r="DC95" i="7"/>
  <c r="DB99" i="7"/>
  <c r="DB98" i="7"/>
  <c r="DC73" i="7"/>
  <c r="DB77" i="7"/>
  <c r="DB76" i="7"/>
  <c r="DB78" i="7"/>
  <c r="D44" i="9"/>
  <c r="D46" i="9" s="1"/>
  <c r="F7" i="7"/>
  <c r="E32" i="10"/>
  <c r="E31" i="10"/>
  <c r="F9" i="8"/>
  <c r="F13" i="8" s="1"/>
  <c r="E10" i="10"/>
  <c r="E13" i="10" s="1"/>
  <c r="E20" i="14"/>
  <c r="E20" i="13"/>
  <c r="F26" i="8"/>
  <c r="E19" i="12"/>
  <c r="E19" i="11"/>
  <c r="E33" i="10"/>
  <c r="AM57" i="7"/>
  <c r="DD73" i="7" l="1"/>
  <c r="DC77" i="7"/>
  <c r="DC78" i="7"/>
  <c r="DC76" i="7"/>
  <c r="DC100" i="7"/>
  <c r="DC99" i="7"/>
  <c r="DD95" i="7"/>
  <c r="DC98" i="7"/>
  <c r="D45" i="9"/>
  <c r="E39" i="10" s="1"/>
  <c r="E35" i="10"/>
  <c r="E52" i="15" s="1"/>
  <c r="F20" i="11"/>
  <c r="E26" i="11"/>
  <c r="E22" i="11"/>
  <c r="E12" i="15"/>
  <c r="E32" i="15"/>
  <c r="E27" i="10"/>
  <c r="F21" i="13"/>
  <c r="E26" i="13"/>
  <c r="E22" i="13"/>
  <c r="AN55" i="7"/>
  <c r="F20" i="12"/>
  <c r="E25" i="12"/>
  <c r="E21" i="12"/>
  <c r="E26" i="14"/>
  <c r="F21" i="14"/>
  <c r="E22" i="14"/>
  <c r="DD98" i="7" l="1"/>
  <c r="DD100" i="7"/>
  <c r="DD99" i="7"/>
  <c r="DE95" i="7"/>
  <c r="DD78" i="7"/>
  <c r="DE73" i="7"/>
  <c r="DD77" i="7"/>
  <c r="DD76" i="7"/>
  <c r="E13" i="15"/>
  <c r="E19" i="15" s="1"/>
  <c r="E33" i="15" s="1"/>
  <c r="E35" i="15" s="1"/>
  <c r="E26" i="15"/>
  <c r="E45" i="15"/>
  <c r="D47" i="9"/>
  <c r="E40" i="10" s="1"/>
  <c r="E27" i="12"/>
  <c r="E37" i="12" s="1"/>
  <c r="E52" i="12" s="1"/>
  <c r="E28" i="13"/>
  <c r="E38" i="13" s="1"/>
  <c r="E54" i="13" s="1"/>
  <c r="E18" i="15"/>
  <c r="AN56" i="7"/>
  <c r="E29" i="11"/>
  <c r="E40" i="11" s="1"/>
  <c r="E99" i="15"/>
  <c r="E25" i="15"/>
  <c r="E28" i="14"/>
  <c r="E38" i="14" s="1"/>
  <c r="DE77" i="7" l="1"/>
  <c r="DF73" i="7"/>
  <c r="DE78" i="7"/>
  <c r="DE76" i="7"/>
  <c r="DE99" i="7"/>
  <c r="DE98" i="7"/>
  <c r="DF95" i="7"/>
  <c r="DE100" i="7"/>
  <c r="E15" i="15"/>
  <c r="E21" i="15"/>
  <c r="E105" i="15"/>
  <c r="E108" i="15" s="1"/>
  <c r="E70" i="15"/>
  <c r="E73" i="15" s="1"/>
  <c r="E53" i="12"/>
  <c r="E53" i="13"/>
  <c r="E53" i="14"/>
  <c r="E54" i="14"/>
  <c r="AN57" i="7"/>
  <c r="E28" i="15"/>
  <c r="E46" i="15"/>
  <c r="E48" i="15" s="1"/>
  <c r="E55" i="11"/>
  <c r="E54" i="11"/>
  <c r="F41" i="10"/>
  <c r="E42" i="10"/>
  <c r="DF77" i="7" l="1"/>
  <c r="K68" i="7" s="1"/>
  <c r="K69" i="7" s="1"/>
  <c r="L66" i="7" s="1"/>
  <c r="DG73" i="7"/>
  <c r="DF78" i="7"/>
  <c r="DF76" i="7"/>
  <c r="K67" i="7" s="1"/>
  <c r="DF100" i="7"/>
  <c r="DF98" i="7"/>
  <c r="K89" i="7" s="1"/>
  <c r="DF99" i="7"/>
  <c r="K90" i="7" s="1"/>
  <c r="K91" i="7" s="1"/>
  <c r="L88" i="7" s="1"/>
  <c r="DG95" i="7"/>
  <c r="E91" i="15"/>
  <c r="E98" i="15" s="1"/>
  <c r="E101" i="15" s="1"/>
  <c r="E53" i="15"/>
  <c r="E55" i="15" s="1"/>
  <c r="E44" i="10"/>
  <c r="E46" i="10" s="1"/>
  <c r="AO55" i="7"/>
  <c r="DG100" i="7" l="1"/>
  <c r="DH95" i="7"/>
  <c r="DG98" i="7"/>
  <c r="DG99" i="7"/>
  <c r="DG77" i="7"/>
  <c r="DG76" i="7"/>
  <c r="DH73" i="7"/>
  <c r="DG78" i="7"/>
  <c r="E94" i="15"/>
  <c r="AO56" i="7"/>
  <c r="DH100" i="7" l="1"/>
  <c r="DH98" i="7"/>
  <c r="DI95" i="7"/>
  <c r="DH99" i="7"/>
  <c r="DH76" i="7"/>
  <c r="DH78" i="7"/>
  <c r="DI73" i="7"/>
  <c r="DH77" i="7"/>
  <c r="AO57" i="7"/>
  <c r="DI76" i="7" l="1"/>
  <c r="DJ73" i="7"/>
  <c r="DI77" i="7"/>
  <c r="DI78" i="7"/>
  <c r="DI98" i="7"/>
  <c r="DI99" i="7"/>
  <c r="DI100" i="7"/>
  <c r="DJ95" i="7"/>
  <c r="AP55" i="7"/>
  <c r="DJ98" i="7" l="1"/>
  <c r="DJ99" i="7"/>
  <c r="DJ100" i="7"/>
  <c r="DK95" i="7"/>
  <c r="DJ78" i="7"/>
  <c r="DK73" i="7"/>
  <c r="DJ77" i="7"/>
  <c r="DJ76" i="7"/>
  <c r="AP56" i="7"/>
  <c r="DL73" i="7" l="1"/>
  <c r="DK78" i="7"/>
  <c r="DK76" i="7"/>
  <c r="DK77" i="7"/>
  <c r="DK100" i="7"/>
  <c r="DL95" i="7"/>
  <c r="DK98" i="7"/>
  <c r="DK99" i="7"/>
  <c r="AP57" i="7"/>
  <c r="DM73" i="7" l="1"/>
  <c r="DL76" i="7"/>
  <c r="DL78" i="7"/>
  <c r="DL77" i="7"/>
  <c r="DL98" i="7"/>
  <c r="DL99" i="7"/>
  <c r="DM95" i="7"/>
  <c r="DL100" i="7"/>
  <c r="AQ55" i="7"/>
  <c r="DN95" i="7" l="1"/>
  <c r="DM99" i="7"/>
  <c r="DM98" i="7"/>
  <c r="DM100" i="7"/>
  <c r="DM76" i="7"/>
  <c r="DM78" i="7"/>
  <c r="DN73" i="7"/>
  <c r="DM77" i="7"/>
  <c r="AQ56" i="7"/>
  <c r="DN78" i="7" l="1"/>
  <c r="DN76" i="7"/>
  <c r="DN77" i="7"/>
  <c r="DO73" i="7"/>
  <c r="DN98" i="7"/>
  <c r="DN99" i="7"/>
  <c r="DN100" i="7"/>
  <c r="DO95" i="7"/>
  <c r="AQ57" i="7"/>
  <c r="DO99" i="7" l="1"/>
  <c r="DP95" i="7"/>
  <c r="DO100" i="7"/>
  <c r="DO98" i="7"/>
  <c r="DO77" i="7"/>
  <c r="DP73" i="7"/>
  <c r="DO78" i="7"/>
  <c r="DO76" i="7"/>
  <c r="AR55" i="7"/>
  <c r="AR56" i="7" s="1"/>
  <c r="AR57" i="7" s="1"/>
  <c r="DP77" i="7" l="1"/>
  <c r="DP76" i="7"/>
  <c r="DP78" i="7"/>
  <c r="DQ73" i="7"/>
  <c r="DQ95" i="7"/>
  <c r="DP99" i="7"/>
  <c r="DP100" i="7"/>
  <c r="DP98" i="7"/>
  <c r="AS55" i="7"/>
  <c r="AS56" i="7" s="1"/>
  <c r="AS57" i="7" s="1"/>
  <c r="DR73" i="7" l="1"/>
  <c r="DQ78" i="7"/>
  <c r="DQ77" i="7"/>
  <c r="DQ76" i="7"/>
  <c r="DR95" i="7"/>
  <c r="DQ100" i="7"/>
  <c r="DQ99" i="7"/>
  <c r="DQ98" i="7"/>
  <c r="AT55" i="7"/>
  <c r="AT56" i="7" s="1"/>
  <c r="AT57" i="7" s="1"/>
  <c r="DR98" i="7" l="1"/>
  <c r="L89" i="7" s="1"/>
  <c r="DR99" i="7"/>
  <c r="L90" i="7" s="1"/>
  <c r="L91" i="7" s="1"/>
  <c r="M88" i="7" s="1"/>
  <c r="DS95" i="7"/>
  <c r="DR100" i="7"/>
  <c r="DS73" i="7"/>
  <c r="DR76" i="7"/>
  <c r="L67" i="7" s="1"/>
  <c r="DR78" i="7"/>
  <c r="DR77" i="7"/>
  <c r="L68" i="7" s="1"/>
  <c r="L69" i="7" s="1"/>
  <c r="M66" i="7" s="1"/>
  <c r="AU55" i="7"/>
  <c r="AU56" i="7" s="1"/>
  <c r="AU57" i="7" s="1"/>
  <c r="DS78" i="7" l="1"/>
  <c r="DS76" i="7"/>
  <c r="DS77" i="7"/>
  <c r="DT73" i="7"/>
  <c r="DT95" i="7"/>
  <c r="DS98" i="7"/>
  <c r="DS99" i="7"/>
  <c r="DS100" i="7"/>
  <c r="AV55" i="7"/>
  <c r="AV56" i="7" s="1"/>
  <c r="AV57" i="7" s="1"/>
  <c r="DU73" i="7" l="1"/>
  <c r="DT77" i="7"/>
  <c r="DT76" i="7"/>
  <c r="DT78" i="7"/>
  <c r="DT98" i="7"/>
  <c r="DT100" i="7"/>
  <c r="DT99" i="7"/>
  <c r="DU95" i="7"/>
  <c r="AW55" i="7"/>
  <c r="AW56" i="7" s="1"/>
  <c r="AW57" i="7" s="1"/>
  <c r="DU76" i="7" l="1"/>
  <c r="DU78" i="7"/>
  <c r="DU77" i="7"/>
  <c r="DV73" i="7"/>
  <c r="DV95" i="7"/>
  <c r="DU99" i="7"/>
  <c r="DU98" i="7"/>
  <c r="DU100" i="7"/>
  <c r="AX55" i="7"/>
  <c r="DV77" i="7" l="1"/>
  <c r="DV76" i="7"/>
  <c r="DW73" i="7"/>
  <c r="DV78" i="7"/>
  <c r="DV100" i="7"/>
  <c r="DV99" i="7"/>
  <c r="DV98" i="7"/>
  <c r="DW95" i="7"/>
  <c r="AX56" i="7"/>
  <c r="F46" i="7"/>
  <c r="F8" i="7" s="1"/>
  <c r="E24" i="9" s="1"/>
  <c r="DX95" i="7" l="1"/>
  <c r="DW98" i="7"/>
  <c r="DW99" i="7"/>
  <c r="DW100" i="7"/>
  <c r="DW77" i="7"/>
  <c r="DX73" i="7"/>
  <c r="DW78" i="7"/>
  <c r="DW76" i="7"/>
  <c r="F13" i="14"/>
  <c r="F12" i="12"/>
  <c r="F12" i="11"/>
  <c r="F13" i="13"/>
  <c r="E25" i="9"/>
  <c r="E34" i="9" s="1"/>
  <c r="F47" i="7"/>
  <c r="AX57" i="7"/>
  <c r="DY73" i="7" l="1"/>
  <c r="DX77" i="7"/>
  <c r="DX76" i="7"/>
  <c r="DX78" i="7"/>
  <c r="DY95" i="7"/>
  <c r="DX98" i="7"/>
  <c r="DX99" i="7"/>
  <c r="DX100" i="7"/>
  <c r="AY55" i="7"/>
  <c r="E35" i="9"/>
  <c r="F84" i="15"/>
  <c r="F87" i="15" s="1"/>
  <c r="E36" i="9"/>
  <c r="E40" i="9" s="1"/>
  <c r="F41" i="12"/>
  <c r="F26" i="12"/>
  <c r="F39" i="12"/>
  <c r="F13" i="12"/>
  <c r="F17" i="12" s="1"/>
  <c r="F9" i="7"/>
  <c r="F48" i="7"/>
  <c r="G45" i="7" s="1"/>
  <c r="F42" i="13"/>
  <c r="F40" i="13"/>
  <c r="F27" i="13"/>
  <c r="F14" i="13"/>
  <c r="F18" i="13" s="1"/>
  <c r="F27" i="11"/>
  <c r="F25" i="8"/>
  <c r="F44" i="11"/>
  <c r="F42" i="11"/>
  <c r="F13" i="11"/>
  <c r="F17" i="11" s="1"/>
  <c r="F27" i="14"/>
  <c r="F40" i="14"/>
  <c r="F42" i="14"/>
  <c r="F14" i="14"/>
  <c r="F18" i="14" s="1"/>
  <c r="DY77" i="7" l="1"/>
  <c r="DY78" i="7"/>
  <c r="DZ73" i="7"/>
  <c r="DY76" i="7"/>
  <c r="DZ95" i="7"/>
  <c r="DY99" i="7"/>
  <c r="DY100" i="7"/>
  <c r="DY98" i="7"/>
  <c r="E42" i="9"/>
  <c r="E43" i="9"/>
  <c r="F38" i="11"/>
  <c r="F22" i="8" s="1"/>
  <c r="F27" i="8" s="1"/>
  <c r="F29" i="8" s="1"/>
  <c r="F36" i="13"/>
  <c r="F10" i="7"/>
  <c r="AY56" i="7"/>
  <c r="DZ98" i="7" l="1"/>
  <c r="EA95" i="7"/>
  <c r="DZ99" i="7"/>
  <c r="DZ100" i="7"/>
  <c r="DZ76" i="7"/>
  <c r="DZ78" i="7"/>
  <c r="EA73" i="7"/>
  <c r="DZ77" i="7"/>
  <c r="F10" i="10"/>
  <c r="F13" i="10" s="1"/>
  <c r="F31" i="10"/>
  <c r="G9" i="8"/>
  <c r="G13" i="8" s="1"/>
  <c r="AY57" i="7"/>
  <c r="F20" i="13"/>
  <c r="F33" i="10"/>
  <c r="G26" i="8"/>
  <c r="F19" i="12"/>
  <c r="F19" i="11"/>
  <c r="F20" i="14"/>
  <c r="E44" i="9"/>
  <c r="F32" i="10"/>
  <c r="G7" i="7"/>
  <c r="EA100" i="7" l="1"/>
  <c r="EA99" i="7"/>
  <c r="EA98" i="7"/>
  <c r="EB95" i="7"/>
  <c r="EA76" i="7"/>
  <c r="EA77" i="7"/>
  <c r="EB73" i="7"/>
  <c r="EA78" i="7"/>
  <c r="G21" i="13"/>
  <c r="F26" i="13"/>
  <c r="F22" i="13"/>
  <c r="E46" i="9"/>
  <c r="E45" i="9"/>
  <c r="F26" i="14"/>
  <c r="G21" i="14"/>
  <c r="F22" i="14"/>
  <c r="F26" i="11"/>
  <c r="G20" i="11"/>
  <c r="F22" i="11"/>
  <c r="F35" i="10"/>
  <c r="AZ55" i="7"/>
  <c r="G20" i="12"/>
  <c r="F25" i="12"/>
  <c r="F21" i="12"/>
  <c r="F27" i="10"/>
  <c r="F32" i="15"/>
  <c r="F12" i="15"/>
  <c r="F39" i="10" l="1"/>
  <c r="EB99" i="7"/>
  <c r="EC95" i="7"/>
  <c r="EB100" i="7"/>
  <c r="EB98" i="7"/>
  <c r="EB78" i="7"/>
  <c r="EC73" i="7"/>
  <c r="EB76" i="7"/>
  <c r="EB77" i="7"/>
  <c r="F28" i="13"/>
  <c r="F38" i="13" s="1"/>
  <c r="F53" i="13" s="1"/>
  <c r="F29" i="11"/>
  <c r="F40" i="11" s="1"/>
  <c r="F54" i="11" s="1"/>
  <c r="E47" i="9"/>
  <c r="F105" i="15" s="1"/>
  <c r="F108" i="15" s="1"/>
  <c r="F27" i="12"/>
  <c r="F37" i="12" s="1"/>
  <c r="F53" i="12" s="1"/>
  <c r="F28" i="14"/>
  <c r="F38" i="14" s="1"/>
  <c r="F54" i="14" s="1"/>
  <c r="F13" i="15"/>
  <c r="F19" i="15" s="1"/>
  <c r="F33" i="15" s="1"/>
  <c r="F35" i="15" s="1"/>
  <c r="F45" i="15"/>
  <c r="F26" i="15"/>
  <c r="F52" i="15"/>
  <c r="F18" i="15"/>
  <c r="F25" i="15"/>
  <c r="F99" i="15"/>
  <c r="AZ56" i="7"/>
  <c r="ED73" i="7" l="1"/>
  <c r="EC77" i="7"/>
  <c r="EC76" i="7"/>
  <c r="EC78" i="7"/>
  <c r="EC100" i="7"/>
  <c r="EC98" i="7"/>
  <c r="EC99" i="7"/>
  <c r="ED95" i="7"/>
  <c r="F54" i="13"/>
  <c r="F40" i="10"/>
  <c r="G41" i="10" s="1"/>
  <c r="F70" i="15"/>
  <c r="F73" i="15" s="1"/>
  <c r="F55" i="11"/>
  <c r="F21" i="15"/>
  <c r="F15" i="15"/>
  <c r="F53" i="14"/>
  <c r="F52" i="12"/>
  <c r="AZ57" i="7"/>
  <c r="F28" i="15"/>
  <c r="F46" i="15"/>
  <c r="F48" i="15" s="1"/>
  <c r="EE95" i="7" l="1"/>
  <c r="ED100" i="7"/>
  <c r="ED98" i="7"/>
  <c r="M89" i="7" s="1"/>
  <c r="ED99" i="7"/>
  <c r="M90" i="7" s="1"/>
  <c r="M91" i="7" s="1"/>
  <c r="N88" i="7" s="1"/>
  <c r="ED78" i="7"/>
  <c r="EE73" i="7"/>
  <c r="ED77" i="7"/>
  <c r="M68" i="7" s="1"/>
  <c r="M69" i="7" s="1"/>
  <c r="N66" i="7" s="1"/>
  <c r="ED76" i="7"/>
  <c r="M67" i="7" s="1"/>
  <c r="F42" i="10"/>
  <c r="F53" i="15" s="1"/>
  <c r="F55" i="15" s="1"/>
  <c r="F91" i="15"/>
  <c r="F98" i="15" s="1"/>
  <c r="F101" i="15" s="1"/>
  <c r="BA55" i="7"/>
  <c r="EF73" i="7" l="1"/>
  <c r="EE77" i="7"/>
  <c r="EE76" i="7"/>
  <c r="EE78" i="7"/>
  <c r="EE100" i="7"/>
  <c r="EF95" i="7"/>
  <c r="EE99" i="7"/>
  <c r="EE98" i="7"/>
  <c r="F44" i="10"/>
  <c r="F46" i="10" s="1"/>
  <c r="F94" i="15"/>
  <c r="BA56" i="7"/>
  <c r="EG95" i="7" l="1"/>
  <c r="EF99" i="7"/>
  <c r="EF100" i="7"/>
  <c r="EF98" i="7"/>
  <c r="EF77" i="7"/>
  <c r="EF76" i="7"/>
  <c r="EF78" i="7"/>
  <c r="EG73" i="7"/>
  <c r="BA57" i="7"/>
  <c r="EG99" i="7" l="1"/>
  <c r="EG100" i="7"/>
  <c r="EG98" i="7"/>
  <c r="EH95" i="7"/>
  <c r="EG77" i="7"/>
  <c r="EG76" i="7"/>
  <c r="EG78" i="7"/>
  <c r="EH73" i="7"/>
  <c r="BB55" i="7"/>
  <c r="EH76" i="7" l="1"/>
  <c r="EH77" i="7"/>
  <c r="EI73" i="7"/>
  <c r="EH78" i="7"/>
  <c r="EH98" i="7"/>
  <c r="EH99" i="7"/>
  <c r="EH100" i="7"/>
  <c r="EI95" i="7"/>
  <c r="BB56" i="7"/>
  <c r="EI98" i="7" l="1"/>
  <c r="EI99" i="7"/>
  <c r="EI100" i="7"/>
  <c r="EJ95" i="7"/>
  <c r="EI76" i="7"/>
  <c r="EJ73" i="7"/>
  <c r="EI78" i="7"/>
  <c r="EI77" i="7"/>
  <c r="BB57" i="7"/>
  <c r="EK73" i="7" l="1"/>
  <c r="EJ76" i="7"/>
  <c r="EJ77" i="7"/>
  <c r="EJ78" i="7"/>
  <c r="EK95" i="7"/>
  <c r="EJ100" i="7"/>
  <c r="EJ98" i="7"/>
  <c r="EJ99" i="7"/>
  <c r="BC55" i="7"/>
  <c r="EL95" i="7" l="1"/>
  <c r="EK100" i="7"/>
  <c r="EK99" i="7"/>
  <c r="EK98" i="7"/>
  <c r="EK77" i="7"/>
  <c r="EK78" i="7"/>
  <c r="EL73" i="7"/>
  <c r="EK76" i="7"/>
  <c r="BC56" i="7"/>
  <c r="EM73" i="7" l="1"/>
  <c r="EL76" i="7"/>
  <c r="EL77" i="7"/>
  <c r="EL78" i="7"/>
  <c r="EL99" i="7"/>
  <c r="EL100" i="7"/>
  <c r="EM95" i="7"/>
  <c r="EL98" i="7"/>
  <c r="BC57" i="7"/>
  <c r="EN95" i="7" l="1"/>
  <c r="EM100" i="7"/>
  <c r="EM98" i="7"/>
  <c r="EM99" i="7"/>
  <c r="EM77" i="7"/>
  <c r="EM78" i="7"/>
  <c r="EM76" i="7"/>
  <c r="EN73" i="7"/>
  <c r="BD55" i="7"/>
  <c r="BD56" i="7" s="1"/>
  <c r="BD57" i="7" s="1"/>
  <c r="EN76" i="7" l="1"/>
  <c r="EN77" i="7"/>
  <c r="EO73" i="7"/>
  <c r="EN78" i="7"/>
  <c r="EO95" i="7"/>
  <c r="EN98" i="7"/>
  <c r="EN100" i="7"/>
  <c r="EN99" i="7"/>
  <c r="BE55" i="7"/>
  <c r="BE56" i="7" s="1"/>
  <c r="BE57" i="7" s="1"/>
  <c r="EO99" i="7" l="1"/>
  <c r="EO98" i="7"/>
  <c r="EO100" i="7"/>
  <c r="EP95" i="7"/>
  <c r="EO77" i="7"/>
  <c r="EO76" i="7"/>
  <c r="EO78" i="7"/>
  <c r="EP73" i="7"/>
  <c r="BF55" i="7"/>
  <c r="BF56" i="7" s="1"/>
  <c r="BF57" i="7" s="1"/>
  <c r="EQ73" i="7" l="1"/>
  <c r="EP77" i="7"/>
  <c r="N68" i="7" s="1"/>
  <c r="N69" i="7" s="1"/>
  <c r="O66" i="7" s="1"/>
  <c r="EP76" i="7"/>
  <c r="N67" i="7" s="1"/>
  <c r="EP78" i="7"/>
  <c r="EP100" i="7"/>
  <c r="EQ95" i="7"/>
  <c r="EP98" i="7"/>
  <c r="N89" i="7" s="1"/>
  <c r="EP99" i="7"/>
  <c r="N90" i="7" s="1"/>
  <c r="N91" i="7" s="1"/>
  <c r="O88" i="7" s="1"/>
  <c r="BG55" i="7"/>
  <c r="BG56" i="7" s="1"/>
  <c r="BG57" i="7" s="1"/>
  <c r="EQ98" i="7" l="1"/>
  <c r="EQ100" i="7"/>
  <c r="EQ99" i="7"/>
  <c r="ER95" i="7"/>
  <c r="EQ76" i="7"/>
  <c r="ER73" i="7"/>
  <c r="EQ77" i="7"/>
  <c r="EQ78" i="7"/>
  <c r="BH55" i="7"/>
  <c r="BH56" i="7" s="1"/>
  <c r="BH57" i="7" s="1"/>
  <c r="ER77" i="7" l="1"/>
  <c r="ER76" i="7"/>
  <c r="ES73" i="7"/>
  <c r="ER78" i="7"/>
  <c r="ES95" i="7"/>
  <c r="ER98" i="7"/>
  <c r="ER99" i="7"/>
  <c r="ER100" i="7"/>
  <c r="BI55" i="7"/>
  <c r="BI56" i="7" s="1"/>
  <c r="BI57" i="7" s="1"/>
  <c r="ET95" i="7" l="1"/>
  <c r="ES99" i="7"/>
  <c r="ES100" i="7"/>
  <c r="ES98" i="7"/>
  <c r="ET73" i="7"/>
  <c r="ES76" i="7"/>
  <c r="ES77" i="7"/>
  <c r="ES78" i="7"/>
  <c r="BJ55" i="7"/>
  <c r="ET78" i="7" l="1"/>
  <c r="ET77" i="7"/>
  <c r="EU73" i="7"/>
  <c r="ET76" i="7"/>
  <c r="ET100" i="7"/>
  <c r="ET99" i="7"/>
  <c r="ET98" i="7"/>
  <c r="EU95" i="7"/>
  <c r="BJ56" i="7"/>
  <c r="G46" i="7"/>
  <c r="G8" i="7" s="1"/>
  <c r="F24" i="9" s="1"/>
  <c r="EU98" i="7" l="1"/>
  <c r="EV95" i="7"/>
  <c r="EU99" i="7"/>
  <c r="EU100" i="7"/>
  <c r="EV73" i="7"/>
  <c r="EU78" i="7"/>
  <c r="EU76" i="7"/>
  <c r="EU77" i="7"/>
  <c r="G13" i="14"/>
  <c r="G12" i="12"/>
  <c r="G12" i="11"/>
  <c r="G13" i="13"/>
  <c r="F25" i="9"/>
  <c r="F34" i="9" s="1"/>
  <c r="G47" i="7"/>
  <c r="BJ57" i="7"/>
  <c r="EW95" i="7" l="1"/>
  <c r="EV98" i="7"/>
  <c r="EV99" i="7"/>
  <c r="EV100" i="7"/>
  <c r="EV76" i="7"/>
  <c r="EW73" i="7"/>
  <c r="EV77" i="7"/>
  <c r="EV78" i="7"/>
  <c r="BK57" i="7"/>
  <c r="BK55" i="7"/>
  <c r="G9" i="7"/>
  <c r="G48" i="7"/>
  <c r="H45" i="7" s="1"/>
  <c r="H48" i="7" s="1"/>
  <c r="I45" i="7" s="1"/>
  <c r="I48" i="7" s="1"/>
  <c r="J45" i="7" s="1"/>
  <c r="J48" i="7" s="1"/>
  <c r="K45" i="7" s="1"/>
  <c r="K48" i="7" s="1"/>
  <c r="L45" i="7" s="1"/>
  <c r="L48" i="7" s="1"/>
  <c r="M45" i="7" s="1"/>
  <c r="M48" i="7" s="1"/>
  <c r="N45" i="7" s="1"/>
  <c r="N48" i="7" s="1"/>
  <c r="O45" i="7" s="1"/>
  <c r="O48" i="7" s="1"/>
  <c r="P45" i="7" s="1"/>
  <c r="P48" i="7" s="1"/>
  <c r="Q45" i="7" s="1"/>
  <c r="Q48" i="7" s="1"/>
  <c r="G41" i="12"/>
  <c r="G39" i="12"/>
  <c r="G26" i="12"/>
  <c r="G13" i="12"/>
  <c r="G17" i="12" s="1"/>
  <c r="F35" i="9"/>
  <c r="G84" i="15"/>
  <c r="G87" i="15" s="1"/>
  <c r="F36" i="9"/>
  <c r="F40" i="9" s="1"/>
  <c r="G27" i="13"/>
  <c r="G40" i="13"/>
  <c r="G42" i="13"/>
  <c r="G14" i="13"/>
  <c r="G18" i="13" s="1"/>
  <c r="G44" i="11"/>
  <c r="G42" i="11"/>
  <c r="G25" i="8"/>
  <c r="G27" i="11"/>
  <c r="G13" i="11"/>
  <c r="G17" i="11" s="1"/>
  <c r="G42" i="14"/>
  <c r="G40" i="14"/>
  <c r="G27" i="14"/>
  <c r="G14" i="14"/>
  <c r="G18" i="14" s="1"/>
  <c r="EW76" i="7" l="1"/>
  <c r="EW77" i="7"/>
  <c r="EX73" i="7"/>
  <c r="EW78" i="7"/>
  <c r="EW99" i="7"/>
  <c r="EX95" i="7"/>
  <c r="EW98" i="7"/>
  <c r="EW100" i="7"/>
  <c r="G36" i="13"/>
  <c r="G38" i="11"/>
  <c r="G22" i="8" s="1"/>
  <c r="G27" i="8" s="1"/>
  <c r="G29" i="8" s="1"/>
  <c r="G10" i="7"/>
  <c r="G32" i="10" s="1"/>
  <c r="F42" i="9"/>
  <c r="F43" i="9"/>
  <c r="BL57" i="7"/>
  <c r="BL55" i="7"/>
  <c r="EX99" i="7" l="1"/>
  <c r="EX100" i="7"/>
  <c r="EY95" i="7"/>
  <c r="EX98" i="7"/>
  <c r="EX78" i="7"/>
  <c r="EY73" i="7"/>
  <c r="EX77" i="7"/>
  <c r="EX76" i="7"/>
  <c r="G20" i="13"/>
  <c r="G19" i="11"/>
  <c r="G19" i="12"/>
  <c r="G20" i="14"/>
  <c r="G33" i="10"/>
  <c r="F44" i="9"/>
  <c r="BM55" i="7"/>
  <c r="BM57" i="7"/>
  <c r="G31" i="10"/>
  <c r="G10" i="10"/>
  <c r="G13" i="10" s="1"/>
  <c r="EY78" i="7" l="1"/>
  <c r="EY76" i="7"/>
  <c r="EZ73" i="7"/>
  <c r="EY77" i="7"/>
  <c r="EY99" i="7"/>
  <c r="EY100" i="7"/>
  <c r="EY98" i="7"/>
  <c r="EZ95" i="7"/>
  <c r="G12" i="15"/>
  <c r="G32" i="15"/>
  <c r="G27" i="10"/>
  <c r="F45" i="9"/>
  <c r="F46" i="9"/>
  <c r="G26" i="14"/>
  <c r="G22" i="14"/>
  <c r="G35" i="10"/>
  <c r="G26" i="13"/>
  <c r="G22" i="13"/>
  <c r="G25" i="12"/>
  <c r="G21" i="12"/>
  <c r="G26" i="11"/>
  <c r="G22" i="11"/>
  <c r="BN57" i="7"/>
  <c r="BN55" i="7"/>
  <c r="EZ98" i="7" l="1"/>
  <c r="EZ99" i="7"/>
  <c r="EZ100" i="7"/>
  <c r="FA95" i="7"/>
  <c r="EZ78" i="7"/>
  <c r="FA73" i="7"/>
  <c r="EZ76" i="7"/>
  <c r="EZ77" i="7"/>
  <c r="G29" i="11"/>
  <c r="G40" i="11" s="1"/>
  <c r="G54" i="11" s="1"/>
  <c r="G27" i="12"/>
  <c r="G37" i="12" s="1"/>
  <c r="C45" i="12" s="1"/>
  <c r="F47" i="9"/>
  <c r="G40" i="10" s="1"/>
  <c r="G28" i="13"/>
  <c r="G38" i="13" s="1"/>
  <c r="G53" i="13" s="1"/>
  <c r="C47" i="11"/>
  <c r="G39" i="10"/>
  <c r="G25" i="15"/>
  <c r="G99" i="15"/>
  <c r="G45" i="15"/>
  <c r="G26" i="15"/>
  <c r="G52" i="15"/>
  <c r="G13" i="15"/>
  <c r="G19" i="15" s="1"/>
  <c r="G33" i="15" s="1"/>
  <c r="G35" i="15" s="1"/>
  <c r="G18" i="15"/>
  <c r="BO55" i="7"/>
  <c r="BO57" i="7"/>
  <c r="G28" i="14"/>
  <c r="G38" i="14" s="1"/>
  <c r="FA78" i="7" l="1"/>
  <c r="FA77" i="7"/>
  <c r="FA76" i="7"/>
  <c r="FB73" i="7"/>
  <c r="FA99" i="7"/>
  <c r="FA98" i="7"/>
  <c r="FA100" i="7"/>
  <c r="FB95" i="7"/>
  <c r="C48" i="11"/>
  <c r="G55" i="11"/>
  <c r="B57" i="11" s="1"/>
  <c r="C44" i="12"/>
  <c r="G70" i="15"/>
  <c r="G91" i="15" s="1"/>
  <c r="G21" i="15"/>
  <c r="G53" i="12"/>
  <c r="B55" i="12" s="1"/>
  <c r="C45" i="13"/>
  <c r="C46" i="13"/>
  <c r="G105" i="15"/>
  <c r="G108" i="15" s="1"/>
  <c r="G42" i="10"/>
  <c r="G53" i="15" s="1"/>
  <c r="G55" i="15" s="1"/>
  <c r="G54" i="13"/>
  <c r="B56" i="13" s="1"/>
  <c r="G52" i="12"/>
  <c r="B54" i="12" s="1"/>
  <c r="G53" i="14"/>
  <c r="G54" i="14"/>
  <c r="B56" i="14" s="1"/>
  <c r="C46" i="14"/>
  <c r="C45" i="14"/>
  <c r="G15" i="15"/>
  <c r="G28" i="15"/>
  <c r="G46" i="15"/>
  <c r="G48" i="15" s="1"/>
  <c r="B56" i="12"/>
  <c r="C48" i="12" s="1"/>
  <c r="BP55" i="7"/>
  <c r="BP57" i="7"/>
  <c r="B55" i="13"/>
  <c r="B57" i="13"/>
  <c r="B58" i="11"/>
  <c r="B56" i="11"/>
  <c r="C50" i="11" s="1"/>
  <c r="C51" i="11" l="1"/>
  <c r="FB99" i="7"/>
  <c r="O90" i="7" s="1"/>
  <c r="O91" i="7" s="1"/>
  <c r="P88" i="7" s="1"/>
  <c r="FB98" i="7"/>
  <c r="O89" i="7" s="1"/>
  <c r="FC95" i="7"/>
  <c r="FB100" i="7"/>
  <c r="FB76" i="7"/>
  <c r="O67" i="7" s="1"/>
  <c r="FB78" i="7"/>
  <c r="FC73" i="7"/>
  <c r="FB77" i="7"/>
  <c r="O68" i="7" s="1"/>
  <c r="O69" i="7" s="1"/>
  <c r="P66" i="7" s="1"/>
  <c r="G73" i="15"/>
  <c r="C47" i="12"/>
  <c r="C49" i="13"/>
  <c r="G44" i="10"/>
  <c r="G46" i="10" s="1"/>
  <c r="C48" i="13"/>
  <c r="G94" i="15"/>
  <c r="G98" i="15"/>
  <c r="G101" i="15" s="1"/>
  <c r="BQ57" i="7"/>
  <c r="BQ55" i="7"/>
  <c r="B57" i="14"/>
  <c r="C49" i="14" s="1"/>
  <c r="B55" i="14"/>
  <c r="C48" i="14" s="1"/>
  <c r="FC76" i="7" l="1"/>
  <c r="FC77" i="7"/>
  <c r="FC78" i="7"/>
  <c r="FD73" i="7"/>
  <c r="FC99" i="7"/>
  <c r="FC98" i="7"/>
  <c r="FC100" i="7"/>
  <c r="FD95" i="7"/>
  <c r="BR55" i="7"/>
  <c r="BR57" i="7"/>
  <c r="FE95" i="7" l="1"/>
  <c r="FD99" i="7"/>
  <c r="FD98" i="7"/>
  <c r="FD100" i="7"/>
  <c r="FE73" i="7"/>
  <c r="FD76" i="7"/>
  <c r="FD78" i="7"/>
  <c r="FD77" i="7"/>
  <c r="BS57" i="7"/>
  <c r="BS55" i="7"/>
  <c r="FF73" i="7" l="1"/>
  <c r="FE76" i="7"/>
  <c r="FE78" i="7"/>
  <c r="FE77" i="7"/>
  <c r="FE99" i="7"/>
  <c r="FE98" i="7"/>
  <c r="FE100" i="7"/>
  <c r="FF95" i="7"/>
  <c r="BT55" i="7"/>
  <c r="BT57" i="7"/>
  <c r="FG95" i="7" l="1"/>
  <c r="FF99" i="7"/>
  <c r="FF98" i="7"/>
  <c r="FF100" i="7"/>
  <c r="FF76" i="7"/>
  <c r="FG73" i="7"/>
  <c r="FF78" i="7"/>
  <c r="FF77" i="7"/>
  <c r="BU57" i="7"/>
  <c r="BU55" i="7"/>
  <c r="FG77" i="7" l="1"/>
  <c r="FG76" i="7"/>
  <c r="FH73" i="7"/>
  <c r="FG78" i="7"/>
  <c r="FG98" i="7"/>
  <c r="FG100" i="7"/>
  <c r="FG99" i="7"/>
  <c r="FH95" i="7"/>
  <c r="BV55" i="7"/>
  <c r="H46" i="7" s="1"/>
  <c r="BV57" i="7"/>
  <c r="FH98" i="7" l="1"/>
  <c r="FH99" i="7"/>
  <c r="FI95" i="7"/>
  <c r="FH100" i="7"/>
  <c r="FH78" i="7"/>
  <c r="FH76" i="7"/>
  <c r="FH77" i="7"/>
  <c r="FI73" i="7"/>
  <c r="BW55" i="7"/>
  <c r="BW57" i="7"/>
  <c r="FI76" i="7" l="1"/>
  <c r="FI78" i="7"/>
  <c r="FI77" i="7"/>
  <c r="FJ73" i="7"/>
  <c r="FJ95" i="7"/>
  <c r="FI99" i="7"/>
  <c r="FI100" i="7"/>
  <c r="FI98" i="7"/>
  <c r="BX57" i="7"/>
  <c r="BX55" i="7"/>
  <c r="FJ78" i="7" l="1"/>
  <c r="FK73" i="7"/>
  <c r="FJ77" i="7"/>
  <c r="FJ76" i="7"/>
  <c r="FJ98" i="7"/>
  <c r="FJ100" i="7"/>
  <c r="FJ99" i="7"/>
  <c r="FK95" i="7"/>
  <c r="BY55" i="7"/>
  <c r="BY57" i="7"/>
  <c r="FK100" i="7" l="1"/>
  <c r="FK98" i="7"/>
  <c r="FK99" i="7"/>
  <c r="FL95" i="7"/>
  <c r="FL73" i="7"/>
  <c r="FK78" i="7"/>
  <c r="FK76" i="7"/>
  <c r="FK77" i="7"/>
  <c r="BZ57" i="7"/>
  <c r="BZ55" i="7"/>
  <c r="FM95" i="7" l="1"/>
  <c r="FL100" i="7"/>
  <c r="FL99" i="7"/>
  <c r="FL98" i="7"/>
  <c r="FL77" i="7"/>
  <c r="FL78" i="7"/>
  <c r="FL76" i="7"/>
  <c r="FM73" i="7"/>
  <c r="CA55" i="7"/>
  <c r="CA57" i="7"/>
  <c r="FM77" i="7" l="1"/>
  <c r="FN73" i="7"/>
  <c r="FM76" i="7"/>
  <c r="FM78" i="7"/>
  <c r="FN95" i="7"/>
  <c r="FM99" i="7"/>
  <c r="FM100" i="7"/>
  <c r="FM98" i="7"/>
  <c r="CB55" i="7"/>
  <c r="CB57" i="7"/>
  <c r="FN76" i="7" l="1"/>
  <c r="P67" i="7" s="1"/>
  <c r="FN78" i="7"/>
  <c r="FO73" i="7"/>
  <c r="FN77" i="7"/>
  <c r="P68" i="7" s="1"/>
  <c r="P69" i="7" s="1"/>
  <c r="Q66" i="7" s="1"/>
  <c r="FN100" i="7"/>
  <c r="FO95" i="7"/>
  <c r="FN98" i="7"/>
  <c r="P89" i="7" s="1"/>
  <c r="FN99" i="7"/>
  <c r="P90" i="7" s="1"/>
  <c r="P91" i="7" s="1"/>
  <c r="Q88" i="7" s="1"/>
  <c r="CC55" i="7"/>
  <c r="CC57" i="7"/>
  <c r="FO100" i="7" l="1"/>
  <c r="FO99" i="7"/>
  <c r="FP95" i="7"/>
  <c r="FO98" i="7"/>
  <c r="FO77" i="7"/>
  <c r="FP73" i="7"/>
  <c r="FO76" i="7"/>
  <c r="FO78" i="7"/>
  <c r="CD57" i="7"/>
  <c r="CD55" i="7"/>
  <c r="FP78" i="7" l="1"/>
  <c r="FQ73" i="7"/>
  <c r="FP77" i="7"/>
  <c r="FP76" i="7"/>
  <c r="FP100" i="7"/>
  <c r="FP99" i="7"/>
  <c r="FQ95" i="7"/>
  <c r="FP98" i="7"/>
  <c r="CE57" i="7"/>
  <c r="CE55" i="7"/>
  <c r="FQ77" i="7" l="1"/>
  <c r="FQ78" i="7"/>
  <c r="FQ76" i="7"/>
  <c r="FR73" i="7"/>
  <c r="FR95" i="7"/>
  <c r="FQ98" i="7"/>
  <c r="FQ99" i="7"/>
  <c r="FQ100" i="7"/>
  <c r="CF55" i="7"/>
  <c r="CF57" i="7"/>
  <c r="FR98" i="7" l="1"/>
  <c r="FR100" i="7"/>
  <c r="FS95" i="7"/>
  <c r="FR99" i="7"/>
  <c r="FR77" i="7"/>
  <c r="FS73" i="7"/>
  <c r="FR76" i="7"/>
  <c r="FR78" i="7"/>
  <c r="CG55" i="7"/>
  <c r="CG57" i="7"/>
  <c r="FS77" i="7" l="1"/>
  <c r="FS76" i="7"/>
  <c r="FS78" i="7"/>
  <c r="FT73" i="7"/>
  <c r="FT95" i="7"/>
  <c r="FS99" i="7"/>
  <c r="FS98" i="7"/>
  <c r="FS100" i="7"/>
  <c r="CH57" i="7"/>
  <c r="CH55" i="7"/>
  <c r="I46" i="7" s="1"/>
  <c r="FU73" i="7" l="1"/>
  <c r="FT77" i="7"/>
  <c r="FT78" i="7"/>
  <c r="FT76" i="7"/>
  <c r="FT99" i="7"/>
  <c r="FU95" i="7"/>
  <c r="FT100" i="7"/>
  <c r="FT98" i="7"/>
  <c r="CI55" i="7"/>
  <c r="CI57" i="7"/>
  <c r="FU100" i="7" l="1"/>
  <c r="FU98" i="7"/>
  <c r="FV95" i="7"/>
  <c r="FU99" i="7"/>
  <c r="FV73" i="7"/>
  <c r="FU76" i="7"/>
  <c r="FU78" i="7"/>
  <c r="FU77" i="7"/>
  <c r="CJ55" i="7"/>
  <c r="CJ57" i="7"/>
  <c r="FV77" i="7" l="1"/>
  <c r="FV78" i="7"/>
  <c r="FV76" i="7"/>
  <c r="FW73" i="7"/>
  <c r="FV99" i="7"/>
  <c r="FV98" i="7"/>
  <c r="FV100" i="7"/>
  <c r="FW95" i="7"/>
  <c r="CK55" i="7"/>
  <c r="CK57" i="7"/>
  <c r="FW99" i="7" l="1"/>
  <c r="FX95" i="7"/>
  <c r="FW100" i="7"/>
  <c r="FW98" i="7"/>
  <c r="FW77" i="7"/>
  <c r="FW78" i="7"/>
  <c r="FX73" i="7"/>
  <c r="FW76" i="7"/>
  <c r="CL57" i="7"/>
  <c r="CL55" i="7"/>
  <c r="FX100" i="7" l="1"/>
  <c r="FX99" i="7"/>
  <c r="FX98" i="7"/>
  <c r="FY95" i="7"/>
  <c r="FY73" i="7"/>
  <c r="FX78" i="7"/>
  <c r="FX76" i="7"/>
  <c r="FX77" i="7"/>
  <c r="CM57" i="7"/>
  <c r="CM55" i="7"/>
  <c r="FY99" i="7" l="1"/>
  <c r="FY100" i="7"/>
  <c r="FZ95" i="7"/>
  <c r="FY98" i="7"/>
  <c r="FY77" i="7"/>
  <c r="FZ73" i="7"/>
  <c r="FY78" i="7"/>
  <c r="FY76" i="7"/>
  <c r="CN57" i="7"/>
  <c r="CN55" i="7"/>
  <c r="FZ77" i="7" l="1"/>
  <c r="Q68" i="7" s="1"/>
  <c r="Q69" i="7" s="1"/>
  <c r="FZ78" i="7"/>
  <c r="FZ76" i="7"/>
  <c r="Q67" i="7" s="1"/>
  <c r="FZ98" i="7"/>
  <c r="Q89" i="7" s="1"/>
  <c r="FZ100" i="7"/>
  <c r="FZ99" i="7"/>
  <c r="Q90" i="7" s="1"/>
  <c r="Q91" i="7" s="1"/>
  <c r="CO57" i="7"/>
  <c r="CO55" i="7"/>
  <c r="CP57" i="7" l="1"/>
  <c r="CP55" i="7"/>
  <c r="CQ57" i="7" l="1"/>
  <c r="CQ55" i="7"/>
  <c r="CR57" i="7" l="1"/>
  <c r="CR55" i="7"/>
  <c r="CS57" i="7" l="1"/>
  <c r="CS55" i="7"/>
  <c r="CT55" i="7" l="1"/>
  <c r="J46" i="7" s="1"/>
  <c r="CT57" i="7"/>
  <c r="CU55" i="7" l="1"/>
  <c r="CU57" i="7"/>
  <c r="CV57" i="7" l="1"/>
  <c r="CV55" i="7"/>
  <c r="CW55" i="7" l="1"/>
  <c r="CW57" i="7"/>
  <c r="CX57" i="7" l="1"/>
  <c r="CX55" i="7"/>
  <c r="CY55" i="7" l="1"/>
  <c r="CY57" i="7"/>
  <c r="CZ55" i="7" l="1"/>
  <c r="CZ57" i="7"/>
  <c r="DA55" i="7" l="1"/>
  <c r="DA57" i="7"/>
  <c r="DB55" i="7" l="1"/>
  <c r="DB57" i="7"/>
  <c r="DC57" i="7" l="1"/>
  <c r="DC55" i="7"/>
  <c r="DD57" i="7" l="1"/>
  <c r="DD55" i="7"/>
  <c r="DE57" i="7" l="1"/>
  <c r="DE55" i="7"/>
  <c r="DF57" i="7" l="1"/>
  <c r="DF55" i="7"/>
  <c r="K46" i="7" s="1"/>
  <c r="DG55" i="7" l="1"/>
  <c r="DG57" i="7"/>
  <c r="DH57" i="7" l="1"/>
  <c r="DH55" i="7"/>
  <c r="DI57" i="7" l="1"/>
  <c r="DI55" i="7"/>
  <c r="DJ57" i="7" l="1"/>
  <c r="DJ55" i="7"/>
  <c r="DK57" i="7" l="1"/>
  <c r="DK55" i="7"/>
  <c r="DL55" i="7" l="1"/>
  <c r="DL57" i="7"/>
  <c r="DM55" i="7" l="1"/>
  <c r="DM57" i="7"/>
  <c r="DN57" i="7" l="1"/>
  <c r="DN55" i="7"/>
  <c r="DO57" i="7" l="1"/>
  <c r="DO55" i="7"/>
  <c r="DP55" i="7" l="1"/>
  <c r="DP57" i="7"/>
  <c r="DQ57" i="7" l="1"/>
  <c r="DQ55" i="7"/>
  <c r="DR57" i="7" l="1"/>
  <c r="DR55" i="7"/>
  <c r="L46" i="7" s="1"/>
  <c r="DS57" i="7" l="1"/>
  <c r="DS55" i="7"/>
  <c r="DT55" i="7" l="1"/>
  <c r="DT57" i="7"/>
  <c r="DU55" i="7" l="1"/>
  <c r="DU57" i="7"/>
  <c r="DV55" i="7" l="1"/>
  <c r="DV57" i="7"/>
  <c r="DW55" i="7" l="1"/>
  <c r="DW57" i="7"/>
  <c r="DX57" i="7" l="1"/>
  <c r="DX55" i="7"/>
  <c r="DY57" i="7" l="1"/>
  <c r="DY55" i="7"/>
  <c r="DZ55" i="7" l="1"/>
  <c r="DZ57" i="7"/>
  <c r="EA55" i="7" l="1"/>
  <c r="EA57" i="7"/>
  <c r="EB55" i="7" l="1"/>
  <c r="EB57" i="7"/>
  <c r="EC57" i="7" l="1"/>
  <c r="EC55" i="7"/>
  <c r="ED57" i="7" l="1"/>
  <c r="ED55" i="7"/>
  <c r="M46" i="7" s="1"/>
  <c r="EE55" i="7" l="1"/>
  <c r="EE57" i="7"/>
  <c r="EF57" i="7" l="1"/>
  <c r="EF55" i="7"/>
  <c r="EG57" i="7" l="1"/>
  <c r="EG55" i="7"/>
  <c r="EH57" i="7" l="1"/>
  <c r="EH55" i="7"/>
  <c r="EI57" i="7" l="1"/>
  <c r="EI55" i="7"/>
  <c r="EJ57" i="7" l="1"/>
  <c r="EJ55" i="7"/>
  <c r="EK55" i="7" l="1"/>
  <c r="EK57" i="7"/>
  <c r="EL55" i="7" l="1"/>
  <c r="EL57" i="7"/>
  <c r="EM55" i="7" l="1"/>
  <c r="EM57" i="7"/>
  <c r="EN57" i="7" l="1"/>
  <c r="EN55" i="7"/>
  <c r="EO57" i="7" l="1"/>
  <c r="EO55" i="7"/>
  <c r="EP57" i="7" l="1"/>
  <c r="EP55" i="7"/>
  <c r="N46" i="7" s="1"/>
  <c r="EQ55" i="7" l="1"/>
  <c r="EQ57" i="7"/>
  <c r="ER57" i="7" l="1"/>
  <c r="ER55" i="7"/>
  <c r="ES57" i="7" l="1"/>
  <c r="ES55" i="7"/>
  <c r="ET55" i="7" l="1"/>
  <c r="ET57" i="7"/>
  <c r="EU57" i="7" l="1"/>
  <c r="EU55" i="7"/>
  <c r="EV55" i="7" l="1"/>
  <c r="EV57" i="7"/>
  <c r="EW55" i="7" l="1"/>
  <c r="EW57" i="7"/>
  <c r="EX57" i="7" l="1"/>
  <c r="EX55" i="7"/>
  <c r="EY55" i="7" l="1"/>
  <c r="EY57" i="7"/>
  <c r="EZ55" i="7" l="1"/>
  <c r="EZ57" i="7"/>
  <c r="FA55" i="7" l="1"/>
  <c r="FA57" i="7"/>
  <c r="FB57" i="7" l="1"/>
  <c r="FB55" i="7"/>
  <c r="O46" i="7" s="1"/>
  <c r="FC55" i="7" l="1"/>
  <c r="FC57" i="7"/>
  <c r="FD57" i="7" l="1"/>
  <c r="FD55" i="7"/>
  <c r="FE55" i="7" l="1"/>
  <c r="FE57" i="7"/>
  <c r="FF55" i="7" l="1"/>
  <c r="FF57" i="7"/>
  <c r="FG55" i="7" l="1"/>
  <c r="FG57" i="7"/>
  <c r="FH55" i="7" l="1"/>
  <c r="FH57" i="7"/>
  <c r="FI55" i="7" l="1"/>
  <c r="FI57" i="7"/>
  <c r="FJ55" i="7" l="1"/>
  <c r="FJ57" i="7"/>
  <c r="FK57" i="7" l="1"/>
  <c r="FK55" i="7"/>
  <c r="FL55" i="7" l="1"/>
  <c r="FL57" i="7"/>
  <c r="FM55" i="7" l="1"/>
  <c r="FM57" i="7"/>
  <c r="FN57" i="7" l="1"/>
  <c r="FN55" i="7"/>
  <c r="P46" i="7" s="1"/>
  <c r="FO57" i="7" l="1"/>
  <c r="FO55" i="7"/>
  <c r="FP57" i="7" l="1"/>
  <c r="FP55" i="7"/>
  <c r="FQ55" i="7" l="1"/>
  <c r="FQ57" i="7"/>
  <c r="FR55" i="7" l="1"/>
  <c r="FR57" i="7"/>
  <c r="FS55" i="7" l="1"/>
  <c r="FS57" i="7"/>
  <c r="FT57" i="7" l="1"/>
  <c r="FT55" i="7"/>
  <c r="FU55" i="7" l="1"/>
  <c r="FU57" i="7"/>
  <c r="FV55" i="7" l="1"/>
  <c r="FV57" i="7"/>
  <c r="FW57" i="7" l="1"/>
  <c r="FW55" i="7"/>
  <c r="FX57" i="7" l="1"/>
  <c r="FX55" i="7"/>
  <c r="FY55" i="7" l="1"/>
  <c r="FY57" i="7"/>
  <c r="FZ57" i="7" l="1"/>
  <c r="FZ55" i="7"/>
  <c r="Q4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Darwin Cuellar</author>
  </authors>
  <commentList>
    <comment ref="C4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Evaproyect:
Este es u impuesto de indole nacional de acuerdo a las normas tributarias existentes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0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Evaproyect:</t>
        </r>
        <r>
          <rPr>
            <sz val="8"/>
            <color indexed="81"/>
            <rFont val="Tahoma"/>
            <family val="2"/>
          </rPr>
          <t xml:space="preserve">
Este es un impuesto de indole municipal </t>
        </r>
      </text>
    </comment>
    <comment ref="E235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Evaproyect:</t>
        </r>
        <r>
          <rPr>
            <sz val="8"/>
            <color indexed="81"/>
            <rFont val="Tahoma"/>
            <family val="2"/>
          </rPr>
          <t xml:space="preserve">
esta es una celda de control y su resultado total debe ser cero</t>
        </r>
      </text>
    </comment>
  </commentList>
</comments>
</file>

<file path=xl/sharedStrings.xml><?xml version="1.0" encoding="utf-8"?>
<sst xmlns="http://schemas.openxmlformats.org/spreadsheetml/2006/main" count="1002" uniqueCount="455">
  <si>
    <t>Ventas estimadas</t>
  </si>
  <si>
    <t xml:space="preserve"> </t>
  </si>
  <si>
    <t>Concepto</t>
  </si>
  <si>
    <t>Utilidad Bruta</t>
  </si>
  <si>
    <t>CONCEPTO</t>
  </si>
  <si>
    <t>AÑO 1</t>
  </si>
  <si>
    <t>INGRESOS</t>
  </si>
  <si>
    <t>Ventas</t>
  </si>
  <si>
    <t>Caja inicial</t>
  </si>
  <si>
    <t>TOTAL INGRESOS</t>
  </si>
  <si>
    <t>EGRESOS</t>
  </si>
  <si>
    <t>TOTAL EGRESOS</t>
  </si>
  <si>
    <t>SALDO FINAL EN CAJA</t>
  </si>
  <si>
    <t>Aporte de capital</t>
  </si>
  <si>
    <t>Pagos de impuestos</t>
  </si>
  <si>
    <t>Caja y Bancos</t>
  </si>
  <si>
    <t>Corriente</t>
  </si>
  <si>
    <t>Inventario</t>
  </si>
  <si>
    <t>PASIVOS</t>
  </si>
  <si>
    <t>Aportes de Capital</t>
  </si>
  <si>
    <t>Reserva Legal</t>
  </si>
  <si>
    <t>Impuestos por Pagar</t>
  </si>
  <si>
    <t>Impuesto de Renta</t>
  </si>
  <si>
    <t>Otros Activos</t>
  </si>
  <si>
    <t>Utilidades del periodo</t>
  </si>
  <si>
    <t>ABONO A CAPITAL</t>
  </si>
  <si>
    <t>SALDO</t>
  </si>
  <si>
    <t>Gasto de intereses</t>
  </si>
  <si>
    <t>Pago de intereses</t>
  </si>
  <si>
    <t>ACTIVO</t>
  </si>
  <si>
    <t>CUENTA CONTABLE</t>
  </si>
  <si>
    <t>Total Activo Corriente</t>
  </si>
  <si>
    <t>Total Propiedad, Planta y Equipo</t>
  </si>
  <si>
    <t>TOTAL ACTIVO</t>
  </si>
  <si>
    <t>TOTAL PASIVO</t>
  </si>
  <si>
    <t>PATRIMONIO</t>
  </si>
  <si>
    <t>TOTAL PATRIMONIO</t>
  </si>
  <si>
    <t>TOTAL PASIVO Y PATRIMONIO</t>
  </si>
  <si>
    <t>Ingresos por ventas</t>
  </si>
  <si>
    <t>TOTAL VENTAS</t>
  </si>
  <si>
    <t>ADMINISTRATIVOS</t>
  </si>
  <si>
    <t>GASTO DE VENTAS</t>
  </si>
  <si>
    <t>Imprevistos</t>
  </si>
  <si>
    <t>Total gastos administrativos</t>
  </si>
  <si>
    <t>Gastos Administrativos</t>
  </si>
  <si>
    <t xml:space="preserve"> CALCULO CAPITAL DE TRABAJO</t>
  </si>
  <si>
    <t>GASTOS DE PERSONAL</t>
  </si>
  <si>
    <t>Sueldos</t>
  </si>
  <si>
    <t>VENTAS</t>
  </si>
  <si>
    <t>Prestaciones sociales</t>
  </si>
  <si>
    <t>TOTAL GASTOS</t>
  </si>
  <si>
    <t>PRODUCTO/UNIDADES</t>
  </si>
  <si>
    <t>TOTAL</t>
  </si>
  <si>
    <t xml:space="preserve">  </t>
  </si>
  <si>
    <t>Otros</t>
  </si>
  <si>
    <t>INVER INICIAL</t>
  </si>
  <si>
    <t>Gastos ventas</t>
  </si>
  <si>
    <t>INVERSIONES FIJAS</t>
  </si>
  <si>
    <t>INVERSIONES DIFERIDAS</t>
  </si>
  <si>
    <t>CAPITAL PROPIO</t>
  </si>
  <si>
    <t>% PARTIC.</t>
  </si>
  <si>
    <t>TIEMPO</t>
  </si>
  <si>
    <t>IMPUESTO RENTA</t>
  </si>
  <si>
    <t>RESERVA LEGAL</t>
  </si>
  <si>
    <t>OTRAS RESERVAS</t>
  </si>
  <si>
    <t>Compra de activos fijos</t>
  </si>
  <si>
    <t>%</t>
  </si>
  <si>
    <t>VALOR</t>
  </si>
  <si>
    <t xml:space="preserve">FLUJO DE CAJA PROYECTADO  </t>
  </si>
  <si>
    <t>FLUJO PARA CALCULAR BENEFICIO COSTO</t>
  </si>
  <si>
    <t>FLUJO DE INGRESOS</t>
  </si>
  <si>
    <t>VPN INGRESOS</t>
  </si>
  <si>
    <t>VPN EGRESOS</t>
  </si>
  <si>
    <t>FLUJO DE EGRESOS</t>
  </si>
  <si>
    <t xml:space="preserve">DIFERENCIA </t>
  </si>
  <si>
    <t>VFI</t>
  </si>
  <si>
    <t>NUMERO PERIODOS</t>
  </si>
  <si>
    <t>Aportes sociales</t>
  </si>
  <si>
    <t>Aportes patronales</t>
  </si>
  <si>
    <t>Prestaciones de ley</t>
  </si>
  <si>
    <t>Vacaciones</t>
  </si>
  <si>
    <t>Prima</t>
  </si>
  <si>
    <t>TOTAL APORTES</t>
  </si>
  <si>
    <t>Empleado 1</t>
  </si>
  <si>
    <t>Empleado 2</t>
  </si>
  <si>
    <t>Empleado 3</t>
  </si>
  <si>
    <t>Empleado 4</t>
  </si>
  <si>
    <t>Empleado 5</t>
  </si>
  <si>
    <t xml:space="preserve">Prestaciones sociales </t>
  </si>
  <si>
    <t>Aportes fiscales</t>
  </si>
  <si>
    <t>Incremento % año</t>
  </si>
  <si>
    <t>Cant</t>
  </si>
  <si>
    <t>Sueldo</t>
  </si>
  <si>
    <t>Aux. Trans.</t>
  </si>
  <si>
    <t>Honorarios</t>
  </si>
  <si>
    <t>Impuestos</t>
  </si>
  <si>
    <t>Arrendamiento</t>
  </si>
  <si>
    <t>Seguros</t>
  </si>
  <si>
    <t>Nomina</t>
  </si>
  <si>
    <t>Gastos de funcionamiento</t>
  </si>
  <si>
    <t>Gastos de personal</t>
  </si>
  <si>
    <t>Costo de ventas</t>
  </si>
  <si>
    <t>Gastos administrativos</t>
  </si>
  <si>
    <t>Total gasto de personal</t>
  </si>
  <si>
    <t>Gastos de ventas</t>
  </si>
  <si>
    <t>Total gastos de ventas</t>
  </si>
  <si>
    <t>Total gastos</t>
  </si>
  <si>
    <t>Utilidad operacional</t>
  </si>
  <si>
    <t>Reserva legal</t>
  </si>
  <si>
    <t>Total Otros Activos</t>
  </si>
  <si>
    <t>Utilidades Acumuladas</t>
  </si>
  <si>
    <t>Gastos personal</t>
  </si>
  <si>
    <t>Utilidad Operacional</t>
  </si>
  <si>
    <t>Impuestos causados</t>
  </si>
  <si>
    <t>Impuestos pagados</t>
  </si>
  <si>
    <t>Utilidad Neta</t>
  </si>
  <si>
    <t>Diferencia impuestos</t>
  </si>
  <si>
    <t>Total flujo de caja</t>
  </si>
  <si>
    <t>Inversiones fijas</t>
  </si>
  <si>
    <t>Inversiones diferidas</t>
  </si>
  <si>
    <t xml:space="preserve">Total </t>
  </si>
  <si>
    <t>Flujo neto de fondos</t>
  </si>
  <si>
    <t>Utilidad bruta</t>
  </si>
  <si>
    <t>Utilidad neta</t>
  </si>
  <si>
    <t>Materia prima</t>
  </si>
  <si>
    <t>Mano obra directa</t>
  </si>
  <si>
    <t>Total</t>
  </si>
  <si>
    <t>Incremento % precios</t>
  </si>
  <si>
    <t>Costos indirectos de fabricación</t>
  </si>
  <si>
    <t>Gasto depreciación</t>
  </si>
  <si>
    <t>Gasto amortización</t>
  </si>
  <si>
    <t>Depreciación</t>
  </si>
  <si>
    <t>Amortización</t>
  </si>
  <si>
    <t>Amortización intereses</t>
  </si>
  <si>
    <t>Flujo de inversión</t>
  </si>
  <si>
    <t>Préstamo</t>
  </si>
  <si>
    <t>Amortización del préstamo</t>
  </si>
  <si>
    <t>Costo mercancía</t>
  </si>
  <si>
    <t>Utilidad después de impuestos</t>
  </si>
  <si>
    <t>Amortización préstamo</t>
  </si>
  <si>
    <t>Gastos de iniciación y montaje</t>
  </si>
  <si>
    <t>Incremento % gastos</t>
  </si>
  <si>
    <t>Costos indir. Fabricación</t>
  </si>
  <si>
    <t>Vida útil</t>
  </si>
  <si>
    <t>Cesantías</t>
  </si>
  <si>
    <t>Intereses cesantías</t>
  </si>
  <si>
    <t>Nombre de la Compañía</t>
  </si>
  <si>
    <t>A 15 Años</t>
  </si>
  <si>
    <t xml:space="preserve">Nombre </t>
  </si>
  <si>
    <t>PRODUCTOS</t>
  </si>
  <si>
    <t>Auxilio de Transporte</t>
  </si>
  <si>
    <t>Prestaciones de Ley</t>
  </si>
  <si>
    <t>Personal Administrativo</t>
  </si>
  <si>
    <t>Cantidad</t>
  </si>
  <si>
    <t>Personal de Ventas</t>
  </si>
  <si>
    <t>Personal de Producción</t>
  </si>
  <si>
    <t>Descripción</t>
  </si>
  <si>
    <t>Otras Reservas</t>
  </si>
  <si>
    <t>INVERSIÓN INICIAL</t>
  </si>
  <si>
    <t>Porcentaje Recuperación Inversión</t>
  </si>
  <si>
    <t>Inversiones Fijas</t>
  </si>
  <si>
    <t>Inversiones Diferidas</t>
  </si>
  <si>
    <t>Capital Propio</t>
  </si>
  <si>
    <t>FINANCIACIÓN</t>
  </si>
  <si>
    <t>Tiempo en Años</t>
  </si>
  <si>
    <t>PRECIO VENTA / AÑO</t>
  </si>
  <si>
    <t>GASTOS GENERALES</t>
  </si>
  <si>
    <t>Gastos de Ventas</t>
  </si>
  <si>
    <t>Costos Indirectos de Fabricación</t>
  </si>
  <si>
    <t>INVERSIONES FIJAS Y DIFERIDAS</t>
  </si>
  <si>
    <t>Capital de trabajo Costos y Gastos</t>
  </si>
  <si>
    <t>CAP. DE TRAB. COS. Y GAS.</t>
  </si>
  <si>
    <t>Unidad de Medida Periodos</t>
  </si>
  <si>
    <t>Meses</t>
  </si>
  <si>
    <t>Años</t>
  </si>
  <si>
    <t>Vida Útil (En Años)</t>
  </si>
  <si>
    <t>VENTAS TOTALES / AÑO</t>
  </si>
  <si>
    <t>Número de Periodos</t>
  </si>
  <si>
    <t>Salario Mínimo</t>
  </si>
  <si>
    <t>Préstamo Bancario 1</t>
  </si>
  <si>
    <t>Préstamo Bancario 2</t>
  </si>
  <si>
    <t>Préstamo Bancario 3</t>
  </si>
  <si>
    <t>Tasa de Interés</t>
  </si>
  <si>
    <t>Préstamo 1</t>
  </si>
  <si>
    <t>Préstamo 2</t>
  </si>
  <si>
    <t>Préstamo 3</t>
  </si>
  <si>
    <t>No. SMLV Aux. Transporte</t>
  </si>
  <si>
    <t>B</t>
  </si>
  <si>
    <t>C</t>
  </si>
  <si>
    <t>Factores integrantes del capital de trabajo</t>
  </si>
  <si>
    <t>Costo de compra MP  A</t>
  </si>
  <si>
    <t>Costo de compra MP  B</t>
  </si>
  <si>
    <t>Costo de compra MP  C</t>
  </si>
  <si>
    <t>CONTADO</t>
  </si>
  <si>
    <t>Combustibles y Lubricantes</t>
  </si>
  <si>
    <t>Envases y Empaques</t>
  </si>
  <si>
    <t>Propaganda y Publicidad</t>
  </si>
  <si>
    <t>Comisiones Contado  %</t>
  </si>
  <si>
    <t>% Comisiones sob/ vtas  contado</t>
  </si>
  <si>
    <t>Clientes</t>
  </si>
  <si>
    <t>Incremento porcentual (%) capacidad instalada</t>
  </si>
  <si>
    <t>Amort.  Diferi.(En Años)</t>
  </si>
  <si>
    <t>PRESTAMOS</t>
  </si>
  <si>
    <t>inventario inicial</t>
  </si>
  <si>
    <t xml:space="preserve">compras </t>
  </si>
  <si>
    <t>inventario final</t>
  </si>
  <si>
    <t>costo de ventas</t>
  </si>
  <si>
    <t>INVENTARIO INICIAL</t>
  </si>
  <si>
    <t>% Incremento Precios año 2</t>
  </si>
  <si>
    <t>% Incremento Año 2</t>
  </si>
  <si>
    <t>Incremento % gastos año 2</t>
  </si>
  <si>
    <t>INCREMENTO DE INVENTARIO</t>
  </si>
  <si>
    <t>Cuentas por Pagar proveedores</t>
  </si>
  <si>
    <t>Este indicador mide la capacidad que tiene la empresa para cancelar sus obligaciones a</t>
  </si>
  <si>
    <t>corto plazo.</t>
  </si>
  <si>
    <t>Activo Corriente</t>
  </si>
  <si>
    <t>Pasivo Corriente</t>
  </si>
  <si>
    <t>Activo Total</t>
  </si>
  <si>
    <t>Pasivo Total</t>
  </si>
  <si>
    <t>Determinan cómo se está financiando la empresa y es muy importante para evaluar sus</t>
  </si>
  <si>
    <t>políticas crediticias.</t>
  </si>
  <si>
    <t>2.1. ENDEUDAMIENTO TOTAL</t>
  </si>
  <si>
    <t xml:space="preserve">Activo Total </t>
  </si>
  <si>
    <t>2.3 APALANCAMIENTO TOTAL</t>
  </si>
  <si>
    <t>Patrimonio</t>
  </si>
  <si>
    <t>Miden la efectividad de la administración de la empresa para generar utilidades</t>
  </si>
  <si>
    <t>3.1. MARGEN BRUTO DE UTILIDAD</t>
  </si>
  <si>
    <t>Utilidad Bruta x 100</t>
  </si>
  <si>
    <t>Ventas Netas</t>
  </si>
  <si>
    <t>3.2. MARGEN NETO DE UTILIDAD</t>
  </si>
  <si>
    <t>Utilidad Neta x 100</t>
  </si>
  <si>
    <t>3.3. PORCENTAJE DE COSTO DE VENTAS</t>
  </si>
  <si>
    <t>Costo de Ventas x 100</t>
  </si>
  <si>
    <t>3.4 PORCENTAJE DE GASTOS OPERACIONALES SOBRE VENTAS NETAS</t>
  </si>
  <si>
    <t>Gastos Operac. x 100</t>
  </si>
  <si>
    <t>3.5 RENDIMIENTO DEL PATRIMONIO</t>
  </si>
  <si>
    <t>4. INDICADORES DE ACTIVIDAD</t>
  </si>
  <si>
    <t>Miden la eficiencia con la cual una empresa utiliza sus activos, según la velocidad de</t>
  </si>
  <si>
    <t>recuperación de los valores aplicados a ellos.</t>
  </si>
  <si>
    <t>Costo Mcia. Vendida</t>
  </si>
  <si>
    <t>Invent.Promedio Mcias.</t>
  </si>
  <si>
    <t>Propiedad Planta y equipo</t>
  </si>
  <si>
    <t>Diferidos ajustados</t>
  </si>
  <si>
    <t>COMPRAS 100%</t>
  </si>
  <si>
    <t>TIPO VENCIMIENTO</t>
  </si>
  <si>
    <t>COMPRAS TOTALES / AÑO</t>
  </si>
  <si>
    <t>RESULTADO</t>
  </si>
  <si>
    <t>VALOR DEL INVENTARIO  AL FINAL DE CADA PERIODO</t>
  </si>
  <si>
    <t>PUNTO DE EQUILIBRIO EN PESOS POR PERIODO</t>
  </si>
  <si>
    <t>Pasivo Cte</t>
  </si>
  <si>
    <t>Activo Cte menos</t>
  </si>
  <si>
    <t>Impuesto de ICO</t>
  </si>
  <si>
    <t>Activo Líquido-Inventarios</t>
  </si>
  <si>
    <t xml:space="preserve">Pasivo Total </t>
  </si>
  <si>
    <t>Promedio Cuentas por Cobrar</t>
  </si>
  <si>
    <t>INDICADORES FINANCIEROS</t>
  </si>
  <si>
    <t>CUOTA  INICIO DEL PERIODO     2</t>
  </si>
  <si>
    <t>CUOTA FINAL DEL PERIODO      1</t>
  </si>
  <si>
    <t>% costo de ventas</t>
  </si>
  <si>
    <t>AÑO</t>
  </si>
  <si>
    <t>1.1.  LIQUIDEZ CORRIENTE O CIRCULANTE</t>
  </si>
  <si>
    <t>1.3.  SOLIDEZ</t>
  </si>
  <si>
    <t>CALCULO  DETALLADO DE NOMINA</t>
  </si>
  <si>
    <t>ESTADO   DE   RESULTADOS   PROYECTADO</t>
  </si>
  <si>
    <t>PRESUPUESTO DE COMPRAS Y VENTAS</t>
  </si>
  <si>
    <t>Ingresos por  Ventas de  Contado en el Periodo</t>
  </si>
  <si>
    <t>Pago Compras de mercancías Contado en el periodo</t>
  </si>
  <si>
    <t>Costo de Vta Promedio Materia Prima</t>
  </si>
  <si>
    <t>PRESUPUESTO DE COMPRAS  Y  VENTAS</t>
  </si>
  <si>
    <t>Del Producto  y/o Servicio</t>
  </si>
  <si>
    <t>Para Cada Producto y/o Servicio</t>
  </si>
  <si>
    <t>Productos y/o Servicio (un)</t>
  </si>
  <si>
    <t xml:space="preserve">SENSIBILIDAD </t>
  </si>
  <si>
    <t>COSTOS MANO DE OBRA DIRECTA</t>
  </si>
  <si>
    <t>SENSIBILIDAD</t>
  </si>
  <si>
    <t>COSTOS DE VTA PROMEDIO TOTAL</t>
  </si>
  <si>
    <t>EN MILES ($000)</t>
  </si>
  <si>
    <t>CAP. DE TRAB. CARTERA</t>
  </si>
  <si>
    <t>Capital de trabajo Cartera</t>
  </si>
  <si>
    <t>% Costo de vtas</t>
  </si>
  <si>
    <t xml:space="preserve">BALANCE GENERAL PROYECTADO </t>
  </si>
  <si>
    <t>TOTAL VTAS MES</t>
  </si>
  <si>
    <t>TOTAL CONTADO AÑO</t>
  </si>
  <si>
    <t>TOTAL VTAS AÑO</t>
  </si>
  <si>
    <t>CONTADO MES</t>
  </si>
  <si>
    <t xml:space="preserve">Gastos de Nomina </t>
  </si>
  <si>
    <t xml:space="preserve">Gastos Generales </t>
  </si>
  <si>
    <t xml:space="preserve">COMPRA INSUMOS </t>
  </si>
  <si>
    <t>Cuentas por Pagar por Flujo caja</t>
  </si>
  <si>
    <t>1.4.  CAPITAL DE TRABAJO NETO</t>
  </si>
  <si>
    <t>FACT. DE RIESGO</t>
  </si>
  <si>
    <t>3.6 RENDIMIENTO DEL ACTIVO TOTAL (ROI)</t>
  </si>
  <si>
    <t>Precio de Venta (miles)</t>
  </si>
  <si>
    <t>Salario (miles)</t>
  </si>
  <si>
    <t>Salario  (miles)</t>
  </si>
  <si>
    <t>Inversión Inicial  (miles)</t>
  </si>
  <si>
    <t>(miles)</t>
  </si>
  <si>
    <t>Capacidad Instalada de</t>
  </si>
  <si>
    <t>Utilidad Neta menos</t>
  </si>
  <si>
    <t>Capital de Trabajo de Costos. Y Gastos</t>
  </si>
  <si>
    <t>Días para Capital de Trabajo Costos Y Gastos.</t>
  </si>
  <si>
    <t>Capital de Trabajo de Cartera</t>
  </si>
  <si>
    <t>Costos Compras Materia Prima</t>
  </si>
  <si>
    <t>Factores de Riesgo Para Análisis de Sensibilidad</t>
  </si>
  <si>
    <t>Tasa Interna de Oportunidad (TIO)</t>
  </si>
  <si>
    <t>Costo de Compra Materia Prima</t>
  </si>
  <si>
    <t>% Incremento Año 3</t>
  </si>
  <si>
    <t>% Incremento Año 4</t>
  </si>
  <si>
    <t>% Incremento Año 5</t>
  </si>
  <si>
    <t>Intereses Cesantías</t>
  </si>
  <si>
    <t>Comisiones Crédito %</t>
  </si>
  <si>
    <t>SI LA FINANCIACIÓN ES % COLOCAR 1</t>
  </si>
  <si>
    <t>SI LA FINANCIACIÓN ES $  COLOCAR 2</t>
  </si>
  <si>
    <t>Porcentaje  Fuentes de Financiación</t>
  </si>
  <si>
    <t>Valores de Fuentes de Financiación</t>
  </si>
  <si>
    <t xml:space="preserve">TOTAL INVERSIÓN </t>
  </si>
  <si>
    <t xml:space="preserve">Días para Capital de Trabajo Cartera   </t>
  </si>
  <si>
    <t xml:space="preserve">Nota : La tasa de interés se debe colocar efectiva anual </t>
  </si>
  <si>
    <t>VARIABLES A TENER EN CUENTA PARA ANÁLISIS DE SENSIBILIDAD</t>
  </si>
  <si>
    <t>Costos  Indirectos Fabricación</t>
  </si>
  <si>
    <t>MENÚ</t>
  </si>
  <si>
    <t>PARÁMETROS GENERALES DE LA EMPRESA</t>
  </si>
  <si>
    <t xml:space="preserve">Información Requerida </t>
  </si>
  <si>
    <t>POLÍTICAS COMERCIALES</t>
  </si>
  <si>
    <t>VENTAS DÍAS</t>
  </si>
  <si>
    <t xml:space="preserve"> COMPRAS DÍAS</t>
  </si>
  <si>
    <t>CRÉDITO</t>
  </si>
  <si>
    <t>% CRÉDITO POR MES</t>
  </si>
  <si>
    <t>%  Ingreso  Vtas Contado Año / mes</t>
  </si>
  <si>
    <t>%  Vtas Crédito al final del   Año / mes</t>
  </si>
  <si>
    <t>%  pago de Comp Contado Año / mes</t>
  </si>
  <si>
    <t>%  Comp Crédito al final del   Año / mes</t>
  </si>
  <si>
    <t>Utilizada Año / mes  1</t>
  </si>
  <si>
    <t>NIVEL DE UTILIZACIÓN CAPACIDAD INSTALADA      A</t>
  </si>
  <si>
    <t>% Incremento Precios año 3</t>
  </si>
  <si>
    <t>% Incremento Precios año 4</t>
  </si>
  <si>
    <t>% Incremento Precios año 5</t>
  </si>
  <si>
    <t>Servicios  Públicos</t>
  </si>
  <si>
    <t>Gastos Legales</t>
  </si>
  <si>
    <t>Mantenimiento Reparaciones</t>
  </si>
  <si>
    <t>Gastos de Viaje</t>
  </si>
  <si>
    <t>Elementos de Aseo y Cafetería</t>
  </si>
  <si>
    <t>Útiles y Papelería</t>
  </si>
  <si>
    <t>Servicios Transporte y Acarreos</t>
  </si>
  <si>
    <t>Gastos Administrativos y de Ventas</t>
  </si>
  <si>
    <t>Días de Existencia de Inventario Mínimo Requerido al Final de Cada  Periodo=======-&gt;</t>
  </si>
  <si>
    <t>% Capacidad Instalada</t>
  </si>
  <si>
    <t>Incremento % gastos año 3</t>
  </si>
  <si>
    <t>Incremento % gastos año 4</t>
  </si>
  <si>
    <t>Incremento % gastos año 5</t>
  </si>
  <si>
    <t>CRÉDITO A MAS DE</t>
  </si>
  <si>
    <t>30 DÍAS</t>
  </si>
  <si>
    <t>POLÍTICA DE VENTAS  MENSUAL</t>
  </si>
  <si>
    <t>TOTAL CRÉDITO  AÑO</t>
  </si>
  <si>
    <t>DÍAS DE EXISTENCIA</t>
  </si>
  <si>
    <t>POLÍTICA DE COMPRAS  MENSUAL</t>
  </si>
  <si>
    <t xml:space="preserve">COMPRAS SENSIBILIDAD EN VENTAS </t>
  </si>
  <si>
    <t>VALOR DEL INVENTARIO AL FINAL DE CADA PERIODO</t>
  </si>
  <si>
    <t>Sensibilidad</t>
  </si>
  <si>
    <t>GASTO DE PRODUCCIÓN</t>
  </si>
  <si>
    <t>PRODUCCIÓN</t>
  </si>
  <si>
    <t>RELACIÓN DE INVERSIONES FIJAS Y DIFERIDAS - GASTOS DE DEPRECIACIÓN Y AMORTIZACIÓN</t>
  </si>
  <si>
    <t>RELACIÓN DE GASTOS DE FUNCIONAMIENTO</t>
  </si>
  <si>
    <t>crédito</t>
  </si>
  <si>
    <t>COSTOS INDIRECTOS FABRICACIÓN</t>
  </si>
  <si>
    <t>DÍAS PARA CAPITAL DE TRABAJO CARTERA</t>
  </si>
  <si>
    <t>VENTAS A CRÉDITO DIARIAS</t>
  </si>
  <si>
    <t>VALOR INVERSIÓN INICIAL</t>
  </si>
  <si>
    <t>RECUPERACIÓN INVERSIÓN</t>
  </si>
  <si>
    <t>TOTAL INVERSIÓN INICIAL</t>
  </si>
  <si>
    <t>FUENTES DE FINANCIACIÓN</t>
  </si>
  <si>
    <t>VALOR INVERSIÓN</t>
  </si>
  <si>
    <t>PRÉSTAMO BANCARIO 1</t>
  </si>
  <si>
    <t>PRÉSTAMO BANCARIO 2</t>
  </si>
  <si>
    <t>PRÉSTAMO BANCARIO 3</t>
  </si>
  <si>
    <t>ANÁLISIS FINANCIACIÓN PRÉSTAMO BANCARIO</t>
  </si>
  <si>
    <t>INTERÉS</t>
  </si>
  <si>
    <t>PRÉSTAMO 1</t>
  </si>
  <si>
    <t>PRÉSTAMO 2</t>
  </si>
  <si>
    <t>PRÉSTAMO 3</t>
  </si>
  <si>
    <t>Ingresos por Ventas a Crédito Al Inicio del Periodo</t>
  </si>
  <si>
    <t>Pago Compras de mercancías Crédito al Inicio del Periodo</t>
  </si>
  <si>
    <t>costo de Personal Producción</t>
  </si>
  <si>
    <t>Costos Indirectos De Fabricación</t>
  </si>
  <si>
    <t xml:space="preserve">Depreciación Acumulada </t>
  </si>
  <si>
    <t>Amortización acumulada</t>
  </si>
  <si>
    <t>ANÁLISIS  DEL FLUJO DE CAJA DEL  INVERSIONISTA.</t>
  </si>
  <si>
    <t>ANÁLISIS FINANCIERO</t>
  </si>
  <si>
    <t>Tasa Interna de Retorno                    (TIR)</t>
  </si>
  <si>
    <t>Valor Presente Neto                         (VPN)</t>
  </si>
  <si>
    <t>Tasa Interna de Oportunidad             (TIO)</t>
  </si>
  <si>
    <t>Tasa verdadera de Rentabilidad      (TVR)</t>
  </si>
  <si>
    <t>Relación Beneficio / Costo                (B/C)</t>
  </si>
  <si>
    <t xml:space="preserve">ANÁLISIS  DEL FLUJO DE CAJA DEL PROYECTO </t>
  </si>
  <si>
    <t>ANÁLISIS DE SENSIBILIDAD - FLUJO DE CAJA DEL  INVERSIONISTA.</t>
  </si>
  <si>
    <t xml:space="preserve">ANÁLISIS DE SENSIBILIDAD - FLUJO DE CAJA DEL PROYECTO </t>
  </si>
  <si>
    <t>1. ÍNDICE DE LIQUIDEZ</t>
  </si>
  <si>
    <t>1.2.  PRUEBA O RAZÓN ÁCIDA</t>
  </si>
  <si>
    <t>2. ÍNDICES DE ENDEUDAMIENTO</t>
  </si>
  <si>
    <t>3. ÍNDICES DE RENTABILIDAD</t>
  </si>
  <si>
    <t>3.7  VALOR ECONÓMICO AGREGADO EVA</t>
  </si>
  <si>
    <t>(Capital Económico X Costo Capital)</t>
  </si>
  <si>
    <t>4.1 ROTACIÓN DE INVENTARIOS</t>
  </si>
  <si>
    <t>4.1 ROTACIÓN DE CARTERA</t>
  </si>
  <si>
    <t>Ventas a Crédito</t>
  </si>
  <si>
    <t>TOTAL GASTOS Y COSTOS DIARIOS</t>
  </si>
  <si>
    <t>TOTAL DÍAS PARA CAPITAL DE TRABAJO</t>
  </si>
  <si>
    <t>TOTAL CAPITAL DE TRABAJO REQUERIDO</t>
  </si>
  <si>
    <t>TOTAL  GASTOS Y COSTOS REQUERIDOS</t>
  </si>
  <si>
    <t>Si el préstamo es Cuota al final   de cada periodo (Cuota Vencida)  Colocar  1</t>
  </si>
  <si>
    <t>Si el préstamo es Cuota al inicio de cada periodo  (Cuata Anticipada)Colocar  2</t>
  </si>
  <si>
    <t>Impuesto Municipal de Industria y Comercio (ICO)</t>
  </si>
  <si>
    <t>Sena</t>
  </si>
  <si>
    <t>Caja de Compensacion Familiar</t>
  </si>
  <si>
    <t>Icbf</t>
  </si>
  <si>
    <t>Salud</t>
  </si>
  <si>
    <t>Pension</t>
  </si>
  <si>
    <t>Riesgos Profesionales</t>
  </si>
  <si>
    <t>UTILIDAD OPERACIONAL</t>
  </si>
  <si>
    <t>UTILIDAD BRUTA</t>
  </si>
  <si>
    <t>UTILIDAD NETA</t>
  </si>
  <si>
    <t>COSTO DE VENTA EN EJECUCION</t>
  </si>
  <si>
    <t>MARGEN DE UTILIDAD ESPERADO</t>
  </si>
  <si>
    <t>PUNTO DE EQUILIBRIO MARGEN UTIL ESPERADO</t>
  </si>
  <si>
    <t>% Aportes Parafiscales</t>
  </si>
  <si>
    <t>Margen Utilidad Esperado</t>
  </si>
  <si>
    <t>% Aportes Prestaciones Sociales</t>
  </si>
  <si>
    <t>Impuesto Cree y Otros</t>
  </si>
  <si>
    <t>IMPUESTO CREE Y OTROS</t>
  </si>
  <si>
    <t>Obligaciones Financieras</t>
  </si>
  <si>
    <t>PREFACTIBILIDAD PARA LA CREACIÓN DE UN PRODUCTO; PARA LA FABRICACION DE BLOQUE CON COMPONENTE DE MATERIAL PET</t>
  </si>
  <si>
    <t>GERENTE</t>
  </si>
  <si>
    <t>VENDEDORES</t>
  </si>
  <si>
    <t>COORDINADOR DE LOGISTICA</t>
  </si>
  <si>
    <t>COORDINADOR DE PLANTA</t>
  </si>
  <si>
    <t>ALMACENISTA</t>
  </si>
  <si>
    <t>AUXILIRES DE CARGA</t>
  </si>
  <si>
    <t>COORDINADOR ADMON TH</t>
  </si>
  <si>
    <t>OPERATIVOS</t>
  </si>
  <si>
    <t>OFICIALES</t>
  </si>
  <si>
    <t>ESPECIAL EQUIPO DE CARGA</t>
  </si>
  <si>
    <t xml:space="preserve">Equipo y Herramienta </t>
  </si>
  <si>
    <t xml:space="preserve">Muebles y enseres administrativo </t>
  </si>
  <si>
    <t xml:space="preserve">Equipo de oficina administrativo </t>
  </si>
  <si>
    <t>Equipo de  oficina operativo</t>
  </si>
  <si>
    <t xml:space="preserve">Vehiculo </t>
  </si>
  <si>
    <t xml:space="preserve">Gastos de constitucion (estudio-constitucion) </t>
  </si>
  <si>
    <t xml:space="preserve">Adecuaciones Locativas </t>
  </si>
  <si>
    <t>Publicidad y mercadeo</t>
  </si>
  <si>
    <t xml:space="preserve">Arriendo </t>
  </si>
  <si>
    <t xml:space="preserve">Servicios publicos </t>
  </si>
  <si>
    <t xml:space="preserve">Gastos de organización </t>
  </si>
  <si>
    <t>Bloque de cemento PET</t>
  </si>
  <si>
    <t>SECRE/AUX CONT/CON/-PUBL</t>
  </si>
  <si>
    <t>ASEADORA/MENSAJERO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</si>
</sst>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\ _$_-;\-* #,##0\ _$_-;_-* &quot;-&quot;\ _$_-;_-@_-"/>
    <numFmt numFmtId="165" formatCode="_-* #,##0.00\ _$_-;\-* #,##0.00\ _$_-;_-* &quot;-&quot;??\ _$_-;_-@_-"/>
    <numFmt numFmtId="166" formatCode="#,##0_ ;[Red]\-#,##0\ "/>
    <numFmt numFmtId="167" formatCode="_-* #,##0\ _$_-;\-* #,##0\ _$_-;_-* &quot;-&quot;??\ _$_-;_-@_-"/>
    <numFmt numFmtId="168" formatCode="#,##0.00\ ;[Red]\(#,##0.00\)\ "/>
    <numFmt numFmtId="169" formatCode="0.000%"/>
    <numFmt numFmtId="170" formatCode="_-* #,##0.000\ _$_-;\-* #,##0.000\ _$_-;_-* &quot;-&quot;??\ _$_-;_-@_-"/>
    <numFmt numFmtId="171" formatCode="#,##0.000"/>
    <numFmt numFmtId="172" formatCode="_-* #,##0.00\ _$_-;\-* #,##0.00\ _$_-;_-* &quot;-&quot;\ _$_-;_-@_-"/>
  </numFmts>
  <fonts count="3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sz val="14"/>
      <name val="Copperplate Gothic Bold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5" tint="-0.499984740745262"/>
      <name val="Arial"/>
      <family val="2"/>
    </font>
    <font>
      <b/>
      <sz val="10"/>
      <color rgb="FF7030A0"/>
      <name val="Arial"/>
      <family val="2"/>
    </font>
    <font>
      <b/>
      <sz val="10"/>
      <color theme="8"/>
      <name val="Arial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  <font>
      <sz val="14"/>
      <color rgb="FFFF0000"/>
      <name val="Copperplate Gothic Bold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i/>
      <u val="double"/>
      <sz val="24"/>
      <color rgb="FF0000FF"/>
      <name val="Arial"/>
      <family val="2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  <font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7C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2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2" borderId="0" xfId="0" applyFill="1"/>
    <xf numFmtId="0" fontId="0" fillId="2" borderId="0" xfId="0" applyFill="1" applyBorder="1" applyAlignment="1">
      <alignment horizontal="center"/>
    </xf>
    <xf numFmtId="0" fontId="2" fillId="2" borderId="0" xfId="0" applyFont="1" applyFill="1" applyBorder="1"/>
    <xf numFmtId="0" fontId="0" fillId="3" borderId="0" xfId="0" applyFill="1"/>
    <xf numFmtId="0" fontId="0" fillId="2" borderId="0" xfId="0" applyFill="1" applyBorder="1"/>
    <xf numFmtId="0" fontId="0" fillId="0" borderId="0" xfId="0" applyBorder="1" applyAlignment="1">
      <alignment horizontal="left"/>
    </xf>
    <xf numFmtId="0" fontId="2" fillId="0" borderId="0" xfId="0" applyFont="1" applyFill="1" applyBorder="1"/>
    <xf numFmtId="0" fontId="0" fillId="0" borderId="0" xfId="0" applyFill="1" applyBorder="1" applyAlignment="1">
      <alignment horizontal="left"/>
    </xf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0" fillId="2" borderId="5" xfId="0" applyFill="1" applyBorder="1" applyProtection="1">
      <protection locked="0"/>
    </xf>
    <xf numFmtId="10" fontId="0" fillId="2" borderId="6" xfId="3" applyNumberFormat="1" applyFont="1" applyFill="1" applyBorder="1" applyProtection="1">
      <protection locked="0"/>
    </xf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Protection="1"/>
    <xf numFmtId="0" fontId="0" fillId="2" borderId="0" xfId="0" applyFill="1" applyBorder="1" applyProtection="1"/>
    <xf numFmtId="0" fontId="2" fillId="4" borderId="1" xfId="0" applyFont="1" applyFill="1" applyBorder="1" applyProtection="1"/>
    <xf numFmtId="0" fontId="2" fillId="4" borderId="7" xfId="0" applyFont="1" applyFill="1" applyBorder="1" applyAlignment="1" applyProtection="1">
      <alignment horizontal="center"/>
    </xf>
    <xf numFmtId="0" fontId="2" fillId="4" borderId="8" xfId="0" applyFont="1" applyFill="1" applyBorder="1" applyAlignment="1" applyProtection="1">
      <alignment horizontal="center"/>
    </xf>
    <xf numFmtId="0" fontId="2" fillId="4" borderId="9" xfId="0" applyFont="1" applyFill="1" applyBorder="1" applyAlignment="1" applyProtection="1">
      <alignment horizontal="center"/>
    </xf>
    <xf numFmtId="3" fontId="0" fillId="0" borderId="0" xfId="0" applyNumberFormat="1" applyProtection="1"/>
    <xf numFmtId="0" fontId="0" fillId="0" borderId="0" xfId="0" applyFill="1" applyProtection="1"/>
    <xf numFmtId="3" fontId="2" fillId="0" borderId="0" xfId="0" applyNumberFormat="1" applyFont="1" applyBorder="1" applyProtection="1"/>
    <xf numFmtId="0" fontId="5" fillId="0" borderId="0" xfId="0" applyFont="1" applyProtection="1"/>
    <xf numFmtId="3" fontId="5" fillId="0" borderId="0" xfId="0" applyNumberFormat="1" applyFont="1" applyBorder="1" applyProtection="1"/>
    <xf numFmtId="3" fontId="0" fillId="2" borderId="6" xfId="3" applyNumberFormat="1" applyFont="1" applyFill="1" applyBorder="1" applyProtection="1">
      <protection locked="0"/>
    </xf>
    <xf numFmtId="0" fontId="9" fillId="4" borderId="1" xfId="0" applyFont="1" applyFill="1" applyBorder="1"/>
    <xf numFmtId="0" fontId="6" fillId="2" borderId="0" xfId="0" applyFont="1" applyFill="1" applyBorder="1" applyAlignment="1">
      <alignment horizontal="center"/>
    </xf>
    <xf numFmtId="0" fontId="2" fillId="4" borderId="10" xfId="0" applyFont="1" applyFill="1" applyBorder="1"/>
    <xf numFmtId="0" fontId="2" fillId="5" borderId="7" xfId="0" applyFont="1" applyFill="1" applyBorder="1"/>
    <xf numFmtId="0" fontId="2" fillId="5" borderId="11" xfId="0" applyFont="1" applyFill="1" applyBorder="1"/>
    <xf numFmtId="0" fontId="2" fillId="5" borderId="11" xfId="0" applyFont="1" applyFill="1" applyBorder="1" applyAlignment="1">
      <alignment horizontal="left"/>
    </xf>
    <xf numFmtId="0" fontId="0" fillId="0" borderId="0" xfId="0" applyProtection="1">
      <protection locked="0"/>
    </xf>
    <xf numFmtId="167" fontId="0" fillId="2" borderId="0" xfId="0" applyNumberFormat="1" applyFill="1"/>
    <xf numFmtId="0" fontId="2" fillId="4" borderId="12" xfId="0" applyFont="1" applyFill="1" applyBorder="1"/>
    <xf numFmtId="3" fontId="5" fillId="0" borderId="0" xfId="3" applyNumberFormat="1" applyFont="1" applyFill="1" applyBorder="1" applyProtection="1"/>
    <xf numFmtId="0" fontId="0" fillId="0" borderId="0" xfId="0" applyBorder="1"/>
    <xf numFmtId="168" fontId="5" fillId="0" borderId="0" xfId="2" applyNumberFormat="1" applyFont="1" applyBorder="1"/>
    <xf numFmtId="168" fontId="5" fillId="0" borderId="0" xfId="2" applyNumberFormat="1" applyFont="1"/>
    <xf numFmtId="168" fontId="5" fillId="0" borderId="0" xfId="0" applyNumberFormat="1" applyFont="1" applyBorder="1"/>
    <xf numFmtId="168" fontId="11" fillId="0" borderId="0" xfId="2" applyNumberFormat="1" applyFont="1"/>
    <xf numFmtId="168" fontId="11" fillId="0" borderId="0" xfId="0" applyNumberFormat="1" applyFont="1" applyBorder="1"/>
    <xf numFmtId="0" fontId="1" fillId="0" borderId="0" xfId="0" applyFont="1" applyBorder="1"/>
    <xf numFmtId="0" fontId="3" fillId="0" borderId="0" xfId="0" applyFont="1" applyFill="1" applyBorder="1" applyAlignment="1" applyProtection="1">
      <alignment vertical="top"/>
    </xf>
    <xf numFmtId="0" fontId="2" fillId="2" borderId="0" xfId="0" applyFont="1" applyFill="1"/>
    <xf numFmtId="0" fontId="0" fillId="6" borderId="0" xfId="0" applyFill="1" applyProtection="1">
      <protection hidden="1"/>
    </xf>
    <xf numFmtId="3" fontId="5" fillId="2" borderId="0" xfId="0" applyNumberFormat="1" applyFont="1" applyFill="1" applyBorder="1"/>
    <xf numFmtId="168" fontId="5" fillId="2" borderId="0" xfId="2" applyNumberFormat="1" applyFont="1" applyFill="1" applyBorder="1"/>
    <xf numFmtId="10" fontId="0" fillId="0" borderId="6" xfId="3" applyNumberFormat="1" applyFont="1" applyBorder="1" applyProtection="1">
      <protection locked="0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left"/>
    </xf>
    <xf numFmtId="0" fontId="2" fillId="5" borderId="1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0" fillId="5" borderId="16" xfId="0" applyFill="1" applyBorder="1"/>
    <xf numFmtId="0" fontId="2" fillId="5" borderId="16" xfId="0" applyFont="1" applyFill="1" applyBorder="1" applyAlignment="1">
      <alignment horizontal="center"/>
    </xf>
    <xf numFmtId="10" fontId="0" fillId="0" borderId="17" xfId="3" applyNumberFormat="1" applyFont="1" applyBorder="1" applyProtection="1">
      <protection locked="0"/>
    </xf>
    <xf numFmtId="0" fontId="2" fillId="5" borderId="18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167" fontId="2" fillId="4" borderId="11" xfId="1" applyNumberFormat="1" applyFont="1" applyFill="1" applyBorder="1" applyProtection="1"/>
    <xf numFmtId="0" fontId="2" fillId="4" borderId="20" xfId="0" applyFont="1" applyFill="1" applyBorder="1"/>
    <xf numFmtId="0" fontId="2" fillId="4" borderId="21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0" fontId="0" fillId="4" borderId="6" xfId="3" applyNumberFormat="1" applyFont="1" applyFill="1" applyBorder="1" applyProtection="1"/>
    <xf numFmtId="0" fontId="3" fillId="0" borderId="0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>
      <alignment horizontal="center"/>
    </xf>
    <xf numFmtId="165" fontId="2" fillId="0" borderId="30" xfId="1" applyFont="1" applyFill="1" applyBorder="1" applyProtection="1">
      <protection locked="0"/>
    </xf>
    <xf numFmtId="165" fontId="2" fillId="0" borderId="31" xfId="1" applyFont="1" applyFill="1" applyBorder="1" applyProtection="1">
      <protection locked="0"/>
    </xf>
    <xf numFmtId="0" fontId="2" fillId="0" borderId="31" xfId="0" applyFont="1" applyFill="1" applyBorder="1" applyProtection="1">
      <protection locked="0"/>
    </xf>
    <xf numFmtId="165" fontId="2" fillId="0" borderId="32" xfId="1" applyFont="1" applyFill="1" applyBorder="1" applyProtection="1">
      <protection locked="0"/>
    </xf>
    <xf numFmtId="0" fontId="2" fillId="0" borderId="30" xfId="0" applyFont="1" applyFill="1" applyBorder="1" applyProtection="1">
      <protection locked="0"/>
    </xf>
    <xf numFmtId="0" fontId="2" fillId="0" borderId="32" xfId="0" applyFont="1" applyFill="1" applyBorder="1" applyProtection="1">
      <protection locked="0"/>
    </xf>
    <xf numFmtId="0" fontId="0" fillId="4" borderId="33" xfId="0" applyFill="1" applyBorder="1" applyProtection="1"/>
    <xf numFmtId="0" fontId="0" fillId="4" borderId="34" xfId="0" applyFill="1" applyBorder="1" applyProtection="1"/>
    <xf numFmtId="0" fontId="0" fillId="4" borderId="5" xfId="0" applyFill="1" applyBorder="1" applyProtection="1"/>
    <xf numFmtId="3" fontId="0" fillId="0" borderId="0" xfId="0" applyNumberFormat="1" applyFill="1" applyBorder="1" applyProtection="1">
      <protection hidden="1"/>
    </xf>
    <xf numFmtId="0" fontId="0" fillId="5" borderId="25" xfId="0" applyFill="1" applyBorder="1" applyProtection="1">
      <protection hidden="1"/>
    </xf>
    <xf numFmtId="3" fontId="0" fillId="0" borderId="0" xfId="3" applyNumberFormat="1" applyFont="1" applyFill="1" applyBorder="1" applyProtection="1">
      <protection hidden="1"/>
    </xf>
    <xf numFmtId="3" fontId="0" fillId="0" borderId="26" xfId="3" applyNumberFormat="1" applyFont="1" applyFill="1" applyBorder="1" applyProtection="1">
      <protection hidden="1"/>
    </xf>
    <xf numFmtId="0" fontId="0" fillId="0" borderId="0" xfId="0" applyFill="1" applyProtection="1">
      <protection hidden="1"/>
    </xf>
    <xf numFmtId="3" fontId="0" fillId="0" borderId="26" xfId="0" applyNumberFormat="1" applyFill="1" applyBorder="1" applyProtection="1">
      <protection hidden="1"/>
    </xf>
    <xf numFmtId="0" fontId="2" fillId="5" borderId="7" xfId="0" applyFont="1" applyFill="1" applyBorder="1" applyProtection="1">
      <protection hidden="1"/>
    </xf>
    <xf numFmtId="3" fontId="0" fillId="5" borderId="23" xfId="0" applyNumberFormat="1" applyFill="1" applyBorder="1" applyProtection="1">
      <protection hidden="1"/>
    </xf>
    <xf numFmtId="3" fontId="0" fillId="5" borderId="8" xfId="0" applyNumberFormat="1" applyFill="1" applyBorder="1" applyProtection="1">
      <protection hidden="1"/>
    </xf>
    <xf numFmtId="3" fontId="0" fillId="5" borderId="9" xfId="0" applyNumberFormat="1" applyFill="1" applyBorder="1" applyProtection="1">
      <protection hidden="1"/>
    </xf>
    <xf numFmtId="0" fontId="2" fillId="5" borderId="25" xfId="0" applyFont="1" applyFill="1" applyBorder="1" applyProtection="1">
      <protection hidden="1"/>
    </xf>
    <xf numFmtId="9" fontId="0" fillId="5" borderId="35" xfId="3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9" fontId="0" fillId="5" borderId="7" xfId="3" applyFont="1" applyFill="1" applyBorder="1" applyProtection="1">
      <protection hidden="1"/>
    </xf>
    <xf numFmtId="9" fontId="0" fillId="5" borderId="16" xfId="3" applyFont="1" applyFill="1" applyBorder="1" applyProtection="1">
      <protection hidden="1"/>
    </xf>
    <xf numFmtId="9" fontId="0" fillId="5" borderId="5" xfId="3" applyFont="1" applyFill="1" applyBorder="1" applyProtection="1">
      <protection hidden="1"/>
    </xf>
    <xf numFmtId="9" fontId="0" fillId="0" borderId="0" xfId="3" applyFont="1" applyFill="1" applyBorder="1" applyProtection="1">
      <protection hidden="1"/>
    </xf>
    <xf numFmtId="9" fontId="0" fillId="0" borderId="0" xfId="3" applyFont="1" applyFill="1" applyProtection="1">
      <protection hidden="1"/>
    </xf>
    <xf numFmtId="9" fontId="0" fillId="5" borderId="13" xfId="3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2" fillId="4" borderId="7" xfId="0" applyFont="1" applyFill="1" applyBorder="1" applyAlignment="1" applyProtection="1">
      <alignment horizontal="center"/>
      <protection hidden="1"/>
    </xf>
    <xf numFmtId="0" fontId="2" fillId="4" borderId="8" xfId="0" applyFont="1" applyFill="1" applyBorder="1" applyAlignment="1" applyProtection="1">
      <alignment horizontal="center"/>
      <protection hidden="1"/>
    </xf>
    <xf numFmtId="0" fontId="2" fillId="4" borderId="9" xfId="0" applyFont="1" applyFill="1" applyBorder="1" applyAlignment="1" applyProtection="1">
      <alignment horizontal="center"/>
      <protection hidden="1"/>
    </xf>
    <xf numFmtId="0" fontId="0" fillId="0" borderId="26" xfId="0" applyFill="1" applyBorder="1" applyProtection="1">
      <protection hidden="1"/>
    </xf>
    <xf numFmtId="0" fontId="0" fillId="0" borderId="25" xfId="0" applyFill="1" applyBorder="1" applyProtection="1">
      <protection hidden="1"/>
    </xf>
    <xf numFmtId="0" fontId="4" fillId="5" borderId="25" xfId="0" applyFont="1" applyFill="1" applyBorder="1" applyProtection="1">
      <protection hidden="1"/>
    </xf>
    <xf numFmtId="9" fontId="4" fillId="5" borderId="0" xfId="3" applyFont="1" applyFill="1" applyBorder="1" applyProtection="1">
      <protection hidden="1"/>
    </xf>
    <xf numFmtId="0" fontId="4" fillId="5" borderId="0" xfId="0" applyFont="1" applyFill="1" applyBorder="1" applyProtection="1">
      <protection hidden="1"/>
    </xf>
    <xf numFmtId="0" fontId="0" fillId="5" borderId="36" xfId="0" applyFill="1" applyBorder="1" applyProtection="1">
      <protection hidden="1"/>
    </xf>
    <xf numFmtId="3" fontId="0" fillId="5" borderId="37" xfId="0" applyNumberFormat="1" applyFill="1" applyBorder="1" applyProtection="1">
      <protection hidden="1"/>
    </xf>
    <xf numFmtId="10" fontId="0" fillId="5" borderId="7" xfId="3" applyNumberFormat="1" applyFont="1" applyFill="1" applyBorder="1" applyProtection="1">
      <protection hidden="1"/>
    </xf>
    <xf numFmtId="10" fontId="0" fillId="5" borderId="8" xfId="3" applyNumberFormat="1" applyFont="1" applyFill="1" applyBorder="1" applyProtection="1">
      <protection hidden="1"/>
    </xf>
    <xf numFmtId="10" fontId="0" fillId="5" borderId="9" xfId="3" applyNumberFormat="1" applyFont="1" applyFill="1" applyBorder="1" applyProtection="1">
      <protection hidden="1"/>
    </xf>
    <xf numFmtId="0" fontId="0" fillId="5" borderId="38" xfId="0" applyFill="1" applyBorder="1" applyProtection="1">
      <protection hidden="1"/>
    </xf>
    <xf numFmtId="3" fontId="0" fillId="5" borderId="39" xfId="0" applyNumberFormat="1" applyFill="1" applyBorder="1" applyProtection="1">
      <protection hidden="1"/>
    </xf>
    <xf numFmtId="10" fontId="0" fillId="5" borderId="25" xfId="3" applyNumberFormat="1" applyFont="1" applyFill="1" applyBorder="1" applyProtection="1">
      <protection hidden="1"/>
    </xf>
    <xf numFmtId="10" fontId="0" fillId="5" borderId="0" xfId="3" applyNumberFormat="1" applyFont="1" applyFill="1" applyBorder="1" applyProtection="1">
      <protection hidden="1"/>
    </xf>
    <xf numFmtId="10" fontId="0" fillId="5" borderId="26" xfId="3" applyNumberFormat="1" applyFont="1" applyFill="1" applyBorder="1" applyProtection="1">
      <protection hidden="1"/>
    </xf>
    <xf numFmtId="3" fontId="0" fillId="0" borderId="23" xfId="0" applyNumberFormat="1" applyFill="1" applyBorder="1" applyProtection="1">
      <protection hidden="1"/>
    </xf>
    <xf numFmtId="3" fontId="0" fillId="0" borderId="24" xfId="0" applyNumberFormat="1" applyFill="1" applyBorder="1" applyProtection="1">
      <protection hidden="1"/>
    </xf>
    <xf numFmtId="0" fontId="0" fillId="5" borderId="27" xfId="0" applyFill="1" applyBorder="1" applyProtection="1">
      <protection hidden="1"/>
    </xf>
    <xf numFmtId="3" fontId="0" fillId="0" borderId="28" xfId="0" applyNumberFormat="1" applyFill="1" applyBorder="1" applyProtection="1">
      <protection hidden="1"/>
    </xf>
    <xf numFmtId="3" fontId="0" fillId="0" borderId="29" xfId="0" applyNumberFormat="1" applyFill="1" applyBorder="1" applyProtection="1">
      <protection hidden="1"/>
    </xf>
    <xf numFmtId="0" fontId="0" fillId="0" borderId="7" xfId="0" applyFill="1" applyBorder="1" applyAlignment="1" applyProtection="1">
      <alignment horizontal="left"/>
      <protection hidden="1"/>
    </xf>
    <xf numFmtId="0" fontId="0" fillId="0" borderId="8" xfId="0" applyFill="1" applyBorder="1" applyProtection="1">
      <protection hidden="1"/>
    </xf>
    <xf numFmtId="0" fontId="0" fillId="0" borderId="9" xfId="0" applyFill="1" applyBorder="1" applyProtection="1">
      <protection hidden="1"/>
    </xf>
    <xf numFmtId="0" fontId="2" fillId="4" borderId="27" xfId="0" applyFont="1" applyFill="1" applyBorder="1" applyAlignment="1" applyProtection="1">
      <alignment horizontal="left"/>
      <protection hidden="1"/>
    </xf>
    <xf numFmtId="0" fontId="2" fillId="4" borderId="28" xfId="0" applyFont="1" applyFill="1" applyBorder="1" applyAlignment="1" applyProtection="1">
      <alignment horizontal="center"/>
      <protection hidden="1"/>
    </xf>
    <xf numFmtId="0" fontId="2" fillId="4" borderId="29" xfId="0" applyFont="1" applyFill="1" applyBorder="1" applyAlignment="1" applyProtection="1">
      <alignment horizontal="center"/>
      <protection hidden="1"/>
    </xf>
    <xf numFmtId="0" fontId="2" fillId="5" borderId="27" xfId="0" applyFont="1" applyFill="1" applyBorder="1" applyProtection="1">
      <protection hidden="1"/>
    </xf>
    <xf numFmtId="3" fontId="0" fillId="5" borderId="28" xfId="0" applyNumberFormat="1" applyFill="1" applyBorder="1" applyProtection="1">
      <protection hidden="1"/>
    </xf>
    <xf numFmtId="3" fontId="0" fillId="5" borderId="29" xfId="0" applyNumberFormat="1" applyFill="1" applyBorder="1" applyProtection="1">
      <protection hidden="1"/>
    </xf>
    <xf numFmtId="3" fontId="0" fillId="0" borderId="7" xfId="0" applyNumberFormat="1" applyFill="1" applyBorder="1" applyProtection="1">
      <protection hidden="1"/>
    </xf>
    <xf numFmtId="3" fontId="0" fillId="0" borderId="8" xfId="0" applyNumberFormat="1" applyFill="1" applyBorder="1" applyProtection="1">
      <protection hidden="1"/>
    </xf>
    <xf numFmtId="3" fontId="0" fillId="0" borderId="9" xfId="0" applyNumberFormat="1" applyFill="1" applyBorder="1" applyProtection="1">
      <protection hidden="1"/>
    </xf>
    <xf numFmtId="0" fontId="2" fillId="4" borderId="7" xfId="0" applyFont="1" applyFill="1" applyBorder="1" applyAlignment="1" applyProtection="1">
      <alignment horizontal="left"/>
      <protection hidden="1"/>
    </xf>
    <xf numFmtId="3" fontId="0" fillId="0" borderId="22" xfId="0" applyNumberFormat="1" applyFill="1" applyBorder="1" applyProtection="1">
      <protection hidden="1"/>
    </xf>
    <xf numFmtId="3" fontId="0" fillId="0" borderId="27" xfId="0" applyNumberFormat="1" applyFill="1" applyBorder="1" applyProtection="1">
      <protection hidden="1"/>
    </xf>
    <xf numFmtId="3" fontId="0" fillId="0" borderId="16" xfId="3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2" fillId="0" borderId="25" xfId="0" applyFont="1" applyFill="1" applyBorder="1" applyProtection="1">
      <protection hidden="1"/>
    </xf>
    <xf numFmtId="3" fontId="0" fillId="0" borderId="23" xfId="3" applyNumberFormat="1" applyFont="1" applyFill="1" applyBorder="1" applyProtection="1">
      <protection hidden="1"/>
    </xf>
    <xf numFmtId="3" fontId="0" fillId="0" borderId="24" xfId="3" applyNumberFormat="1" applyFont="1" applyFill="1" applyBorder="1" applyProtection="1">
      <protection hidden="1"/>
    </xf>
    <xf numFmtId="9" fontId="0" fillId="0" borderId="7" xfId="3" applyNumberFormat="1" applyFont="1" applyFill="1" applyBorder="1" applyProtection="1">
      <protection hidden="1"/>
    </xf>
    <xf numFmtId="9" fontId="0" fillId="0" borderId="8" xfId="3" applyNumberFormat="1" applyFont="1" applyFill="1" applyBorder="1" applyProtection="1">
      <protection hidden="1"/>
    </xf>
    <xf numFmtId="9" fontId="0" fillId="0" borderId="9" xfId="3" applyNumberFormat="1" applyFont="1" applyFill="1" applyBorder="1" applyProtection="1">
      <protection hidden="1"/>
    </xf>
    <xf numFmtId="0" fontId="2" fillId="4" borderId="19" xfId="0" applyFont="1" applyFill="1" applyBorder="1" applyAlignment="1" applyProtection="1">
      <alignment horizontal="center"/>
      <protection hidden="1"/>
    </xf>
    <xf numFmtId="3" fontId="0" fillId="5" borderId="16" xfId="0" applyNumberFormat="1" applyFill="1" applyBorder="1" applyProtection="1">
      <protection hidden="1"/>
    </xf>
    <xf numFmtId="0" fontId="2" fillId="4" borderId="16" xfId="0" applyFont="1" applyFill="1" applyBorder="1" applyAlignment="1" applyProtection="1">
      <alignment horizontal="center"/>
      <protection hidden="1"/>
    </xf>
    <xf numFmtId="0" fontId="2" fillId="4" borderId="7" xfId="0" applyFont="1" applyFill="1" applyBorder="1" applyProtection="1">
      <protection hidden="1"/>
    </xf>
    <xf numFmtId="0" fontId="0" fillId="4" borderId="9" xfId="0" applyFill="1" applyBorder="1" applyProtection="1">
      <protection hidden="1"/>
    </xf>
    <xf numFmtId="3" fontId="0" fillId="0" borderId="16" xfId="0" applyNumberFormat="1" applyFill="1" applyBorder="1" applyProtection="1">
      <protection hidden="1"/>
    </xf>
    <xf numFmtId="3" fontId="0" fillId="0" borderId="0" xfId="0" applyNumberForma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2" borderId="25" xfId="0" applyFont="1" applyFill="1" applyBorder="1" applyAlignment="1" applyProtection="1">
      <alignment horizontal="center"/>
      <protection hidden="1"/>
    </xf>
    <xf numFmtId="0" fontId="2" fillId="2" borderId="18" xfId="0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2" fillId="2" borderId="40" xfId="0" applyFont="1" applyFill="1" applyBorder="1" applyAlignment="1" applyProtection="1">
      <alignment horizontal="center"/>
      <protection hidden="1"/>
    </xf>
    <xf numFmtId="0" fontId="2" fillId="2" borderId="26" xfId="0" applyFont="1" applyFill="1" applyBorder="1" applyAlignment="1" applyProtection="1">
      <alignment horizontal="center"/>
      <protection hidden="1"/>
    </xf>
    <xf numFmtId="0" fontId="0" fillId="2" borderId="25" xfId="0" applyFill="1" applyBorder="1" applyProtection="1">
      <protection hidden="1"/>
    </xf>
    <xf numFmtId="3" fontId="5" fillId="0" borderId="40" xfId="3" applyNumberFormat="1" applyFont="1" applyFill="1" applyBorder="1" applyProtection="1">
      <protection hidden="1"/>
    </xf>
    <xf numFmtId="3" fontId="0" fillId="2" borderId="0" xfId="0" applyNumberFormat="1" applyFill="1" applyBorder="1" applyProtection="1">
      <protection hidden="1"/>
    </xf>
    <xf numFmtId="3" fontId="5" fillId="0" borderId="26" xfId="3" applyNumberFormat="1" applyFont="1" applyFill="1" applyBorder="1" applyProtection="1">
      <protection hidden="1"/>
    </xf>
    <xf numFmtId="0" fontId="2" fillId="5" borderId="25" xfId="0" applyFont="1" applyFill="1" applyBorder="1" applyAlignment="1" applyProtection="1">
      <alignment horizontal="right"/>
      <protection hidden="1"/>
    </xf>
    <xf numFmtId="3" fontId="2" fillId="5" borderId="40" xfId="0" applyNumberFormat="1" applyFont="1" applyFill="1" applyBorder="1" applyProtection="1">
      <protection hidden="1"/>
    </xf>
    <xf numFmtId="3" fontId="2" fillId="5" borderId="0" xfId="0" applyNumberFormat="1" applyFont="1" applyFill="1" applyBorder="1" applyProtection="1">
      <protection hidden="1"/>
    </xf>
    <xf numFmtId="3" fontId="2" fillId="5" borderId="26" xfId="0" applyNumberFormat="1" applyFont="1" applyFill="1" applyBorder="1" applyProtection="1">
      <protection hidden="1"/>
    </xf>
    <xf numFmtId="0" fontId="0" fillId="2" borderId="4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26" xfId="0" applyFill="1" applyBorder="1" applyProtection="1">
      <protection hidden="1"/>
    </xf>
    <xf numFmtId="0" fontId="2" fillId="2" borderId="25" xfId="0" applyFont="1" applyFill="1" applyBorder="1" applyAlignment="1" applyProtection="1">
      <alignment horizontal="left"/>
      <protection hidden="1"/>
    </xf>
    <xf numFmtId="0" fontId="2" fillId="5" borderId="40" xfId="0" applyFont="1" applyFill="1" applyBorder="1" applyProtection="1">
      <protection hidden="1"/>
    </xf>
    <xf numFmtId="0" fontId="2" fillId="5" borderId="0" xfId="0" applyFont="1" applyFill="1" applyBorder="1" applyProtection="1">
      <protection hidden="1"/>
    </xf>
    <xf numFmtId="0" fontId="0" fillId="2" borderId="27" xfId="0" applyFill="1" applyBorder="1" applyProtection="1">
      <protection hidden="1"/>
    </xf>
    <xf numFmtId="0" fontId="0" fillId="2" borderId="19" xfId="0" applyFill="1" applyBorder="1" applyProtection="1">
      <protection hidden="1"/>
    </xf>
    <xf numFmtId="0" fontId="0" fillId="2" borderId="28" xfId="0" applyFill="1" applyBorder="1" applyProtection="1">
      <protection hidden="1"/>
    </xf>
    <xf numFmtId="0" fontId="0" fillId="2" borderId="29" xfId="0" applyFill="1" applyBorder="1" applyProtection="1">
      <protection hidden="1"/>
    </xf>
    <xf numFmtId="0" fontId="2" fillId="4" borderId="22" xfId="0" applyFont="1" applyFill="1" applyBorder="1" applyProtection="1">
      <protection hidden="1"/>
    </xf>
    <xf numFmtId="0" fontId="0" fillId="2" borderId="22" xfId="0" applyFill="1" applyBorder="1" applyProtection="1"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2" fillId="2" borderId="0" xfId="0" applyFont="1" applyFill="1" applyBorder="1" applyAlignment="1" applyProtection="1">
      <alignment horizontal="left"/>
      <protection hidden="1"/>
    </xf>
    <xf numFmtId="0" fontId="2" fillId="2" borderId="28" xfId="0" applyFont="1" applyFill="1" applyBorder="1" applyAlignment="1" applyProtection="1">
      <alignment horizontal="left"/>
      <protection hidden="1"/>
    </xf>
    <xf numFmtId="0" fontId="0" fillId="5" borderId="0" xfId="0" applyFill="1" applyBorder="1" applyProtection="1">
      <protection hidden="1"/>
    </xf>
    <xf numFmtId="3" fontId="0" fillId="2" borderId="40" xfId="0" applyNumberFormat="1" applyFill="1" applyBorder="1" applyProtection="1">
      <protection hidden="1"/>
    </xf>
    <xf numFmtId="3" fontId="0" fillId="2" borderId="26" xfId="0" applyNumberFormat="1" applyFill="1" applyBorder="1" applyProtection="1">
      <protection hidden="1"/>
    </xf>
    <xf numFmtId="0" fontId="2" fillId="5" borderId="7" xfId="0" applyFont="1" applyFill="1" applyBorder="1" applyAlignment="1" applyProtection="1">
      <alignment horizontal="right"/>
      <protection hidden="1"/>
    </xf>
    <xf numFmtId="0" fontId="2" fillId="5" borderId="8" xfId="0" applyFont="1" applyFill="1" applyBorder="1" applyProtection="1">
      <protection hidden="1"/>
    </xf>
    <xf numFmtId="3" fontId="2" fillId="5" borderId="16" xfId="0" applyNumberFormat="1" applyFont="1" applyFill="1" applyBorder="1" applyProtection="1">
      <protection hidden="1"/>
    </xf>
    <xf numFmtId="3" fontId="2" fillId="5" borderId="9" xfId="0" applyNumberFormat="1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5" borderId="8" xfId="0" applyFill="1" applyBorder="1" applyProtection="1">
      <protection hidden="1"/>
    </xf>
    <xf numFmtId="0" fontId="2" fillId="4" borderId="1" xfId="0" applyFont="1" applyFill="1" applyBorder="1" applyProtection="1">
      <protection hidden="1"/>
    </xf>
    <xf numFmtId="9" fontId="2" fillId="2" borderId="6" xfId="3" applyFont="1" applyFill="1" applyBorder="1" applyProtection="1">
      <protection hidden="1"/>
    </xf>
    <xf numFmtId="0" fontId="2" fillId="2" borderId="0" xfId="0" applyFont="1" applyFill="1" applyProtection="1">
      <protection hidden="1"/>
    </xf>
    <xf numFmtId="3" fontId="0" fillId="2" borderId="0" xfId="0" applyNumberFormat="1" applyFill="1" applyProtection="1">
      <protection hidden="1"/>
    </xf>
    <xf numFmtId="0" fontId="2" fillId="4" borderId="12" xfId="0" applyFont="1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2" fillId="4" borderId="24" xfId="0" applyFont="1" applyFill="1" applyBorder="1" applyAlignment="1" applyProtection="1">
      <alignment horizontal="center"/>
      <protection hidden="1"/>
    </xf>
    <xf numFmtId="9" fontId="2" fillId="2" borderId="41" xfId="0" applyNumberFormat="1" applyFont="1" applyFill="1" applyBorder="1" applyProtection="1">
      <protection hidden="1"/>
    </xf>
    <xf numFmtId="0" fontId="0" fillId="2" borderId="42" xfId="0" applyFill="1" applyBorder="1" applyProtection="1">
      <protection hidden="1"/>
    </xf>
    <xf numFmtId="3" fontId="2" fillId="2" borderId="6" xfId="0" applyNumberFormat="1" applyFont="1" applyFill="1" applyBorder="1" applyProtection="1">
      <protection hidden="1"/>
    </xf>
    <xf numFmtId="3" fontId="2" fillId="2" borderId="13" xfId="0" applyNumberFormat="1" applyFont="1" applyFill="1" applyBorder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2" fillId="0" borderId="28" xfId="0" applyFont="1" applyBorder="1" applyAlignment="1" applyProtection="1">
      <alignment horizontal="left"/>
      <protection hidden="1"/>
    </xf>
    <xf numFmtId="0" fontId="8" fillId="4" borderId="7" xfId="0" applyFont="1" applyFill="1" applyBorder="1" applyAlignment="1" applyProtection="1">
      <alignment horizontal="center"/>
      <protection hidden="1"/>
    </xf>
    <xf numFmtId="0" fontId="8" fillId="4" borderId="16" xfId="0" applyFont="1" applyFill="1" applyBorder="1" applyAlignment="1" applyProtection="1">
      <alignment horizontal="center"/>
      <protection hidden="1"/>
    </xf>
    <xf numFmtId="0" fontId="8" fillId="4" borderId="8" xfId="0" applyFont="1" applyFill="1" applyBorder="1" applyAlignment="1" applyProtection="1">
      <alignment horizontal="center"/>
      <protection hidden="1"/>
    </xf>
    <xf numFmtId="0" fontId="8" fillId="5" borderId="25" xfId="0" applyFont="1" applyFill="1" applyBorder="1" applyAlignment="1" applyProtection="1">
      <alignment horizontal="center"/>
      <protection hidden="1"/>
    </xf>
    <xf numFmtId="0" fontId="8" fillId="0" borderId="25" xfId="0" applyFont="1" applyBorder="1" applyAlignment="1" applyProtection="1">
      <alignment horizontal="center"/>
      <protection hidden="1"/>
    </xf>
    <xf numFmtId="0" fontId="8" fillId="0" borderId="40" xfId="0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18" xfId="0" applyFont="1" applyBorder="1" applyProtection="1">
      <protection hidden="1"/>
    </xf>
    <xf numFmtId="0" fontId="5" fillId="0" borderId="24" xfId="0" applyFont="1" applyBorder="1" applyProtection="1">
      <protection hidden="1"/>
    </xf>
    <xf numFmtId="0" fontId="8" fillId="0" borderId="25" xfId="0" applyFont="1" applyFill="1" applyBorder="1" applyAlignment="1" applyProtection="1">
      <alignment horizontal="center"/>
      <protection hidden="1"/>
    </xf>
    <xf numFmtId="0" fontId="5" fillId="0" borderId="40" xfId="0" applyFont="1" applyBorder="1" applyProtection="1">
      <protection hidden="1"/>
    </xf>
    <xf numFmtId="0" fontId="5" fillId="0" borderId="26" xfId="0" applyFont="1" applyBorder="1" applyProtection="1">
      <protection hidden="1"/>
    </xf>
    <xf numFmtId="0" fontId="5" fillId="5" borderId="25" xfId="0" applyFont="1" applyFill="1" applyBorder="1" applyProtection="1">
      <protection hidden="1"/>
    </xf>
    <xf numFmtId="0" fontId="5" fillId="0" borderId="25" xfId="0" applyFont="1" applyFill="1" applyBorder="1" applyProtection="1">
      <protection hidden="1"/>
    </xf>
    <xf numFmtId="3" fontId="5" fillId="0" borderId="40" xfId="0" applyNumberFormat="1" applyFont="1" applyFill="1" applyBorder="1" applyProtection="1">
      <protection hidden="1"/>
    </xf>
    <xf numFmtId="3" fontId="5" fillId="0" borderId="40" xfId="0" applyNumberFormat="1" applyFont="1" applyBorder="1" applyProtection="1">
      <protection hidden="1"/>
    </xf>
    <xf numFmtId="0" fontId="8" fillId="5" borderId="7" xfId="0" applyFont="1" applyFill="1" applyBorder="1" applyAlignment="1" applyProtection="1">
      <alignment horizontal="center"/>
      <protection hidden="1"/>
    </xf>
    <xf numFmtId="3" fontId="8" fillId="5" borderId="16" xfId="0" applyNumberFormat="1" applyFont="1" applyFill="1" applyBorder="1" applyProtection="1">
      <protection hidden="1"/>
    </xf>
    <xf numFmtId="0" fontId="5" fillId="0" borderId="25" xfId="0" applyFont="1" applyBorder="1" applyProtection="1">
      <protection hidden="1"/>
    </xf>
    <xf numFmtId="3" fontId="5" fillId="0" borderId="18" xfId="0" applyNumberFormat="1" applyFont="1" applyBorder="1" applyProtection="1">
      <protection hidden="1"/>
    </xf>
    <xf numFmtId="3" fontId="8" fillId="5" borderId="8" xfId="0" applyNumberFormat="1" applyFont="1" applyFill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2" fillId="0" borderId="28" xfId="0" applyFont="1" applyBorder="1" applyAlignment="1" applyProtection="1">
      <alignment horizontal="center"/>
      <protection hidden="1"/>
    </xf>
    <xf numFmtId="0" fontId="8" fillId="5" borderId="16" xfId="0" applyFont="1" applyFill="1" applyBorder="1" applyAlignment="1" applyProtection="1">
      <alignment horizontal="center"/>
      <protection hidden="1"/>
    </xf>
    <xf numFmtId="3" fontId="5" fillId="0" borderId="25" xfId="0" applyNumberFormat="1" applyFont="1" applyBorder="1" applyProtection="1">
      <protection hidden="1"/>
    </xf>
    <xf numFmtId="3" fontId="5" fillId="0" borderId="19" xfId="0" applyNumberFormat="1" applyFont="1" applyBorder="1" applyProtection="1">
      <protection hidden="1"/>
    </xf>
    <xf numFmtId="0" fontId="8" fillId="0" borderId="7" xfId="0" applyFont="1" applyBorder="1" applyAlignment="1" applyProtection="1">
      <alignment horizontal="right"/>
      <protection hidden="1"/>
    </xf>
    <xf numFmtId="3" fontId="8" fillId="0" borderId="16" xfId="0" applyNumberFormat="1" applyFont="1" applyBorder="1" applyProtection="1">
      <protection hidden="1"/>
    </xf>
    <xf numFmtId="0" fontId="5" fillId="4" borderId="22" xfId="0" applyFont="1" applyFill="1" applyBorder="1" applyProtection="1">
      <protection hidden="1"/>
    </xf>
    <xf numFmtId="9" fontId="5" fillId="0" borderId="24" xfId="3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5" fillId="0" borderId="7" xfId="0" applyFont="1" applyBorder="1" applyProtection="1">
      <protection hidden="1"/>
    </xf>
    <xf numFmtId="10" fontId="5" fillId="0" borderId="8" xfId="0" applyNumberFormat="1" applyFont="1" applyFill="1" applyBorder="1" applyProtection="1">
      <protection hidden="1"/>
    </xf>
    <xf numFmtId="0" fontId="5" fillId="0" borderId="28" xfId="0" applyFont="1" applyBorder="1" applyProtection="1">
      <protection hidden="1"/>
    </xf>
    <xf numFmtId="0" fontId="5" fillId="0" borderId="29" xfId="0" applyFont="1" applyBorder="1" applyProtection="1">
      <protection hidden="1"/>
    </xf>
    <xf numFmtId="10" fontId="5" fillId="0" borderId="0" xfId="0" applyNumberFormat="1" applyFont="1" applyProtection="1">
      <protection hidden="1"/>
    </xf>
    <xf numFmtId="0" fontId="5" fillId="4" borderId="7" xfId="0" applyFont="1" applyFill="1" applyBorder="1" applyProtection="1">
      <protection hidden="1"/>
    </xf>
    <xf numFmtId="0" fontId="5" fillId="0" borderId="27" xfId="0" applyFont="1" applyBorder="1" applyProtection="1">
      <protection hidden="1"/>
    </xf>
    <xf numFmtId="10" fontId="5" fillId="0" borderId="28" xfId="0" applyNumberFormat="1" applyFont="1" applyFill="1" applyBorder="1" applyProtection="1">
      <protection hidden="1"/>
    </xf>
    <xf numFmtId="0" fontId="5" fillId="0" borderId="27" xfId="0" applyFont="1" applyFill="1" applyBorder="1" applyProtection="1">
      <protection hidden="1"/>
    </xf>
    <xf numFmtId="0" fontId="2" fillId="0" borderId="0" xfId="0" applyFont="1" applyProtection="1">
      <protection hidden="1"/>
    </xf>
    <xf numFmtId="9" fontId="8" fillId="0" borderId="16" xfId="3" applyFont="1" applyBorder="1" applyProtection="1">
      <protection hidden="1"/>
    </xf>
    <xf numFmtId="0" fontId="2" fillId="5" borderId="7" xfId="0" applyFont="1" applyFill="1" applyBorder="1" applyAlignment="1" applyProtection="1">
      <alignment horizontal="center"/>
      <protection hidden="1"/>
    </xf>
    <xf numFmtId="0" fontId="2" fillId="5" borderId="8" xfId="0" applyFont="1" applyFill="1" applyBorder="1" applyAlignment="1" applyProtection="1">
      <alignment horizontal="center"/>
      <protection hidden="1"/>
    </xf>
    <xf numFmtId="0" fontId="2" fillId="5" borderId="9" xfId="0" applyFont="1" applyFill="1" applyBorder="1" applyAlignment="1" applyProtection="1">
      <alignment horizontal="center"/>
      <protection hidden="1"/>
    </xf>
    <xf numFmtId="3" fontId="0" fillId="0" borderId="40" xfId="0" applyNumberFormat="1" applyBorder="1" applyProtection="1">
      <protection hidden="1"/>
    </xf>
    <xf numFmtId="3" fontId="2" fillId="0" borderId="40" xfId="0" applyNumberFormat="1" applyFont="1" applyBorder="1" applyProtection="1">
      <protection hidden="1"/>
    </xf>
    <xf numFmtId="0" fontId="0" fillId="0" borderId="27" xfId="0" applyBorder="1" applyAlignment="1" applyProtection="1">
      <protection hidden="1"/>
    </xf>
    <xf numFmtId="9" fontId="0" fillId="0" borderId="29" xfId="3" applyFont="1" applyBorder="1" applyAlignment="1" applyProtection="1">
      <alignment horizontal="left"/>
      <protection hidden="1"/>
    </xf>
    <xf numFmtId="0" fontId="2" fillId="0" borderId="7" xfId="0" applyFont="1" applyFill="1" applyBorder="1" applyAlignment="1" applyProtection="1">
      <alignment horizontal="left"/>
      <protection hidden="1"/>
    </xf>
    <xf numFmtId="0" fontId="2" fillId="0" borderId="8" xfId="0" applyFont="1" applyFill="1" applyBorder="1" applyAlignment="1" applyProtection="1">
      <alignment horizontal="left"/>
      <protection hidden="1"/>
    </xf>
    <xf numFmtId="3" fontId="0" fillId="0" borderId="16" xfId="0" applyNumberFormat="1" applyBorder="1" applyProtection="1">
      <protection hidden="1"/>
    </xf>
    <xf numFmtId="0" fontId="0" fillId="0" borderId="25" xfId="0" applyBorder="1" applyProtection="1">
      <protection hidden="1"/>
    </xf>
    <xf numFmtId="0" fontId="0" fillId="0" borderId="26" xfId="0" applyBorder="1" applyProtection="1">
      <protection hidden="1"/>
    </xf>
    <xf numFmtId="0" fontId="2" fillId="0" borderId="25" xfId="0" applyFont="1" applyBorder="1" applyAlignment="1" applyProtection="1">
      <alignment horizontal="center"/>
      <protection hidden="1"/>
    </xf>
    <xf numFmtId="0" fontId="2" fillId="0" borderId="26" xfId="0" applyFont="1" applyBorder="1" applyAlignment="1" applyProtection="1">
      <alignment horizontal="center"/>
      <protection hidden="1"/>
    </xf>
    <xf numFmtId="3" fontId="0" fillId="0" borderId="26" xfId="0" applyNumberFormat="1" applyBorder="1" applyProtection="1">
      <protection hidden="1"/>
    </xf>
    <xf numFmtId="9" fontId="0" fillId="0" borderId="25" xfId="3" applyFont="1" applyFill="1" applyBorder="1" applyAlignment="1" applyProtection="1">
      <alignment horizontal="center"/>
      <protection hidden="1"/>
    </xf>
    <xf numFmtId="3" fontId="0" fillId="0" borderId="26" xfId="1" applyNumberFormat="1" applyFont="1" applyBorder="1" applyAlignment="1" applyProtection="1">
      <alignment horizontal="right"/>
      <protection hidden="1"/>
    </xf>
    <xf numFmtId="9" fontId="2" fillId="5" borderId="7" xfId="0" applyNumberFormat="1" applyFont="1" applyFill="1" applyBorder="1" applyProtection="1">
      <protection hidden="1"/>
    </xf>
    <xf numFmtId="3" fontId="2" fillId="0" borderId="0" xfId="0" applyNumberFormat="1" applyFont="1" applyBorder="1" applyProtection="1">
      <protection hidden="1"/>
    </xf>
    <xf numFmtId="0" fontId="0" fillId="0" borderId="27" xfId="0" applyFill="1" applyBorder="1" applyProtection="1">
      <protection hidden="1"/>
    </xf>
    <xf numFmtId="3" fontId="0" fillId="0" borderId="29" xfId="0" applyNumberFormat="1" applyBorder="1" applyProtection="1">
      <protection hidden="1"/>
    </xf>
    <xf numFmtId="0" fontId="2" fillId="0" borderId="27" xfId="0" applyFont="1" applyBorder="1" applyProtection="1">
      <protection hidden="1"/>
    </xf>
    <xf numFmtId="9" fontId="2" fillId="0" borderId="8" xfId="3" applyFont="1" applyBorder="1" applyProtection="1">
      <protection hidden="1"/>
    </xf>
    <xf numFmtId="3" fontId="2" fillId="0" borderId="29" xfId="0" applyNumberFormat="1" applyFont="1" applyBorder="1" applyProtection="1">
      <protection hidden="1"/>
    </xf>
    <xf numFmtId="0" fontId="8" fillId="5" borderId="8" xfId="0" applyFont="1" applyFill="1" applyBorder="1" applyAlignment="1" applyProtection="1">
      <alignment horizontal="center"/>
      <protection hidden="1"/>
    </xf>
    <xf numFmtId="0" fontId="8" fillId="5" borderId="22" xfId="0" applyFont="1" applyFill="1" applyBorder="1" applyProtection="1">
      <protection hidden="1"/>
    </xf>
    <xf numFmtId="3" fontId="8" fillId="5" borderId="24" xfId="0" applyNumberFormat="1" applyFont="1" applyFill="1" applyBorder="1" applyProtection="1">
      <protection hidden="1"/>
    </xf>
    <xf numFmtId="3" fontId="5" fillId="0" borderId="23" xfId="0" applyNumberFormat="1" applyFont="1" applyBorder="1" applyProtection="1">
      <protection hidden="1"/>
    </xf>
    <xf numFmtId="9" fontId="5" fillId="5" borderId="26" xfId="3" applyNumberFormat="1" applyFont="1" applyFill="1" applyBorder="1" applyProtection="1">
      <protection hidden="1"/>
    </xf>
    <xf numFmtId="3" fontId="5" fillId="0" borderId="0" xfId="0" applyNumberFormat="1" applyFont="1" applyBorder="1" applyProtection="1">
      <protection hidden="1"/>
    </xf>
    <xf numFmtId="0" fontId="5" fillId="5" borderId="26" xfId="0" applyFont="1" applyFill="1" applyBorder="1" applyProtection="1">
      <protection hidden="1"/>
    </xf>
    <xf numFmtId="3" fontId="5" fillId="0" borderId="28" xfId="0" applyNumberFormat="1" applyFont="1" applyBorder="1" applyProtection="1">
      <protection hidden="1"/>
    </xf>
    <xf numFmtId="3" fontId="5" fillId="5" borderId="26" xfId="0" applyNumberFormat="1" applyFont="1" applyFill="1" applyBorder="1" applyProtection="1">
      <protection hidden="1"/>
    </xf>
    <xf numFmtId="3" fontId="5" fillId="0" borderId="0" xfId="0" applyNumberFormat="1" applyFont="1" applyProtection="1">
      <protection hidden="1"/>
    </xf>
    <xf numFmtId="0" fontId="5" fillId="5" borderId="27" xfId="0" applyFont="1" applyFill="1" applyBorder="1" applyProtection="1">
      <protection hidden="1"/>
    </xf>
    <xf numFmtId="3" fontId="5" fillId="5" borderId="29" xfId="0" applyNumberFormat="1" applyFont="1" applyFill="1" applyBorder="1" applyProtection="1">
      <protection hidden="1"/>
    </xf>
    <xf numFmtId="167" fontId="0" fillId="0" borderId="0" xfId="1" applyNumberFormat="1" applyFont="1" applyProtection="1">
      <protection hidden="1"/>
    </xf>
    <xf numFmtId="3" fontId="5" fillId="0" borderId="29" xfId="0" applyNumberFormat="1" applyFont="1" applyBorder="1" applyProtection="1">
      <protection hidden="1"/>
    </xf>
    <xf numFmtId="0" fontId="5" fillId="5" borderId="7" xfId="0" applyFont="1" applyFill="1" applyBorder="1" applyProtection="1">
      <protection hidden="1"/>
    </xf>
    <xf numFmtId="0" fontId="5" fillId="5" borderId="9" xfId="0" applyFont="1" applyFill="1" applyBorder="1" applyProtection="1">
      <protection hidden="1"/>
    </xf>
    <xf numFmtId="3" fontId="5" fillId="0" borderId="27" xfId="0" applyNumberFormat="1" applyFont="1" applyBorder="1" applyProtection="1">
      <protection hidden="1"/>
    </xf>
    <xf numFmtId="3" fontId="8" fillId="5" borderId="23" xfId="0" applyNumberFormat="1" applyFont="1" applyFill="1" applyBorder="1" applyProtection="1">
      <protection hidden="1"/>
    </xf>
    <xf numFmtId="0" fontId="5" fillId="0" borderId="22" xfId="0" applyFont="1" applyBorder="1" applyProtection="1">
      <protection hidden="1"/>
    </xf>
    <xf numFmtId="0" fontId="5" fillId="0" borderId="23" xfId="0" applyFont="1" applyBorder="1" applyProtection="1">
      <protection hidden="1"/>
    </xf>
    <xf numFmtId="9" fontId="5" fillId="5" borderId="0" xfId="3" applyNumberFormat="1" applyFont="1" applyFill="1" applyBorder="1" applyProtection="1">
      <protection hidden="1"/>
    </xf>
    <xf numFmtId="3" fontId="5" fillId="0" borderId="26" xfId="0" applyNumberFormat="1" applyFont="1" applyBorder="1" applyProtection="1">
      <protection hidden="1"/>
    </xf>
    <xf numFmtId="0" fontId="5" fillId="5" borderId="0" xfId="0" applyFont="1" applyFill="1" applyBorder="1" applyProtection="1">
      <protection hidden="1"/>
    </xf>
    <xf numFmtId="0" fontId="8" fillId="5" borderId="9" xfId="0" applyFont="1" applyFill="1" applyBorder="1" applyAlignment="1" applyProtection="1">
      <alignment horizontal="center"/>
      <protection hidden="1"/>
    </xf>
    <xf numFmtId="3" fontId="5" fillId="0" borderId="22" xfId="0" applyNumberFormat="1" applyFont="1" applyBorder="1" applyProtection="1">
      <protection hidden="1"/>
    </xf>
    <xf numFmtId="3" fontId="5" fillId="0" borderId="24" xfId="0" applyNumberFormat="1" applyFont="1" applyBorder="1" applyProtection="1">
      <protection hidden="1"/>
    </xf>
    <xf numFmtId="0" fontId="8" fillId="0" borderId="27" xfId="0" applyFont="1" applyBorder="1" applyAlignment="1" applyProtection="1">
      <alignment horizontal="right"/>
      <protection hidden="1"/>
    </xf>
    <xf numFmtId="3" fontId="8" fillId="0" borderId="19" xfId="0" applyNumberFormat="1" applyFont="1" applyBorder="1" applyProtection="1">
      <protection hidden="1"/>
    </xf>
    <xf numFmtId="3" fontId="8" fillId="0" borderId="28" xfId="0" applyNumberFormat="1" applyFont="1" applyBorder="1" applyProtection="1">
      <protection hidden="1"/>
    </xf>
    <xf numFmtId="3" fontId="8" fillId="0" borderId="29" xfId="0" applyNumberFormat="1" applyFont="1" applyBorder="1" applyProtection="1">
      <protection hidden="1"/>
    </xf>
    <xf numFmtId="0" fontId="8" fillId="0" borderId="27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24" xfId="0" applyBorder="1" applyProtection="1">
      <protection hidden="1"/>
    </xf>
    <xf numFmtId="3" fontId="0" fillId="0" borderId="25" xfId="0" applyNumberFormat="1" applyBorder="1" applyProtection="1">
      <protection hidden="1"/>
    </xf>
    <xf numFmtId="3" fontId="0" fillId="0" borderId="0" xfId="0" applyNumberFormat="1" applyBorder="1" applyProtection="1">
      <protection hidden="1"/>
    </xf>
    <xf numFmtId="3" fontId="0" fillId="0" borderId="27" xfId="0" applyNumberFormat="1" applyBorder="1" applyProtection="1">
      <protection hidden="1"/>
    </xf>
    <xf numFmtId="3" fontId="0" fillId="0" borderId="28" xfId="0" applyNumberFormat="1" applyBorder="1" applyProtection="1">
      <protection hidden="1"/>
    </xf>
    <xf numFmtId="3" fontId="2" fillId="0" borderId="27" xfId="0" applyNumberFormat="1" applyFont="1" applyBorder="1" applyProtection="1">
      <protection hidden="1"/>
    </xf>
    <xf numFmtId="3" fontId="2" fillId="0" borderId="28" xfId="0" applyNumberFormat="1" applyFont="1" applyBorder="1" applyProtection="1">
      <protection hidden="1"/>
    </xf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9" fontId="0" fillId="0" borderId="25" xfId="0" applyNumberFormat="1" applyBorder="1" applyProtection="1">
      <protection hidden="1"/>
    </xf>
    <xf numFmtId="3" fontId="4" fillId="0" borderId="25" xfId="0" applyNumberFormat="1" applyFont="1" applyBorder="1" applyProtection="1">
      <protection hidden="1"/>
    </xf>
    <xf numFmtId="3" fontId="4" fillId="0" borderId="0" xfId="0" applyNumberFormat="1" applyFont="1" applyBorder="1" applyProtection="1">
      <protection hidden="1"/>
    </xf>
    <xf numFmtId="3" fontId="4" fillId="0" borderId="26" xfId="0" applyNumberFormat="1" applyFont="1" applyBorder="1" applyProtection="1">
      <protection hidden="1"/>
    </xf>
    <xf numFmtId="0" fontId="2" fillId="0" borderId="25" xfId="0" applyFont="1" applyBorder="1" applyProtection="1">
      <protection hidden="1"/>
    </xf>
    <xf numFmtId="3" fontId="2" fillId="0" borderId="25" xfId="0" applyNumberFormat="1" applyFont="1" applyBorder="1" applyProtection="1">
      <protection hidden="1"/>
    </xf>
    <xf numFmtId="3" fontId="2" fillId="0" borderId="26" xfId="0" applyNumberFormat="1" applyFont="1" applyBorder="1" applyProtection="1">
      <protection hidden="1"/>
    </xf>
    <xf numFmtId="0" fontId="0" fillId="0" borderId="27" xfId="0" applyBorder="1" applyProtection="1">
      <protection hidden="1"/>
    </xf>
    <xf numFmtId="9" fontId="0" fillId="0" borderId="27" xfId="3" applyFont="1" applyBorder="1" applyProtection="1">
      <protection hidden="1"/>
    </xf>
    <xf numFmtId="9" fontId="0" fillId="0" borderId="28" xfId="3" applyFont="1" applyBorder="1" applyProtection="1">
      <protection hidden="1"/>
    </xf>
    <xf numFmtId="0" fontId="2" fillId="0" borderId="7" xfId="0" applyFont="1" applyBorder="1" applyProtection="1">
      <protection hidden="1"/>
    </xf>
    <xf numFmtId="0" fontId="0" fillId="0" borderId="19" xfId="0" applyBorder="1" applyProtection="1">
      <protection hidden="1"/>
    </xf>
    <xf numFmtId="9" fontId="0" fillId="0" borderId="24" xfId="3" applyFont="1" applyFill="1" applyBorder="1" applyProtection="1">
      <protection hidden="1"/>
    </xf>
    <xf numFmtId="9" fontId="0" fillId="0" borderId="26" xfId="3" applyFont="1" applyFill="1" applyBorder="1" applyProtection="1">
      <protection hidden="1"/>
    </xf>
    <xf numFmtId="9" fontId="0" fillId="0" borderId="29" xfId="3" applyFont="1" applyFill="1" applyBorder="1" applyProtection="1">
      <protection hidden="1"/>
    </xf>
    <xf numFmtId="0" fontId="8" fillId="0" borderId="18" xfId="0" applyFont="1" applyBorder="1" applyAlignment="1" applyProtection="1">
      <alignment horizontal="center"/>
      <protection hidden="1"/>
    </xf>
    <xf numFmtId="0" fontId="8" fillId="0" borderId="24" xfId="0" applyFont="1" applyBorder="1" applyAlignment="1" applyProtection="1">
      <alignment horizontal="center"/>
      <protection hidden="1"/>
    </xf>
    <xf numFmtId="0" fontId="8" fillId="0" borderId="25" xfId="0" applyFont="1" applyBorder="1" applyProtection="1">
      <protection hidden="1"/>
    </xf>
    <xf numFmtId="0" fontId="8" fillId="0" borderId="7" xfId="0" applyFont="1" applyBorder="1" applyProtection="1">
      <protection hidden="1"/>
    </xf>
    <xf numFmtId="3" fontId="8" fillId="0" borderId="9" xfId="0" applyNumberFormat="1" applyFont="1" applyBorder="1" applyProtection="1">
      <protection hidden="1"/>
    </xf>
    <xf numFmtId="3" fontId="8" fillId="5" borderId="9" xfId="0" applyNumberFormat="1" applyFont="1" applyFill="1" applyBorder="1" applyProtection="1">
      <protection hidden="1"/>
    </xf>
    <xf numFmtId="0" fontId="8" fillId="5" borderId="7" xfId="0" applyFont="1" applyFill="1" applyBorder="1" applyProtection="1">
      <protection hidden="1"/>
    </xf>
    <xf numFmtId="0" fontId="8" fillId="0" borderId="0" xfId="0" applyFont="1" applyProtection="1">
      <protection hidden="1"/>
    </xf>
    <xf numFmtId="3" fontId="0" fillId="0" borderId="0" xfId="0" applyNumberFormat="1" applyProtection="1">
      <protection hidden="1"/>
    </xf>
    <xf numFmtId="9" fontId="5" fillId="0" borderId="40" xfId="3" applyFont="1" applyBorder="1" applyProtection="1">
      <protection hidden="1"/>
    </xf>
    <xf numFmtId="0" fontId="8" fillId="0" borderId="16" xfId="0" applyFont="1" applyBorder="1" applyProtection="1">
      <protection hidden="1"/>
    </xf>
    <xf numFmtId="3" fontId="8" fillId="0" borderId="8" xfId="0" applyNumberFormat="1" applyFont="1" applyBorder="1" applyProtection="1">
      <protection hidden="1"/>
    </xf>
    <xf numFmtId="0" fontId="8" fillId="0" borderId="40" xfId="0" applyFont="1" applyBorder="1" applyProtection="1">
      <protection hidden="1"/>
    </xf>
    <xf numFmtId="3" fontId="8" fillId="0" borderId="26" xfId="0" applyNumberFormat="1" applyFont="1" applyBorder="1" applyProtection="1">
      <protection hidden="1"/>
    </xf>
    <xf numFmtId="3" fontId="8" fillId="0" borderId="40" xfId="0" applyNumberFormat="1" applyFont="1" applyBorder="1" applyProtection="1">
      <protection hidden="1"/>
    </xf>
    <xf numFmtId="3" fontId="8" fillId="0" borderId="0" xfId="0" applyNumberFormat="1" applyFont="1" applyBorder="1" applyProtection="1">
      <protection hidden="1"/>
    </xf>
    <xf numFmtId="3" fontId="8" fillId="0" borderId="24" xfId="0" applyNumberFormat="1" applyFont="1" applyBorder="1" applyProtection="1">
      <protection hidden="1"/>
    </xf>
    <xf numFmtId="3" fontId="8" fillId="0" borderId="18" xfId="0" applyNumberFormat="1" applyFont="1" applyBorder="1" applyProtection="1">
      <protection hidden="1"/>
    </xf>
    <xf numFmtId="3" fontId="8" fillId="0" borderId="23" xfId="0" applyNumberFormat="1" applyFont="1" applyBorder="1" applyProtection="1">
      <protection hidden="1"/>
    </xf>
    <xf numFmtId="9" fontId="8" fillId="0" borderId="0" xfId="3" applyFont="1" applyBorder="1" applyProtection="1">
      <protection hidden="1"/>
    </xf>
    <xf numFmtId="9" fontId="8" fillId="0" borderId="0" xfId="3" applyNumberFormat="1" applyFont="1" applyBorder="1" applyProtection="1">
      <protection hidden="1"/>
    </xf>
    <xf numFmtId="3" fontId="5" fillId="0" borderId="16" xfId="0" applyNumberFormat="1" applyFont="1" applyBorder="1" applyProtection="1">
      <protection hidden="1"/>
    </xf>
    <xf numFmtId="166" fontId="5" fillId="0" borderId="26" xfId="0" applyNumberFormat="1" applyFont="1" applyBorder="1" applyProtection="1">
      <protection hidden="1"/>
    </xf>
    <xf numFmtId="9" fontId="5" fillId="0" borderId="26" xfId="0" applyNumberFormat="1" applyFont="1" applyFill="1" applyBorder="1" applyProtection="1">
      <protection hidden="1"/>
    </xf>
    <xf numFmtId="2" fontId="5" fillId="0" borderId="26" xfId="0" applyNumberFormat="1" applyFont="1" applyBorder="1" applyProtection="1">
      <protection hidden="1"/>
    </xf>
    <xf numFmtId="9" fontId="5" fillId="0" borderId="29" xfId="3" applyFont="1" applyBorder="1" applyProtection="1">
      <protection hidden="1"/>
    </xf>
    <xf numFmtId="3" fontId="8" fillId="0" borderId="7" xfId="0" applyNumberFormat="1" applyFont="1" applyBorder="1" applyProtection="1">
      <protection hidden="1"/>
    </xf>
    <xf numFmtId="166" fontId="5" fillId="0" borderId="40" xfId="0" applyNumberFormat="1" applyFont="1" applyBorder="1" applyProtection="1">
      <protection hidden="1"/>
    </xf>
    <xf numFmtId="0" fontId="5" fillId="0" borderId="19" xfId="0" applyFont="1" applyFill="1" applyBorder="1" applyProtection="1">
      <protection hidden="1"/>
    </xf>
    <xf numFmtId="166" fontId="5" fillId="0" borderId="18" xfId="0" applyNumberFormat="1" applyFont="1" applyBorder="1" applyProtection="1">
      <protection hidden="1"/>
    </xf>
    <xf numFmtId="9" fontId="5" fillId="0" borderId="40" xfId="3" applyNumberFormat="1" applyFont="1" applyBorder="1" applyProtection="1">
      <protection hidden="1"/>
    </xf>
    <xf numFmtId="9" fontId="0" fillId="0" borderId="0" xfId="3" applyFont="1" applyProtection="1">
      <protection hidden="1"/>
    </xf>
    <xf numFmtId="9" fontId="5" fillId="0" borderId="24" xfId="3" applyFont="1" applyFill="1" applyBorder="1" applyProtection="1">
      <protection hidden="1"/>
    </xf>
    <xf numFmtId="9" fontId="5" fillId="0" borderId="26" xfId="3" applyFont="1" applyFill="1" applyBorder="1" applyProtection="1">
      <protection hidden="1"/>
    </xf>
    <xf numFmtId="0" fontId="8" fillId="5" borderId="7" xfId="0" applyFont="1" applyFill="1" applyBorder="1" applyAlignment="1" applyProtection="1">
      <alignment horizontal="center"/>
      <protection locked="0" hidden="1"/>
    </xf>
    <xf numFmtId="0" fontId="8" fillId="5" borderId="16" xfId="0" applyFont="1" applyFill="1" applyBorder="1" applyAlignment="1" applyProtection="1">
      <alignment horizontal="center"/>
      <protection locked="0" hidden="1"/>
    </xf>
    <xf numFmtId="0" fontId="8" fillId="5" borderId="9" xfId="0" applyFont="1" applyFill="1" applyBorder="1" applyAlignment="1" applyProtection="1">
      <alignment horizontal="center"/>
      <protection locked="0" hidden="1"/>
    </xf>
    <xf numFmtId="9" fontId="0" fillId="0" borderId="0" xfId="3" applyNumberFormat="1" applyFont="1" applyProtection="1">
      <protection hidden="1"/>
    </xf>
    <xf numFmtId="3" fontId="5" fillId="0" borderId="17" xfId="0" applyNumberFormat="1" applyFont="1" applyBorder="1" applyProtection="1">
      <protection hidden="1"/>
    </xf>
    <xf numFmtId="0" fontId="16" fillId="2" borderId="0" xfId="0" applyFont="1" applyFill="1" applyBorder="1" applyProtection="1">
      <protection hidden="1"/>
    </xf>
    <xf numFmtId="0" fontId="16" fillId="2" borderId="0" xfId="0" applyFont="1" applyFill="1" applyProtection="1">
      <protection hidden="1"/>
    </xf>
    <xf numFmtId="0" fontId="12" fillId="5" borderId="19" xfId="0" applyFont="1" applyFill="1" applyBorder="1" applyAlignment="1" applyProtection="1">
      <alignment horizontal="center"/>
      <protection hidden="1"/>
    </xf>
    <xf numFmtId="0" fontId="8" fillId="5" borderId="19" xfId="0" applyFont="1" applyFill="1" applyBorder="1" applyAlignment="1" applyProtection="1">
      <alignment horizontal="center"/>
      <protection hidden="1"/>
    </xf>
    <xf numFmtId="0" fontId="8" fillId="5" borderId="28" xfId="0" applyFont="1" applyFill="1" applyBorder="1" applyAlignment="1" applyProtection="1">
      <alignment horizontal="center"/>
      <protection hidden="1"/>
    </xf>
    <xf numFmtId="0" fontId="1" fillId="2" borderId="25" xfId="0" applyFont="1" applyFill="1" applyBorder="1" applyProtection="1">
      <protection hidden="1"/>
    </xf>
    <xf numFmtId="0" fontId="13" fillId="2" borderId="25" xfId="0" applyFont="1" applyFill="1" applyBorder="1" applyProtection="1">
      <protection hidden="1"/>
    </xf>
    <xf numFmtId="0" fontId="14" fillId="2" borderId="36" xfId="0" applyFont="1" applyFill="1" applyBorder="1" applyProtection="1">
      <protection hidden="1"/>
    </xf>
    <xf numFmtId="3" fontId="5" fillId="2" borderId="37" xfId="0" applyNumberFormat="1" applyFont="1" applyFill="1" applyBorder="1" applyProtection="1">
      <protection hidden="1"/>
    </xf>
    <xf numFmtId="3" fontId="5" fillId="2" borderId="43" xfId="0" applyNumberFormat="1" applyFont="1" applyFill="1" applyBorder="1" applyProtection="1">
      <protection hidden="1"/>
    </xf>
    <xf numFmtId="0" fontId="14" fillId="2" borderId="25" xfId="0" applyFont="1" applyFill="1" applyBorder="1" applyProtection="1">
      <protection hidden="1"/>
    </xf>
    <xf numFmtId="3" fontId="5" fillId="2" borderId="0" xfId="0" applyNumberFormat="1" applyFont="1" applyFill="1" applyBorder="1" applyProtection="1">
      <protection hidden="1"/>
    </xf>
    <xf numFmtId="3" fontId="5" fillId="2" borderId="26" xfId="0" applyNumberFormat="1" applyFont="1" applyFill="1" applyBorder="1" applyProtection="1">
      <protection hidden="1"/>
    </xf>
    <xf numFmtId="3" fontId="5" fillId="2" borderId="0" xfId="2" applyNumberFormat="1" applyFont="1" applyFill="1" applyBorder="1" applyProtection="1">
      <protection hidden="1"/>
    </xf>
    <xf numFmtId="0" fontId="2" fillId="2" borderId="38" xfId="0" applyFont="1" applyFill="1" applyBorder="1" applyProtection="1">
      <protection hidden="1"/>
    </xf>
    <xf numFmtId="4" fontId="5" fillId="2" borderId="39" xfId="2" applyNumberFormat="1" applyFont="1" applyFill="1" applyBorder="1" applyAlignment="1" applyProtection="1">
      <alignment horizontal="center"/>
      <protection hidden="1"/>
    </xf>
    <xf numFmtId="4" fontId="5" fillId="2" borderId="17" xfId="2" applyNumberFormat="1" applyFont="1" applyFill="1" applyBorder="1" applyAlignment="1" applyProtection="1">
      <alignment horizontal="center"/>
      <protection hidden="1"/>
    </xf>
    <xf numFmtId="0" fontId="15" fillId="2" borderId="25" xfId="0" applyFont="1" applyFill="1" applyBorder="1" applyProtection="1">
      <protection hidden="1"/>
    </xf>
    <xf numFmtId="4" fontId="0" fillId="2" borderId="0" xfId="0" applyNumberFormat="1" applyFill="1" applyBorder="1" applyAlignment="1" applyProtection="1">
      <alignment horizontal="center"/>
      <protection hidden="1"/>
    </xf>
    <xf numFmtId="4" fontId="5" fillId="2" borderId="0" xfId="2" applyNumberFormat="1" applyFont="1" applyFill="1" applyBorder="1" applyAlignment="1" applyProtection="1">
      <alignment horizontal="center"/>
      <protection hidden="1"/>
    </xf>
    <xf numFmtId="4" fontId="0" fillId="2" borderId="26" xfId="0" applyNumberFormat="1" applyFill="1" applyBorder="1" applyAlignment="1" applyProtection="1">
      <alignment horizontal="center"/>
      <protection hidden="1"/>
    </xf>
    <xf numFmtId="0" fontId="4" fillId="2" borderId="36" xfId="0" applyFont="1" applyFill="1" applyBorder="1" applyProtection="1">
      <protection hidden="1"/>
    </xf>
    <xf numFmtId="4" fontId="5" fillId="2" borderId="37" xfId="0" applyNumberFormat="1" applyFont="1" applyFill="1" applyBorder="1" applyAlignment="1" applyProtection="1">
      <alignment horizontal="center"/>
      <protection hidden="1"/>
    </xf>
    <xf numFmtId="4" fontId="5" fillId="2" borderId="43" xfId="0" applyNumberFormat="1" applyFont="1" applyFill="1" applyBorder="1" applyAlignment="1" applyProtection="1">
      <alignment horizontal="center"/>
      <protection hidden="1"/>
    </xf>
    <xf numFmtId="4" fontId="5" fillId="2" borderId="0" xfId="0" applyNumberFormat="1" applyFont="1" applyFill="1" applyBorder="1" applyAlignment="1" applyProtection="1">
      <alignment horizontal="center"/>
      <protection hidden="1"/>
    </xf>
    <xf numFmtId="4" fontId="5" fillId="2" borderId="26" xfId="0" applyNumberFormat="1" applyFont="1" applyFill="1" applyBorder="1" applyAlignment="1" applyProtection="1">
      <alignment horizontal="center"/>
      <protection hidden="1"/>
    </xf>
    <xf numFmtId="0" fontId="2" fillId="2" borderId="25" xfId="0" applyFont="1" applyFill="1" applyBorder="1" applyProtection="1">
      <protection hidden="1"/>
    </xf>
    <xf numFmtId="4" fontId="5" fillId="2" borderId="26" xfId="2" applyNumberFormat="1" applyFont="1" applyFill="1" applyBorder="1" applyAlignment="1" applyProtection="1">
      <alignment horizontal="center"/>
      <protection hidden="1"/>
    </xf>
    <xf numFmtId="4" fontId="0" fillId="2" borderId="0" xfId="0" applyNumberFormat="1" applyFill="1" applyProtection="1">
      <protection hidden="1"/>
    </xf>
    <xf numFmtId="168" fontId="8" fillId="2" borderId="38" xfId="2" applyNumberFormat="1" applyFont="1" applyFill="1" applyBorder="1" applyProtection="1">
      <protection hidden="1"/>
    </xf>
    <xf numFmtId="4" fontId="5" fillId="2" borderId="0" xfId="0" applyNumberFormat="1" applyFont="1" applyFill="1" applyBorder="1" applyProtection="1">
      <protection hidden="1"/>
    </xf>
    <xf numFmtId="4" fontId="5" fillId="2" borderId="26" xfId="0" applyNumberFormat="1" applyFont="1" applyFill="1" applyBorder="1" applyProtection="1">
      <protection hidden="1"/>
    </xf>
    <xf numFmtId="4" fontId="5" fillId="2" borderId="0" xfId="2" applyNumberFormat="1" applyFont="1" applyFill="1" applyBorder="1" applyProtection="1">
      <protection hidden="1"/>
    </xf>
    <xf numFmtId="4" fontId="0" fillId="2" borderId="0" xfId="0" applyNumberFormat="1" applyFill="1" applyBorder="1" applyProtection="1">
      <protection hidden="1"/>
    </xf>
    <xf numFmtId="4" fontId="0" fillId="2" borderId="26" xfId="0" applyNumberFormat="1" applyFill="1" applyBorder="1" applyProtection="1">
      <protection hidden="1"/>
    </xf>
    <xf numFmtId="4" fontId="5" fillId="2" borderId="39" xfId="2" applyNumberFormat="1" applyFont="1" applyFill="1" applyBorder="1" applyProtection="1">
      <protection hidden="1"/>
    </xf>
    <xf numFmtId="4" fontId="5" fillId="2" borderId="17" xfId="2" applyNumberFormat="1" applyFont="1" applyFill="1" applyBorder="1" applyProtection="1">
      <protection hidden="1"/>
    </xf>
    <xf numFmtId="168" fontId="5" fillId="2" borderId="0" xfId="2" applyNumberFormat="1" applyFont="1" applyFill="1" applyBorder="1" applyProtection="1">
      <protection hidden="1"/>
    </xf>
    <xf numFmtId="0" fontId="5" fillId="2" borderId="0" xfId="0" applyFont="1" applyFill="1" applyBorder="1" applyProtection="1">
      <protection hidden="1"/>
    </xf>
    <xf numFmtId="168" fontId="11" fillId="2" borderId="0" xfId="2" applyNumberFormat="1" applyFont="1" applyFill="1" applyBorder="1" applyProtection="1">
      <protection hidden="1"/>
    </xf>
    <xf numFmtId="0" fontId="1" fillId="2" borderId="0" xfId="0" applyFont="1" applyFill="1" applyBorder="1" applyProtection="1">
      <protection hidden="1"/>
    </xf>
    <xf numFmtId="0" fontId="12" fillId="2" borderId="25" xfId="0" applyFont="1" applyFill="1" applyBorder="1" applyProtection="1">
      <protection hidden="1"/>
    </xf>
    <xf numFmtId="10" fontId="2" fillId="2" borderId="38" xfId="0" applyNumberFormat="1" applyFont="1" applyFill="1" applyBorder="1" applyProtection="1">
      <protection hidden="1"/>
    </xf>
    <xf numFmtId="10" fontId="5" fillId="2" borderId="39" xfId="3" applyNumberFormat="1" applyFont="1" applyFill="1" applyBorder="1" applyAlignment="1" applyProtection="1">
      <alignment horizontal="center"/>
      <protection hidden="1"/>
    </xf>
    <xf numFmtId="10" fontId="5" fillId="2" borderId="17" xfId="3" applyNumberFormat="1" applyFont="1" applyFill="1" applyBorder="1" applyAlignment="1" applyProtection="1">
      <alignment horizontal="center"/>
      <protection hidden="1"/>
    </xf>
    <xf numFmtId="10" fontId="0" fillId="2" borderId="25" xfId="0" applyNumberFormat="1" applyFill="1" applyBorder="1" applyProtection="1">
      <protection hidden="1"/>
    </xf>
    <xf numFmtId="10" fontId="5" fillId="2" borderId="0" xfId="0" applyNumberFormat="1" applyFont="1" applyFill="1" applyBorder="1" applyAlignment="1" applyProtection="1">
      <alignment horizontal="center"/>
      <protection hidden="1"/>
    </xf>
    <xf numFmtId="10" fontId="5" fillId="2" borderId="0" xfId="2" applyNumberFormat="1" applyFont="1" applyFill="1" applyBorder="1" applyAlignment="1" applyProtection="1">
      <alignment horizontal="center"/>
      <protection hidden="1"/>
    </xf>
    <xf numFmtId="10" fontId="0" fillId="2" borderId="0" xfId="0" applyNumberFormat="1" applyFill="1" applyBorder="1" applyAlignment="1" applyProtection="1">
      <alignment horizontal="center"/>
      <protection hidden="1"/>
    </xf>
    <xf numFmtId="10" fontId="0" fillId="2" borderId="26" xfId="0" applyNumberFormat="1" applyFill="1" applyBorder="1" applyAlignment="1" applyProtection="1">
      <alignment horizontal="center"/>
      <protection hidden="1"/>
    </xf>
    <xf numFmtId="10" fontId="15" fillId="2" borderId="25" xfId="0" applyNumberFormat="1" applyFont="1" applyFill="1" applyBorder="1" applyProtection="1">
      <protection hidden="1"/>
    </xf>
    <xf numFmtId="10" fontId="14" fillId="2" borderId="25" xfId="0" applyNumberFormat="1" applyFont="1" applyFill="1" applyBorder="1" applyProtection="1">
      <protection hidden="1"/>
    </xf>
    <xf numFmtId="10" fontId="5" fillId="2" borderId="26" xfId="0" applyNumberFormat="1" applyFont="1" applyFill="1" applyBorder="1" applyAlignment="1" applyProtection="1">
      <alignment horizontal="center"/>
      <protection hidden="1"/>
    </xf>
    <xf numFmtId="10" fontId="5" fillId="2" borderId="0" xfId="0" applyNumberFormat="1" applyFont="1" applyFill="1" applyBorder="1" applyProtection="1">
      <protection hidden="1"/>
    </xf>
    <xf numFmtId="10" fontId="5" fillId="2" borderId="0" xfId="2" applyNumberFormat="1" applyFont="1" applyFill="1" applyBorder="1" applyProtection="1">
      <protection hidden="1"/>
    </xf>
    <xf numFmtId="10" fontId="0" fillId="2" borderId="0" xfId="0" applyNumberFormat="1" applyFill="1" applyBorder="1" applyProtection="1">
      <protection hidden="1"/>
    </xf>
    <xf numFmtId="10" fontId="0" fillId="2" borderId="26" xfId="0" applyNumberFormat="1" applyFill="1" applyBorder="1" applyProtection="1">
      <protection hidden="1"/>
    </xf>
    <xf numFmtId="10" fontId="0" fillId="4" borderId="8" xfId="0" applyNumberFormat="1" applyFill="1" applyBorder="1" applyProtection="1">
      <protection hidden="1"/>
    </xf>
    <xf numFmtId="10" fontId="0" fillId="4" borderId="9" xfId="0" applyNumberFormat="1" applyFill="1" applyBorder="1" applyProtection="1">
      <protection hidden="1"/>
    </xf>
    <xf numFmtId="10" fontId="12" fillId="5" borderId="19" xfId="0" applyNumberFormat="1" applyFont="1" applyFill="1" applyBorder="1" applyAlignment="1" applyProtection="1">
      <alignment horizontal="center"/>
      <protection hidden="1"/>
    </xf>
    <xf numFmtId="10" fontId="1" fillId="2" borderId="25" xfId="0" applyNumberFormat="1" applyFont="1" applyFill="1" applyBorder="1" applyProtection="1">
      <protection hidden="1"/>
    </xf>
    <xf numFmtId="10" fontId="5" fillId="2" borderId="39" xfId="0" applyNumberFormat="1" applyFont="1" applyFill="1" applyBorder="1" applyAlignment="1" applyProtection="1">
      <alignment horizontal="center"/>
      <protection hidden="1"/>
    </xf>
    <xf numFmtId="10" fontId="15" fillId="2" borderId="38" xfId="0" applyNumberFormat="1" applyFont="1" applyFill="1" applyBorder="1" applyProtection="1">
      <protection hidden="1"/>
    </xf>
    <xf numFmtId="10" fontId="4" fillId="2" borderId="25" xfId="0" applyNumberFormat="1" applyFont="1" applyFill="1" applyBorder="1" applyProtection="1">
      <protection hidden="1"/>
    </xf>
    <xf numFmtId="10" fontId="0" fillId="2" borderId="39" xfId="0" applyNumberFormat="1" applyFill="1" applyBorder="1" applyAlignment="1" applyProtection="1">
      <alignment horizontal="center"/>
      <protection hidden="1"/>
    </xf>
    <xf numFmtId="10" fontId="0" fillId="2" borderId="27" xfId="0" applyNumberFormat="1" applyFill="1" applyBorder="1" applyProtection="1">
      <protection hidden="1"/>
    </xf>
    <xf numFmtId="10" fontId="0" fillId="2" borderId="28" xfId="0" applyNumberFormat="1" applyFill="1" applyBorder="1" applyProtection="1">
      <protection hidden="1"/>
    </xf>
    <xf numFmtId="10" fontId="0" fillId="2" borderId="29" xfId="0" applyNumberFormat="1" applyFill="1" applyBorder="1" applyProtection="1">
      <protection hidden="1"/>
    </xf>
    <xf numFmtId="10" fontId="0" fillId="2" borderId="0" xfId="0" applyNumberFormat="1" applyFill="1" applyProtection="1">
      <protection hidden="1"/>
    </xf>
    <xf numFmtId="10" fontId="2" fillId="2" borderId="36" xfId="0" applyNumberFormat="1" applyFont="1" applyFill="1" applyBorder="1" applyProtection="1">
      <protection hidden="1"/>
    </xf>
    <xf numFmtId="10" fontId="5" fillId="2" borderId="37" xfId="3" applyNumberFormat="1" applyFont="1" applyFill="1" applyBorder="1" applyAlignment="1" applyProtection="1">
      <alignment horizontal="center"/>
      <protection hidden="1"/>
    </xf>
    <xf numFmtId="10" fontId="4" fillId="2" borderId="22" xfId="0" applyNumberFormat="1" applyFont="1" applyFill="1" applyBorder="1" applyProtection="1">
      <protection hidden="1"/>
    </xf>
    <xf numFmtId="10" fontId="5" fillId="2" borderId="23" xfId="0" applyNumberFormat="1" applyFont="1" applyFill="1" applyBorder="1" applyProtection="1">
      <protection hidden="1"/>
    </xf>
    <xf numFmtId="10" fontId="5" fillId="2" borderId="23" xfId="2" applyNumberFormat="1" applyFont="1" applyFill="1" applyBorder="1" applyProtection="1">
      <protection hidden="1"/>
    </xf>
    <xf numFmtId="10" fontId="0" fillId="2" borderId="23" xfId="0" applyNumberFormat="1" applyFill="1" applyBorder="1" applyProtection="1">
      <protection hidden="1"/>
    </xf>
    <xf numFmtId="10" fontId="0" fillId="2" borderId="24" xfId="0" applyNumberFormat="1" applyFill="1" applyBorder="1" applyProtection="1">
      <protection hidden="1"/>
    </xf>
    <xf numFmtId="3" fontId="5" fillId="2" borderId="0" xfId="0" applyNumberFormat="1" applyFont="1" applyFill="1" applyBorder="1" applyAlignment="1" applyProtection="1">
      <alignment horizontal="center"/>
      <protection hidden="1"/>
    </xf>
    <xf numFmtId="3" fontId="5" fillId="2" borderId="26" xfId="0" applyNumberFormat="1" applyFont="1" applyFill="1" applyBorder="1" applyAlignment="1" applyProtection="1">
      <alignment horizontal="center"/>
      <protection hidden="1"/>
    </xf>
    <xf numFmtId="10" fontId="5" fillId="0" borderId="9" xfId="0" applyNumberFormat="1" applyFont="1" applyFill="1" applyBorder="1" applyProtection="1">
      <protection hidden="1"/>
    </xf>
    <xf numFmtId="10" fontId="5" fillId="0" borderId="18" xfId="3" applyNumberFormat="1" applyFont="1" applyBorder="1" applyProtection="1">
      <protection hidden="1"/>
    </xf>
    <xf numFmtId="10" fontId="5" fillId="0" borderId="24" xfId="3" applyNumberFormat="1" applyFont="1" applyBorder="1" applyProtection="1">
      <protection hidden="1"/>
    </xf>
    <xf numFmtId="0" fontId="0" fillId="0" borderId="23" xfId="0" applyFill="1" applyBorder="1" applyProtection="1">
      <protection hidden="1"/>
    </xf>
    <xf numFmtId="0" fontId="0" fillId="0" borderId="24" xfId="0" applyFill="1" applyBorder="1" applyProtection="1">
      <protection hidden="1"/>
    </xf>
    <xf numFmtId="3" fontId="0" fillId="5" borderId="8" xfId="3" applyNumberFormat="1" applyFont="1" applyFill="1" applyBorder="1" applyProtection="1">
      <protection hidden="1"/>
    </xf>
    <xf numFmtId="3" fontId="0" fillId="5" borderId="9" xfId="3" applyNumberFormat="1" applyFont="1" applyFill="1" applyBorder="1" applyProtection="1">
      <protection hidden="1"/>
    </xf>
    <xf numFmtId="10" fontId="5" fillId="0" borderId="16" xfId="3" applyNumberFormat="1" applyFont="1" applyBorder="1" applyProtection="1">
      <protection hidden="1"/>
    </xf>
    <xf numFmtId="10" fontId="5" fillId="0" borderId="9" xfId="3" applyNumberFormat="1" applyFont="1" applyBorder="1" applyProtection="1">
      <protection hidden="1"/>
    </xf>
    <xf numFmtId="171" fontId="0" fillId="0" borderId="23" xfId="0" applyNumberFormat="1" applyFill="1" applyBorder="1" applyProtection="1">
      <protection hidden="1"/>
    </xf>
    <xf numFmtId="171" fontId="0" fillId="0" borderId="0" xfId="0" applyNumberFormat="1" applyFill="1" applyBorder="1" applyProtection="1">
      <protection hidden="1"/>
    </xf>
    <xf numFmtId="171" fontId="0" fillId="0" borderId="28" xfId="0" applyNumberFormat="1" applyFill="1" applyBorder="1" applyProtection="1">
      <protection hidden="1"/>
    </xf>
    <xf numFmtId="171" fontId="0" fillId="0" borderId="24" xfId="0" applyNumberFormat="1" applyFill="1" applyBorder="1" applyProtection="1">
      <protection hidden="1"/>
    </xf>
    <xf numFmtId="171" fontId="0" fillId="0" borderId="26" xfId="0" applyNumberFormat="1" applyFill="1" applyBorder="1" applyProtection="1">
      <protection hidden="1"/>
    </xf>
    <xf numFmtId="171" fontId="0" fillId="0" borderId="29" xfId="0" applyNumberFormat="1" applyFill="1" applyBorder="1" applyProtection="1">
      <protection hidden="1"/>
    </xf>
    <xf numFmtId="10" fontId="5" fillId="0" borderId="40" xfId="3" applyNumberFormat="1" applyFont="1" applyFill="1" applyBorder="1" applyProtection="1">
      <protection hidden="1"/>
    </xf>
    <xf numFmtId="0" fontId="2" fillId="5" borderId="20" xfId="0" applyFont="1" applyFill="1" applyBorder="1"/>
    <xf numFmtId="0" fontId="2" fillId="4" borderId="44" xfId="0" applyFont="1" applyFill="1" applyBorder="1"/>
    <xf numFmtId="0" fontId="2" fillId="4" borderId="45" xfId="0" applyFont="1" applyFill="1" applyBorder="1"/>
    <xf numFmtId="0" fontId="2" fillId="5" borderId="22" xfId="0" applyFont="1" applyFill="1" applyBorder="1" applyProtection="1"/>
    <xf numFmtId="0" fontId="0" fillId="5" borderId="24" xfId="0" applyFill="1" applyBorder="1" applyProtection="1"/>
    <xf numFmtId="0" fontId="2" fillId="5" borderId="27" xfId="0" applyFont="1" applyFill="1" applyBorder="1" applyProtection="1"/>
    <xf numFmtId="0" fontId="0" fillId="5" borderId="29" xfId="0" applyFill="1" applyBorder="1" applyProtection="1"/>
    <xf numFmtId="0" fontId="2" fillId="0" borderId="34" xfId="0" applyFont="1" applyFill="1" applyBorder="1" applyProtection="1">
      <protection locked="0"/>
    </xf>
    <xf numFmtId="0" fontId="2" fillId="0" borderId="46" xfId="0" applyFont="1" applyFill="1" applyBorder="1" applyProtection="1">
      <protection locked="0"/>
    </xf>
    <xf numFmtId="0" fontId="2" fillId="0" borderId="5" xfId="0" applyFont="1" applyFill="1" applyBorder="1" applyProtection="1">
      <protection locked="0"/>
    </xf>
    <xf numFmtId="9" fontId="0" fillId="0" borderId="0" xfId="3" applyNumberFormat="1" applyFont="1" applyFill="1" applyProtection="1">
      <protection hidden="1"/>
    </xf>
    <xf numFmtId="0" fontId="2" fillId="4" borderId="8" xfId="0" applyFont="1" applyFill="1" applyBorder="1" applyProtection="1">
      <protection hidden="1"/>
    </xf>
    <xf numFmtId="0" fontId="2" fillId="4" borderId="9" xfId="0" applyFont="1" applyFill="1" applyBorder="1" applyProtection="1">
      <protection hidden="1"/>
    </xf>
    <xf numFmtId="9" fontId="0" fillId="0" borderId="0" xfId="0" applyNumberFormat="1" applyFill="1" applyProtection="1">
      <protection hidden="1"/>
    </xf>
    <xf numFmtId="0" fontId="2" fillId="0" borderId="18" xfId="0" applyFont="1" applyFill="1" applyBorder="1" applyProtection="1">
      <protection hidden="1"/>
    </xf>
    <xf numFmtId="10" fontId="0" fillId="0" borderId="28" xfId="3" applyNumberFormat="1" applyFont="1" applyFill="1" applyBorder="1" applyProtection="1">
      <protection hidden="1"/>
    </xf>
    <xf numFmtId="0" fontId="0" fillId="5" borderId="16" xfId="0" applyFill="1" applyBorder="1" applyProtection="1">
      <protection hidden="1"/>
    </xf>
    <xf numFmtId="9" fontId="0" fillId="0" borderId="16" xfId="0" applyNumberFormat="1" applyBorder="1" applyProtection="1">
      <protection hidden="1"/>
    </xf>
    <xf numFmtId="4" fontId="5" fillId="2" borderId="37" xfId="3" applyNumberFormat="1" applyFont="1" applyFill="1" applyBorder="1" applyAlignment="1" applyProtection="1">
      <alignment horizontal="center"/>
      <protection hidden="1"/>
    </xf>
    <xf numFmtId="4" fontId="5" fillId="2" borderId="43" xfId="3" applyNumberFormat="1" applyFont="1" applyFill="1" applyBorder="1" applyAlignment="1" applyProtection="1">
      <alignment horizontal="center"/>
      <protection hidden="1"/>
    </xf>
    <xf numFmtId="4" fontId="5" fillId="2" borderId="39" xfId="3" applyNumberFormat="1" applyFont="1" applyFill="1" applyBorder="1" applyAlignment="1" applyProtection="1">
      <alignment horizontal="center"/>
      <protection hidden="1"/>
    </xf>
    <xf numFmtId="4" fontId="5" fillId="2" borderId="17" xfId="3" applyNumberFormat="1" applyFont="1" applyFill="1" applyBorder="1" applyAlignment="1" applyProtection="1">
      <alignment horizontal="center"/>
      <protection hidden="1"/>
    </xf>
    <xf numFmtId="3" fontId="5" fillId="0" borderId="47" xfId="0" applyNumberFormat="1" applyFont="1" applyBorder="1" applyProtection="1">
      <protection hidden="1"/>
    </xf>
    <xf numFmtId="10" fontId="1" fillId="2" borderId="22" xfId="0" applyNumberFormat="1" applyFont="1" applyFill="1" applyBorder="1" applyProtection="1">
      <protection hidden="1"/>
    </xf>
    <xf numFmtId="10" fontId="14" fillId="2" borderId="27" xfId="0" applyNumberFormat="1" applyFont="1" applyFill="1" applyBorder="1" applyProtection="1">
      <protection hidden="1"/>
    </xf>
    <xf numFmtId="10" fontId="5" fillId="2" borderId="28" xfId="0" applyNumberFormat="1" applyFont="1" applyFill="1" applyBorder="1" applyProtection="1">
      <protection hidden="1"/>
    </xf>
    <xf numFmtId="10" fontId="5" fillId="2" borderId="28" xfId="2" applyNumberFormat="1" applyFont="1" applyFill="1" applyBorder="1" applyProtection="1">
      <protection hidden="1"/>
    </xf>
    <xf numFmtId="0" fontId="1" fillId="2" borderId="22" xfId="0" applyFont="1" applyFill="1" applyBorder="1" applyProtection="1">
      <protection hidden="1"/>
    </xf>
    <xf numFmtId="0" fontId="5" fillId="2" borderId="23" xfId="0" applyFont="1" applyFill="1" applyBorder="1" applyProtection="1">
      <protection hidden="1"/>
    </xf>
    <xf numFmtId="168" fontId="11" fillId="2" borderId="23" xfId="2" applyNumberFormat="1" applyFont="1" applyFill="1" applyBorder="1" applyProtection="1">
      <protection hidden="1"/>
    </xf>
    <xf numFmtId="0" fontId="0" fillId="2" borderId="23" xfId="0" applyFill="1" applyBorder="1" applyProtection="1">
      <protection hidden="1"/>
    </xf>
    <xf numFmtId="0" fontId="1" fillId="2" borderId="23" xfId="0" applyFont="1" applyFill="1" applyBorder="1" applyProtection="1">
      <protection hidden="1"/>
    </xf>
    <xf numFmtId="0" fontId="0" fillId="2" borderId="24" xfId="0" applyFill="1" applyBorder="1" applyProtection="1">
      <protection hidden="1"/>
    </xf>
    <xf numFmtId="0" fontId="2" fillId="5" borderId="21" xfId="0" applyFont="1" applyFill="1" applyBorder="1" applyAlignment="1">
      <alignment horizontal="center"/>
    </xf>
    <xf numFmtId="171" fontId="0" fillId="2" borderId="6" xfId="3" applyNumberFormat="1" applyFont="1" applyFill="1" applyBorder="1" applyProtection="1">
      <protection locked="0"/>
    </xf>
    <xf numFmtId="171" fontId="0" fillId="2" borderId="21" xfId="3" applyNumberFormat="1" applyFont="1" applyFill="1" applyBorder="1" applyProtection="1">
      <protection locked="0"/>
    </xf>
    <xf numFmtId="10" fontId="5" fillId="2" borderId="0" xfId="3" applyNumberFormat="1" applyFont="1" applyFill="1" applyBorder="1" applyAlignment="1" applyProtection="1">
      <alignment horizontal="center"/>
      <protection hidden="1"/>
    </xf>
    <xf numFmtId="10" fontId="5" fillId="2" borderId="26" xfId="3" applyNumberFormat="1" applyFont="1" applyFill="1" applyBorder="1" applyAlignment="1" applyProtection="1">
      <alignment horizontal="center"/>
      <protection hidden="1"/>
    </xf>
    <xf numFmtId="3" fontId="5" fillId="2" borderId="0" xfId="3" applyNumberFormat="1" applyFont="1" applyFill="1" applyBorder="1" applyAlignment="1" applyProtection="1">
      <alignment horizontal="center"/>
      <protection hidden="1"/>
    </xf>
    <xf numFmtId="3" fontId="5" fillId="2" borderId="26" xfId="3" applyNumberFormat="1" applyFont="1" applyFill="1" applyBorder="1" applyAlignment="1" applyProtection="1">
      <alignment horizontal="center"/>
      <protection hidden="1"/>
    </xf>
    <xf numFmtId="3" fontId="5" fillId="2" borderId="39" xfId="3" applyNumberFormat="1" applyFont="1" applyFill="1" applyBorder="1" applyAlignment="1" applyProtection="1">
      <alignment horizontal="center"/>
      <protection hidden="1"/>
    </xf>
    <xf numFmtId="3" fontId="5" fillId="2" borderId="17" xfId="3" applyNumberFormat="1" applyFont="1" applyFill="1" applyBorder="1" applyAlignment="1" applyProtection="1">
      <alignment horizontal="center"/>
      <protection hidden="1"/>
    </xf>
    <xf numFmtId="10" fontId="0" fillId="0" borderId="27" xfId="3" applyNumberFormat="1" applyFont="1" applyFill="1" applyBorder="1" applyProtection="1">
      <protection hidden="1"/>
    </xf>
    <xf numFmtId="10" fontId="0" fillId="0" borderId="29" xfId="3" applyNumberFormat="1" applyFont="1" applyFill="1" applyBorder="1" applyProtection="1">
      <protection hidden="1"/>
    </xf>
    <xf numFmtId="0" fontId="2" fillId="0" borderId="1" xfId="0" applyFont="1" applyFill="1" applyBorder="1"/>
    <xf numFmtId="0" fontId="0" fillId="0" borderId="26" xfId="0" applyBorder="1" applyProtection="1"/>
    <xf numFmtId="0" fontId="0" fillId="0" borderId="29" xfId="0" applyBorder="1" applyProtection="1"/>
    <xf numFmtId="3" fontId="8" fillId="5" borderId="9" xfId="0" applyNumberFormat="1" applyFont="1" applyFill="1" applyBorder="1" applyAlignment="1" applyProtection="1">
      <alignment horizontal="center"/>
      <protection hidden="1"/>
    </xf>
    <xf numFmtId="3" fontId="8" fillId="5" borderId="16" xfId="0" applyNumberFormat="1" applyFont="1" applyFill="1" applyBorder="1" applyAlignment="1" applyProtection="1">
      <alignment horizontal="center"/>
      <protection hidden="1"/>
    </xf>
    <xf numFmtId="169" fontId="5" fillId="5" borderId="0" xfId="3" applyNumberFormat="1" applyFont="1" applyFill="1" applyBorder="1" applyProtection="1">
      <protection hidden="1"/>
    </xf>
    <xf numFmtId="171" fontId="8" fillId="5" borderId="24" xfId="0" applyNumberFormat="1" applyFont="1" applyFill="1" applyBorder="1" applyProtection="1">
      <protection hidden="1"/>
    </xf>
    <xf numFmtId="0" fontId="0" fillId="8" borderId="0" xfId="0" applyFill="1"/>
    <xf numFmtId="10" fontId="0" fillId="5" borderId="8" xfId="0" applyNumberFormat="1" applyFill="1" applyBorder="1"/>
    <xf numFmtId="0" fontId="2" fillId="9" borderId="16" xfId="0" applyFont="1" applyFill="1" applyBorder="1"/>
    <xf numFmtId="0" fontId="0" fillId="10" borderId="5" xfId="0" applyFill="1" applyBorder="1"/>
    <xf numFmtId="0" fontId="0" fillId="10" borderId="13" xfId="0" applyFill="1" applyBorder="1"/>
    <xf numFmtId="0" fontId="0" fillId="10" borderId="35" xfId="0" applyFill="1" applyBorder="1"/>
    <xf numFmtId="9" fontId="5" fillId="0" borderId="9" xfId="3" applyFont="1" applyBorder="1" applyProtection="1">
      <protection hidden="1"/>
    </xf>
    <xf numFmtId="0" fontId="8" fillId="11" borderId="0" xfId="0" applyFont="1" applyFill="1" applyBorder="1" applyProtection="1">
      <protection hidden="1"/>
    </xf>
    <xf numFmtId="0" fontId="0" fillId="11" borderId="0" xfId="0" applyFill="1"/>
    <xf numFmtId="0" fontId="8" fillId="5" borderId="7" xfId="0" applyFont="1" applyFill="1" applyBorder="1" applyAlignment="1" applyProtection="1">
      <alignment wrapText="1"/>
      <protection hidden="1"/>
    </xf>
    <xf numFmtId="0" fontId="8" fillId="5" borderId="9" xfId="0" applyFont="1" applyFill="1" applyBorder="1" applyAlignment="1" applyProtection="1">
      <alignment wrapText="1"/>
      <protection hidden="1"/>
    </xf>
    <xf numFmtId="0" fontId="8" fillId="0" borderId="7" xfId="0" applyFont="1" applyFill="1" applyBorder="1" applyProtection="1">
      <protection hidden="1"/>
    </xf>
    <xf numFmtId="3" fontId="8" fillId="0" borderId="8" xfId="0" applyNumberFormat="1" applyFont="1" applyFill="1" applyBorder="1" applyProtection="1">
      <protection hidden="1"/>
    </xf>
    <xf numFmtId="3" fontId="5" fillId="0" borderId="26" xfId="0" applyNumberFormat="1" applyFont="1" applyFill="1" applyBorder="1" applyProtection="1">
      <protection hidden="1"/>
    </xf>
    <xf numFmtId="3" fontId="8" fillId="0" borderId="9" xfId="0" applyNumberFormat="1" applyFont="1" applyFill="1" applyBorder="1" applyProtection="1">
      <protection hidden="1"/>
    </xf>
    <xf numFmtId="3" fontId="5" fillId="0" borderId="16" xfId="0" applyNumberFormat="1" applyFont="1" applyFill="1" applyBorder="1" applyProtection="1">
      <protection hidden="1"/>
    </xf>
    <xf numFmtId="0" fontId="8" fillId="0" borderId="22" xfId="0" applyFont="1" applyFill="1" applyBorder="1" applyProtection="1">
      <protection hidden="1"/>
    </xf>
    <xf numFmtId="3" fontId="8" fillId="0" borderId="24" xfId="0" applyNumberFormat="1" applyFont="1" applyFill="1" applyBorder="1" applyProtection="1">
      <protection hidden="1"/>
    </xf>
    <xf numFmtId="3" fontId="5" fillId="0" borderId="9" xfId="0" applyNumberFormat="1" applyFont="1" applyFill="1" applyBorder="1" applyProtection="1">
      <protection hidden="1"/>
    </xf>
    <xf numFmtId="3" fontId="5" fillId="0" borderId="0" xfId="0" applyNumberFormat="1" applyFont="1" applyFill="1" applyBorder="1" applyProtection="1">
      <protection hidden="1"/>
    </xf>
    <xf numFmtId="10" fontId="19" fillId="12" borderId="6" xfId="3" applyNumberFormat="1" applyFont="1" applyFill="1" applyBorder="1" applyProtection="1"/>
    <xf numFmtId="0" fontId="2" fillId="11" borderId="14" xfId="0" applyFont="1" applyFill="1" applyBorder="1" applyAlignment="1">
      <alignment horizontal="center"/>
    </xf>
    <xf numFmtId="0" fontId="2" fillId="11" borderId="13" xfId="0" applyFont="1" applyFill="1" applyBorder="1" applyProtection="1"/>
    <xf numFmtId="9" fontId="2" fillId="0" borderId="13" xfId="3" applyFont="1" applyBorder="1" applyAlignment="1" applyProtection="1">
      <alignment horizontal="right"/>
      <protection locked="0"/>
    </xf>
    <xf numFmtId="1" fontId="20" fillId="2" borderId="16" xfId="3" applyNumberFormat="1" applyFont="1" applyFill="1" applyBorder="1" applyAlignment="1" applyProtection="1">
      <alignment horizontal="center"/>
      <protection locked="0"/>
    </xf>
    <xf numFmtId="1" fontId="20" fillId="2" borderId="9" xfId="3" applyNumberFormat="1" applyFont="1" applyFill="1" applyBorder="1" applyAlignment="1" applyProtection="1">
      <alignment horizontal="center"/>
      <protection locked="0"/>
    </xf>
    <xf numFmtId="10" fontId="20" fillId="0" borderId="16" xfId="0" applyNumberFormat="1" applyFont="1" applyBorder="1" applyAlignment="1" applyProtection="1">
      <alignment horizontal="center"/>
      <protection locked="0"/>
    </xf>
    <xf numFmtId="10" fontId="20" fillId="0" borderId="9" xfId="0" applyNumberFormat="1" applyFont="1" applyBorder="1" applyAlignment="1" applyProtection="1">
      <alignment horizontal="center"/>
      <protection locked="0"/>
    </xf>
    <xf numFmtId="10" fontId="21" fillId="0" borderId="6" xfId="3" applyNumberFormat="1" applyFont="1" applyBorder="1" applyProtection="1">
      <protection locked="0"/>
    </xf>
    <xf numFmtId="10" fontId="2" fillId="0" borderId="6" xfId="3" applyNumberFormat="1" applyFont="1" applyBorder="1" applyProtection="1">
      <protection locked="0"/>
    </xf>
    <xf numFmtId="167" fontId="20" fillId="0" borderId="6" xfId="1" applyNumberFormat="1" applyFont="1" applyBorder="1" applyProtection="1">
      <protection locked="0"/>
    </xf>
    <xf numFmtId="10" fontId="22" fillId="0" borderId="13" xfId="3" applyNumberFormat="1" applyFont="1" applyBorder="1" applyProtection="1">
      <protection locked="0"/>
    </xf>
    <xf numFmtId="10" fontId="22" fillId="0" borderId="6" xfId="3" applyNumberFormat="1" applyFont="1" applyBorder="1" applyProtection="1">
      <protection locked="0"/>
    </xf>
    <xf numFmtId="10" fontId="20" fillId="0" borderId="13" xfId="3" applyNumberFormat="1" applyFont="1" applyBorder="1" applyProtection="1">
      <protection locked="0"/>
    </xf>
    <xf numFmtId="1" fontId="20" fillId="0" borderId="35" xfId="3" applyNumberFormat="1" applyFont="1" applyBorder="1" applyProtection="1">
      <protection locked="0"/>
    </xf>
    <xf numFmtId="167" fontId="23" fillId="2" borderId="34" xfId="1" applyNumberFormat="1" applyFont="1" applyFill="1" applyBorder="1" applyProtection="1">
      <protection locked="0"/>
    </xf>
    <xf numFmtId="167" fontId="23" fillId="2" borderId="46" xfId="1" applyNumberFormat="1" applyFont="1" applyFill="1" applyBorder="1" applyProtection="1">
      <protection locked="0"/>
    </xf>
    <xf numFmtId="167" fontId="23" fillId="2" borderId="5" xfId="1" applyNumberFormat="1" applyFont="1" applyFill="1" applyBorder="1" applyProtection="1">
      <protection locked="0"/>
    </xf>
    <xf numFmtId="10" fontId="20" fillId="2" borderId="34" xfId="3" applyNumberFormat="1" applyFont="1" applyFill="1" applyBorder="1" applyProtection="1">
      <protection locked="0"/>
    </xf>
    <xf numFmtId="10" fontId="20" fillId="2" borderId="46" xfId="3" applyNumberFormat="1" applyFont="1" applyFill="1" applyBorder="1" applyAlignment="1" applyProtection="1">
      <alignment horizontal="right"/>
      <protection locked="0"/>
    </xf>
    <xf numFmtId="170" fontId="20" fillId="2" borderId="46" xfId="1" applyNumberFormat="1" applyFont="1" applyFill="1" applyBorder="1" applyProtection="1">
      <protection locked="0"/>
    </xf>
    <xf numFmtId="10" fontId="20" fillId="2" borderId="5" xfId="3" applyNumberFormat="1" applyFont="1" applyFill="1" applyBorder="1" applyProtection="1">
      <protection locked="0"/>
    </xf>
    <xf numFmtId="170" fontId="20" fillId="2" borderId="5" xfId="1" applyNumberFormat="1" applyFont="1" applyFill="1" applyBorder="1" applyProtection="1">
      <protection locked="0"/>
    </xf>
    <xf numFmtId="10" fontId="23" fillId="0" borderId="48" xfId="3" applyNumberFormat="1" applyFont="1" applyBorder="1" applyProtection="1">
      <protection locked="0"/>
    </xf>
    <xf numFmtId="10" fontId="23" fillId="0" borderId="6" xfId="3" applyNumberFormat="1" applyFont="1" applyBorder="1" applyProtection="1">
      <protection locked="0"/>
    </xf>
    <xf numFmtId="10" fontId="23" fillId="0" borderId="43" xfId="3" applyNumberFormat="1" applyFont="1" applyBorder="1" applyProtection="1">
      <protection locked="0"/>
    </xf>
    <xf numFmtId="10" fontId="23" fillId="0" borderId="17" xfId="3" applyNumberFormat="1" applyFont="1" applyBorder="1" applyProtection="1">
      <protection locked="0"/>
    </xf>
    <xf numFmtId="167" fontId="21" fillId="0" borderId="39" xfId="1" applyNumberFormat="1" applyFont="1" applyBorder="1" applyProtection="1">
      <protection locked="0"/>
    </xf>
    <xf numFmtId="10" fontId="21" fillId="0" borderId="13" xfId="3" applyNumberFormat="1" applyFont="1" applyBorder="1" applyProtection="1">
      <protection locked="0"/>
    </xf>
    <xf numFmtId="10" fontId="21" fillId="2" borderId="42" xfId="3" applyNumberFormat="1" applyFont="1" applyFill="1" applyBorder="1" applyProtection="1">
      <protection locked="0"/>
    </xf>
    <xf numFmtId="10" fontId="21" fillId="2" borderId="39" xfId="3" applyNumberFormat="1" applyFont="1" applyFill="1" applyBorder="1" applyProtection="1">
      <protection locked="0"/>
    </xf>
    <xf numFmtId="10" fontId="21" fillId="2" borderId="6" xfId="3" applyNumberFormat="1" applyFont="1" applyFill="1" applyBorder="1" applyProtection="1">
      <protection locked="0"/>
    </xf>
    <xf numFmtId="10" fontId="21" fillId="2" borderId="13" xfId="3" applyNumberFormat="1" applyFont="1" applyFill="1" applyBorder="1" applyProtection="1">
      <protection locked="0"/>
    </xf>
    <xf numFmtId="10" fontId="21" fillId="8" borderId="13" xfId="3" applyNumberFormat="1" applyFont="1" applyFill="1" applyBorder="1" applyProtection="1">
      <protection locked="0"/>
    </xf>
    <xf numFmtId="0" fontId="21" fillId="2" borderId="33" xfId="0" applyFont="1" applyFill="1" applyBorder="1" applyProtection="1">
      <protection locked="0"/>
    </xf>
    <xf numFmtId="167" fontId="21" fillId="2" borderId="33" xfId="1" applyNumberFormat="1" applyFont="1" applyFill="1" applyBorder="1" applyProtection="1">
      <protection locked="0"/>
    </xf>
    <xf numFmtId="0" fontId="21" fillId="2" borderId="34" xfId="0" applyFont="1" applyFill="1" applyBorder="1" applyProtection="1">
      <protection locked="0"/>
    </xf>
    <xf numFmtId="167" fontId="21" fillId="2" borderId="34" xfId="1" applyNumberFormat="1" applyFont="1" applyFill="1" applyBorder="1" applyProtection="1">
      <protection locked="0"/>
    </xf>
    <xf numFmtId="170" fontId="21" fillId="2" borderId="34" xfId="1" applyNumberFormat="1" applyFont="1" applyFill="1" applyBorder="1" applyProtection="1">
      <protection locked="0"/>
    </xf>
    <xf numFmtId="0" fontId="21" fillId="2" borderId="46" xfId="0" applyFont="1" applyFill="1" applyBorder="1" applyProtection="1">
      <protection locked="0"/>
    </xf>
    <xf numFmtId="167" fontId="21" fillId="2" borderId="46" xfId="1" applyNumberFormat="1" applyFont="1" applyFill="1" applyBorder="1" applyAlignment="1" applyProtection="1">
      <alignment horizontal="right"/>
      <protection locked="0"/>
    </xf>
    <xf numFmtId="170" fontId="21" fillId="2" borderId="46" xfId="1" applyNumberFormat="1" applyFont="1" applyFill="1" applyBorder="1" applyProtection="1">
      <protection locked="0"/>
    </xf>
    <xf numFmtId="0" fontId="21" fillId="2" borderId="5" xfId="0" applyFont="1" applyFill="1" applyBorder="1" applyProtection="1">
      <protection locked="0"/>
    </xf>
    <xf numFmtId="167" fontId="21" fillId="2" borderId="5" xfId="1" applyNumberFormat="1" applyFont="1" applyFill="1" applyBorder="1" applyProtection="1">
      <protection locked="0"/>
    </xf>
    <xf numFmtId="170" fontId="21" fillId="2" borderId="5" xfId="1" applyNumberFormat="1" applyFont="1" applyFill="1" applyBorder="1" applyProtection="1">
      <protection locked="0"/>
    </xf>
    <xf numFmtId="167" fontId="24" fillId="2" borderId="33" xfId="1" applyNumberFormat="1" applyFont="1" applyFill="1" applyBorder="1" applyProtection="1">
      <protection locked="0"/>
    </xf>
    <xf numFmtId="0" fontId="24" fillId="2" borderId="34" xfId="0" applyFont="1" applyFill="1" applyBorder="1" applyProtection="1">
      <protection locked="0"/>
    </xf>
    <xf numFmtId="167" fontId="24" fillId="2" borderId="34" xfId="1" applyNumberFormat="1" applyFont="1" applyFill="1" applyBorder="1" applyProtection="1">
      <protection locked="0"/>
    </xf>
    <xf numFmtId="170" fontId="24" fillId="2" borderId="34" xfId="1" applyNumberFormat="1" applyFont="1" applyFill="1" applyBorder="1" applyProtection="1">
      <protection locked="0"/>
    </xf>
    <xf numFmtId="0" fontId="24" fillId="2" borderId="5" xfId="0" applyFont="1" applyFill="1" applyBorder="1" applyProtection="1">
      <protection locked="0"/>
    </xf>
    <xf numFmtId="167" fontId="24" fillId="2" borderId="5" xfId="1" applyNumberFormat="1" applyFont="1" applyFill="1" applyBorder="1" applyProtection="1">
      <protection locked="0"/>
    </xf>
    <xf numFmtId="170" fontId="24" fillId="2" borderId="5" xfId="1" applyNumberFormat="1" applyFont="1" applyFill="1" applyBorder="1" applyProtection="1">
      <protection locked="0"/>
    </xf>
    <xf numFmtId="170" fontId="22" fillId="0" borderId="39" xfId="1" applyNumberFormat="1" applyFont="1" applyBorder="1" applyProtection="1">
      <protection locked="0"/>
    </xf>
    <xf numFmtId="10" fontId="22" fillId="0" borderId="39" xfId="3" applyNumberFormat="1" applyFont="1" applyBorder="1" applyProtection="1">
      <protection locked="0"/>
    </xf>
    <xf numFmtId="170" fontId="22" fillId="0" borderId="6" xfId="1" applyNumberFormat="1" applyFont="1" applyBorder="1" applyProtection="1">
      <protection locked="0"/>
    </xf>
    <xf numFmtId="10" fontId="24" fillId="2" borderId="6" xfId="3" applyNumberFormat="1" applyFont="1" applyFill="1" applyBorder="1" applyProtection="1">
      <protection locked="0"/>
    </xf>
    <xf numFmtId="0" fontId="24" fillId="0" borderId="5" xfId="0" applyFont="1" applyBorder="1" applyAlignment="1" applyProtection="1">
      <alignment horizontal="center"/>
      <protection locked="0"/>
    </xf>
    <xf numFmtId="3" fontId="24" fillId="2" borderId="6" xfId="3" applyNumberFormat="1" applyFont="1" applyFill="1" applyBorder="1" applyProtection="1">
      <protection locked="0"/>
    </xf>
    <xf numFmtId="10" fontId="24" fillId="2" borderId="33" xfId="3" applyNumberFormat="1" applyFont="1" applyFill="1" applyBorder="1" applyProtection="1">
      <protection locked="0"/>
    </xf>
    <xf numFmtId="167" fontId="24" fillId="2" borderId="33" xfId="1" applyNumberFormat="1" applyFont="1" applyFill="1" applyBorder="1" applyAlignment="1" applyProtection="1">
      <alignment horizontal="right"/>
      <protection locked="0"/>
    </xf>
    <xf numFmtId="10" fontId="24" fillId="2" borderId="34" xfId="3" applyNumberFormat="1" applyFont="1" applyFill="1" applyBorder="1" applyProtection="1">
      <protection locked="0"/>
    </xf>
    <xf numFmtId="10" fontId="24" fillId="2" borderId="5" xfId="3" applyNumberFormat="1" applyFont="1" applyFill="1" applyBorder="1" applyProtection="1">
      <protection locked="0"/>
    </xf>
    <xf numFmtId="9" fontId="2" fillId="0" borderId="6" xfId="3" applyFont="1" applyBorder="1" applyProtection="1">
      <protection locked="0"/>
    </xf>
    <xf numFmtId="167" fontId="2" fillId="0" borderId="6" xfId="1" applyNumberFormat="1" applyFont="1" applyBorder="1" applyProtection="1">
      <protection locked="0"/>
    </xf>
    <xf numFmtId="0" fontId="25" fillId="4" borderId="7" xfId="0" applyFont="1" applyFill="1" applyBorder="1" applyAlignment="1">
      <alignment horizontal="center"/>
    </xf>
    <xf numFmtId="0" fontId="25" fillId="4" borderId="16" xfId="0" applyFont="1" applyFill="1" applyBorder="1" applyAlignment="1">
      <alignment horizontal="center"/>
    </xf>
    <xf numFmtId="0" fontId="24" fillId="0" borderId="34" xfId="0" applyFont="1" applyFill="1" applyBorder="1" applyProtection="1">
      <protection locked="0"/>
    </xf>
    <xf numFmtId="167" fontId="24" fillId="0" borderId="34" xfId="1" applyNumberFormat="1" applyFont="1" applyFill="1" applyBorder="1" applyProtection="1">
      <protection locked="0"/>
    </xf>
    <xf numFmtId="167" fontId="24" fillId="0" borderId="33" xfId="1" applyNumberFormat="1" applyFont="1" applyFill="1" applyBorder="1" applyProtection="1">
      <protection locked="0"/>
    </xf>
    <xf numFmtId="0" fontId="24" fillId="0" borderId="46" xfId="0" applyFont="1" applyFill="1" applyBorder="1" applyProtection="1">
      <protection locked="0"/>
    </xf>
    <xf numFmtId="167" fontId="24" fillId="0" borderId="46" xfId="1" applyNumberFormat="1" applyFont="1" applyFill="1" applyBorder="1" applyAlignment="1" applyProtection="1">
      <alignment horizontal="right"/>
      <protection locked="0"/>
    </xf>
    <xf numFmtId="170" fontId="22" fillId="0" borderId="6" xfId="1" applyNumberFormat="1" applyFont="1" applyFill="1" applyBorder="1" applyProtection="1">
      <protection locked="0"/>
    </xf>
    <xf numFmtId="10" fontId="22" fillId="2" borderId="6" xfId="3" applyNumberFormat="1" applyFont="1" applyFill="1" applyBorder="1" applyAlignment="1" applyProtection="1">
      <alignment horizontal="right"/>
      <protection locked="0"/>
    </xf>
    <xf numFmtId="167" fontId="22" fillId="0" borderId="39" xfId="1" applyNumberFormat="1" applyFont="1" applyBorder="1" applyProtection="1">
      <protection locked="0"/>
    </xf>
    <xf numFmtId="167" fontId="21" fillId="2" borderId="46" xfId="1" applyNumberFormat="1" applyFont="1" applyFill="1" applyBorder="1" applyProtection="1">
      <protection locked="0"/>
    </xf>
    <xf numFmtId="167" fontId="22" fillId="0" borderId="6" xfId="1" applyNumberFormat="1" applyFont="1" applyBorder="1" applyProtection="1">
      <protection locked="0"/>
    </xf>
    <xf numFmtId="167" fontId="22" fillId="0" borderId="39" xfId="1" applyNumberFormat="1" applyFont="1" applyFill="1" applyBorder="1" applyProtection="1">
      <protection locked="0"/>
    </xf>
    <xf numFmtId="167" fontId="24" fillId="0" borderId="46" xfId="1" applyNumberFormat="1" applyFont="1" applyFill="1" applyBorder="1" applyProtection="1">
      <protection locked="0"/>
    </xf>
    <xf numFmtId="172" fontId="20" fillId="2" borderId="34" xfId="2" applyNumberFormat="1" applyFont="1" applyFill="1" applyBorder="1" applyProtection="1">
      <protection locked="0"/>
    </xf>
    <xf numFmtId="164" fontId="24" fillId="0" borderId="34" xfId="2" applyFont="1" applyFill="1" applyBorder="1" applyProtection="1">
      <protection locked="0"/>
    </xf>
    <xf numFmtId="170" fontId="21" fillId="0" borderId="39" xfId="1" applyNumberFormat="1" applyFont="1" applyBorder="1" applyProtection="1">
      <protection locked="0"/>
    </xf>
    <xf numFmtId="0" fontId="2" fillId="0" borderId="28" xfId="0" applyFont="1" applyFill="1" applyBorder="1" applyAlignment="1">
      <alignment horizontal="center"/>
    </xf>
    <xf numFmtId="0" fontId="26" fillId="7" borderId="39" xfId="0" applyFont="1" applyFill="1" applyBorder="1" applyAlignment="1" applyProtection="1">
      <alignment horizontal="left"/>
      <protection locked="0"/>
    </xf>
    <xf numFmtId="0" fontId="10" fillId="0" borderId="39" xfId="0" applyFont="1" applyBorder="1" applyAlignment="1" applyProtection="1">
      <alignment horizontal="left"/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49" xfId="0" applyFont="1" applyFill="1" applyBorder="1" applyAlignment="1">
      <alignment horizontal="center"/>
    </xf>
    <xf numFmtId="0" fontId="2" fillId="5" borderId="50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51" xfId="0" applyFont="1" applyFill="1" applyBorder="1" applyAlignment="1">
      <alignment horizontal="center"/>
    </xf>
    <xf numFmtId="0" fontId="2" fillId="5" borderId="52" xfId="0" applyFont="1" applyFill="1" applyBorder="1" applyAlignment="1">
      <alignment horizontal="center"/>
    </xf>
    <xf numFmtId="0" fontId="2" fillId="5" borderId="53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3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center" vertical="top"/>
      <protection hidden="1"/>
    </xf>
    <xf numFmtId="0" fontId="3" fillId="0" borderId="28" xfId="0" applyFont="1" applyFill="1" applyBorder="1" applyAlignment="1" applyProtection="1">
      <alignment horizontal="center" vertical="top"/>
      <protection hidden="1"/>
    </xf>
    <xf numFmtId="0" fontId="3" fillId="2" borderId="28" xfId="0" applyFont="1" applyFill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28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28" xfId="0" applyFont="1" applyBorder="1" applyAlignment="1" applyProtection="1">
      <alignment horizontal="center"/>
      <protection hidden="1"/>
    </xf>
    <xf numFmtId="0" fontId="2" fillId="5" borderId="7" xfId="0" applyFont="1" applyFill="1" applyBorder="1" applyAlignment="1" applyProtection="1">
      <alignment horizontal="left"/>
      <protection hidden="1"/>
    </xf>
    <xf numFmtId="0" fontId="2" fillId="5" borderId="9" xfId="0" applyFont="1" applyFill="1" applyBorder="1" applyAlignment="1" applyProtection="1">
      <alignment horizontal="left"/>
      <protection hidden="1"/>
    </xf>
    <xf numFmtId="0" fontId="2" fillId="5" borderId="7" xfId="0" applyFont="1" applyFill="1" applyBorder="1" applyAlignment="1" applyProtection="1">
      <alignment horizontal="center"/>
      <protection hidden="1"/>
    </xf>
    <xf numFmtId="0" fontId="2" fillId="5" borderId="9" xfId="0" applyFont="1" applyFill="1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4" xfId="0" applyBorder="1" applyAlignment="1" applyProtection="1">
      <alignment horizontal="left"/>
      <protection hidden="1"/>
    </xf>
    <xf numFmtId="0" fontId="0" fillId="0" borderId="25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2" fillId="0" borderId="25" xfId="0" applyFont="1" applyBorder="1" applyAlignment="1" applyProtection="1">
      <alignment horizontal="right"/>
      <protection hidden="1"/>
    </xf>
    <xf numFmtId="0" fontId="2" fillId="0" borderId="26" xfId="0" applyFont="1" applyBorder="1" applyAlignment="1" applyProtection="1">
      <alignment horizontal="right"/>
      <protection hidden="1"/>
    </xf>
    <xf numFmtId="0" fontId="2" fillId="0" borderId="7" xfId="0" applyFont="1" applyFill="1" applyBorder="1" applyAlignment="1" applyProtection="1">
      <alignment horizontal="left"/>
      <protection hidden="1"/>
    </xf>
    <xf numFmtId="0" fontId="2" fillId="0" borderId="9" xfId="0" applyFont="1" applyFill="1" applyBorder="1" applyAlignment="1" applyProtection="1">
      <alignment horizontal="left"/>
      <protection hidden="1"/>
    </xf>
    <xf numFmtId="0" fontId="2" fillId="5" borderId="8" xfId="0" applyFont="1" applyFill="1" applyBorder="1" applyAlignment="1" applyProtection="1">
      <alignment horizontal="center"/>
      <protection hidden="1"/>
    </xf>
    <xf numFmtId="0" fontId="8" fillId="5" borderId="7" xfId="0" applyFont="1" applyFill="1" applyBorder="1" applyAlignment="1" applyProtection="1">
      <alignment horizontal="center"/>
      <protection hidden="1"/>
    </xf>
    <xf numFmtId="0" fontId="8" fillId="5" borderId="9" xfId="0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10" fontId="2" fillId="4" borderId="7" xfId="0" applyNumberFormat="1" applyFont="1" applyFill="1" applyBorder="1" applyAlignment="1" applyProtection="1">
      <alignment horizontal="center"/>
      <protection hidden="1"/>
    </xf>
    <xf numFmtId="10" fontId="2" fillId="4" borderId="8" xfId="0" applyNumberFormat="1" applyFont="1" applyFill="1" applyBorder="1" applyAlignment="1" applyProtection="1">
      <alignment horizontal="center"/>
      <protection hidden="1"/>
    </xf>
    <xf numFmtId="10" fontId="12" fillId="4" borderId="7" xfId="0" applyNumberFormat="1" applyFont="1" applyFill="1" applyBorder="1" applyAlignment="1" applyProtection="1">
      <alignment horizontal="center"/>
      <protection hidden="1"/>
    </xf>
    <xf numFmtId="10" fontId="12" fillId="4" borderId="8" xfId="0" applyNumberFormat="1" applyFont="1" applyFill="1" applyBorder="1" applyAlignment="1" applyProtection="1">
      <alignment horizontal="center"/>
      <protection hidden="1"/>
    </xf>
    <xf numFmtId="0" fontId="12" fillId="4" borderId="7" xfId="0" applyFont="1" applyFill="1" applyBorder="1" applyAlignment="1" applyProtection="1">
      <alignment horizontal="center"/>
      <protection hidden="1"/>
    </xf>
    <xf numFmtId="0" fontId="12" fillId="4" borderId="8" xfId="0" applyFont="1" applyFill="1" applyBorder="1" applyAlignment="1" applyProtection="1">
      <alignment horizontal="center"/>
      <protection hidden="1"/>
    </xf>
    <xf numFmtId="3" fontId="2" fillId="5" borderId="9" xfId="0" applyNumberFormat="1" applyFont="1" applyFill="1" applyBorder="1"/>
  </cellXfs>
  <cellStyles count="4">
    <cellStyle name="Millares" xfId="1" builtinId="3"/>
    <cellStyle name="Millares [0]" xfId="2" builtin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1552575</xdr:colOff>
      <xdr:row>36</xdr:row>
      <xdr:rowOff>95250</xdr:rowOff>
    </xdr:to>
    <xdr:pic>
      <xdr:nvPicPr>
        <xdr:cNvPr id="1377" name="Picture 124" descr="PE01573_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00950" cy="561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CCFF" mc:Ignorable="a14" a14:legacySpreadsheetColorIndex="40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628650</xdr:colOff>
          <xdr:row>9</xdr:row>
          <xdr:rowOff>28575</xdr:rowOff>
        </xdr:from>
        <xdr:to>
          <xdr:col>4</xdr:col>
          <xdr:colOff>1343025</xdr:colOff>
          <xdr:row>10</xdr:row>
          <xdr:rowOff>142875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Presupuesto de Compras y Ventas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1438275</xdr:colOff>
          <xdr:row>9</xdr:row>
          <xdr:rowOff>28575</xdr:rowOff>
        </xdr:from>
        <xdr:to>
          <xdr:col>6</xdr:col>
          <xdr:colOff>0</xdr:colOff>
          <xdr:row>10</xdr:row>
          <xdr:rowOff>142875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Gastos de Personal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95</xdr:row>
          <xdr:rowOff>19050</xdr:rowOff>
        </xdr:from>
        <xdr:to>
          <xdr:col>2</xdr:col>
          <xdr:colOff>1628775</xdr:colOff>
          <xdr:row>96</xdr:row>
          <xdr:rowOff>66675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1590675</xdr:colOff>
          <xdr:row>95</xdr:row>
          <xdr:rowOff>38100</xdr:rowOff>
        </xdr:from>
        <xdr:to>
          <xdr:col>6</xdr:col>
          <xdr:colOff>0</xdr:colOff>
          <xdr:row>96</xdr:row>
          <xdr:rowOff>85725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Ver Reporte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142875</xdr:colOff>
          <xdr:row>11</xdr:row>
          <xdr:rowOff>47625</xdr:rowOff>
        </xdr:from>
        <xdr:to>
          <xdr:col>3</xdr:col>
          <xdr:colOff>476250</xdr:colOff>
          <xdr:row>13</xdr:row>
          <xdr:rowOff>9525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Inversiones Fijas y Diferidas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141</xdr:row>
          <xdr:rowOff>19050</xdr:rowOff>
        </xdr:from>
        <xdr:to>
          <xdr:col>2</xdr:col>
          <xdr:colOff>1647825</xdr:colOff>
          <xdr:row>142</xdr:row>
          <xdr:rowOff>66675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1581150</xdr:colOff>
          <xdr:row>141</xdr:row>
          <xdr:rowOff>19050</xdr:rowOff>
        </xdr:from>
        <xdr:to>
          <xdr:col>6</xdr:col>
          <xdr:colOff>9525</xdr:colOff>
          <xdr:row>142</xdr:row>
          <xdr:rowOff>76200</xdr:rowOff>
        </xdr:to>
        <xdr:sp macro="" textlink="">
          <xdr:nvSpPr>
            <xdr:cNvPr id="1033" name="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Ver Reporte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219</xdr:row>
          <xdr:rowOff>28575</xdr:rowOff>
        </xdr:from>
        <xdr:to>
          <xdr:col>2</xdr:col>
          <xdr:colOff>1647825</xdr:colOff>
          <xdr:row>220</xdr:row>
          <xdr:rowOff>76200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1581150</xdr:colOff>
          <xdr:row>219</xdr:row>
          <xdr:rowOff>38100</xdr:rowOff>
        </xdr:from>
        <xdr:to>
          <xdr:col>6</xdr:col>
          <xdr:colOff>0</xdr:colOff>
          <xdr:row>220</xdr:row>
          <xdr:rowOff>76200</xdr:rowOff>
        </xdr:to>
        <xdr:sp macro="" textlink="">
          <xdr:nvSpPr>
            <xdr:cNvPr id="1037" name="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Ver Reporte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1428750</xdr:colOff>
          <xdr:row>11</xdr:row>
          <xdr:rowOff>66675</xdr:rowOff>
        </xdr:from>
        <xdr:to>
          <xdr:col>6</xdr:col>
          <xdr:colOff>0</xdr:colOff>
          <xdr:row>13</xdr:row>
          <xdr:rowOff>28575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Inversión Inicial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142875</xdr:colOff>
          <xdr:row>13</xdr:row>
          <xdr:rowOff>85725</xdr:rowOff>
        </xdr:from>
        <xdr:to>
          <xdr:col>3</xdr:col>
          <xdr:colOff>476250</xdr:colOff>
          <xdr:row>15</xdr:row>
          <xdr:rowOff>47625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Financiación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239</xdr:row>
          <xdr:rowOff>38100</xdr:rowOff>
        </xdr:from>
        <xdr:to>
          <xdr:col>2</xdr:col>
          <xdr:colOff>1638300</xdr:colOff>
          <xdr:row>240</xdr:row>
          <xdr:rowOff>85725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1581150</xdr:colOff>
          <xdr:row>239</xdr:row>
          <xdr:rowOff>28575</xdr:rowOff>
        </xdr:from>
        <xdr:to>
          <xdr:col>5</xdr:col>
          <xdr:colOff>1552575</xdr:colOff>
          <xdr:row>240</xdr:row>
          <xdr:rowOff>76200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Ver Reporte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1447800</xdr:colOff>
          <xdr:row>13</xdr:row>
          <xdr:rowOff>104775</xdr:rowOff>
        </xdr:from>
        <xdr:to>
          <xdr:col>6</xdr:col>
          <xdr:colOff>0</xdr:colOff>
          <xdr:row>15</xdr:row>
          <xdr:rowOff>66675</xdr:rowOff>
        </xdr:to>
        <xdr:sp macro="" textlink="">
          <xdr:nvSpPr>
            <xdr:cNvPr id="1043" name="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Estado de Resultados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152400</xdr:colOff>
          <xdr:row>15</xdr:row>
          <xdr:rowOff>133350</xdr:rowOff>
        </xdr:from>
        <xdr:to>
          <xdr:col>3</xdr:col>
          <xdr:colOff>485775</xdr:colOff>
          <xdr:row>17</xdr:row>
          <xdr:rowOff>95250</xdr:rowOff>
        </xdr:to>
        <xdr:sp macro="" textlink="">
          <xdr:nvSpPr>
            <xdr:cNvPr id="1044" name="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Balance General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1466850</xdr:colOff>
          <xdr:row>15</xdr:row>
          <xdr:rowOff>142875</xdr:rowOff>
        </xdr:from>
        <xdr:to>
          <xdr:col>6</xdr:col>
          <xdr:colOff>0</xdr:colOff>
          <xdr:row>17</xdr:row>
          <xdr:rowOff>104775</xdr:rowOff>
        </xdr:to>
        <xdr:sp macro="" textlink="">
          <xdr:nvSpPr>
            <xdr:cNvPr id="1046" name="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Análisis del Proyecto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590550</xdr:colOff>
          <xdr:row>18</xdr:row>
          <xdr:rowOff>38100</xdr:rowOff>
        </xdr:from>
        <xdr:to>
          <xdr:col>4</xdr:col>
          <xdr:colOff>1304925</xdr:colOff>
          <xdr:row>19</xdr:row>
          <xdr:rowOff>152400</xdr:rowOff>
        </xdr:to>
        <xdr:sp macro="" textlink="">
          <xdr:nvSpPr>
            <xdr:cNvPr id="1047" name="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Sensibilidad Inversionista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1457325</xdr:colOff>
          <xdr:row>18</xdr:row>
          <xdr:rowOff>9525</xdr:rowOff>
        </xdr:from>
        <xdr:to>
          <xdr:col>6</xdr:col>
          <xdr:colOff>0</xdr:colOff>
          <xdr:row>19</xdr:row>
          <xdr:rowOff>123825</xdr:rowOff>
        </xdr:to>
        <xdr:sp macro="" textlink="">
          <xdr:nvSpPr>
            <xdr:cNvPr id="1048" name="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Sensibilidad Proyecto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172</xdr:row>
          <xdr:rowOff>28575</xdr:rowOff>
        </xdr:from>
        <xdr:to>
          <xdr:col>2</xdr:col>
          <xdr:colOff>1647825</xdr:colOff>
          <xdr:row>173</xdr:row>
          <xdr:rowOff>76200</xdr:rowOff>
        </xdr:to>
        <xdr:sp macro="" textlink="">
          <xdr:nvSpPr>
            <xdr:cNvPr id="1049" name="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1590675</xdr:colOff>
          <xdr:row>172</xdr:row>
          <xdr:rowOff>28575</xdr:rowOff>
        </xdr:from>
        <xdr:to>
          <xdr:col>6</xdr:col>
          <xdr:colOff>0</xdr:colOff>
          <xdr:row>173</xdr:row>
          <xdr:rowOff>76200</xdr:rowOff>
        </xdr:to>
        <xdr:sp macro="" textlink="">
          <xdr:nvSpPr>
            <xdr:cNvPr id="1050" name="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Ver Reporte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619125</xdr:colOff>
          <xdr:row>11</xdr:row>
          <xdr:rowOff>95250</xdr:rowOff>
        </xdr:from>
        <xdr:to>
          <xdr:col>4</xdr:col>
          <xdr:colOff>1333500</xdr:colOff>
          <xdr:row>13</xdr:row>
          <xdr:rowOff>57150</xdr:rowOff>
        </xdr:to>
        <xdr:sp macro="" textlink="">
          <xdr:nvSpPr>
            <xdr:cNvPr id="1051" name="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Gastos Generales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55</xdr:row>
          <xdr:rowOff>38100</xdr:rowOff>
        </xdr:from>
        <xdr:to>
          <xdr:col>5</xdr:col>
          <xdr:colOff>1552575</xdr:colOff>
          <xdr:row>55</xdr:row>
          <xdr:rowOff>247650</xdr:rowOff>
        </xdr:to>
        <xdr:sp macro="" textlink="">
          <xdr:nvSpPr>
            <xdr:cNvPr id="1059" name="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Ver Reporte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66675</xdr:rowOff>
        </xdr:from>
        <xdr:to>
          <xdr:col>2</xdr:col>
          <xdr:colOff>1647825</xdr:colOff>
          <xdr:row>56</xdr:row>
          <xdr:rowOff>19050</xdr:rowOff>
        </xdr:to>
        <xdr:sp macro="" textlink="">
          <xdr:nvSpPr>
            <xdr:cNvPr id="1060" name="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91</xdr:row>
          <xdr:rowOff>28575</xdr:rowOff>
        </xdr:from>
        <xdr:to>
          <xdr:col>2</xdr:col>
          <xdr:colOff>1724025</xdr:colOff>
          <xdr:row>92</xdr:row>
          <xdr:rowOff>76200</xdr:rowOff>
        </xdr:to>
        <xdr:sp macro="" textlink="">
          <xdr:nvSpPr>
            <xdr:cNvPr id="1063" name="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91</xdr:row>
          <xdr:rowOff>66675</xdr:rowOff>
        </xdr:from>
        <xdr:to>
          <xdr:col>5</xdr:col>
          <xdr:colOff>1552575</xdr:colOff>
          <xdr:row>92</xdr:row>
          <xdr:rowOff>114300</xdr:rowOff>
        </xdr:to>
        <xdr:sp macro="" textlink="">
          <xdr:nvSpPr>
            <xdr:cNvPr id="1064" name="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Reporte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581025</xdr:colOff>
          <xdr:row>16</xdr:row>
          <xdr:rowOff>0</xdr:rowOff>
        </xdr:from>
        <xdr:to>
          <xdr:col>4</xdr:col>
          <xdr:colOff>1295400</xdr:colOff>
          <xdr:row>17</xdr:row>
          <xdr:rowOff>123825</xdr:rowOff>
        </xdr:to>
        <xdr:sp macro="" textlink="">
          <xdr:nvSpPr>
            <xdr:cNvPr id="1101" name="Button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Análisis del Inversionista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600075</xdr:colOff>
          <xdr:row>13</xdr:row>
          <xdr:rowOff>123825</xdr:rowOff>
        </xdr:from>
        <xdr:to>
          <xdr:col>4</xdr:col>
          <xdr:colOff>1314450</xdr:colOff>
          <xdr:row>15</xdr:row>
          <xdr:rowOff>85725</xdr:rowOff>
        </xdr:to>
        <xdr:sp macro="" textlink="">
          <xdr:nvSpPr>
            <xdr:cNvPr id="1102" name="Button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Flujo de Caja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161925</xdr:colOff>
          <xdr:row>9</xdr:row>
          <xdr:rowOff>28575</xdr:rowOff>
        </xdr:from>
        <xdr:to>
          <xdr:col>3</xdr:col>
          <xdr:colOff>495300</xdr:colOff>
          <xdr:row>10</xdr:row>
          <xdr:rowOff>142875</xdr:rowOff>
        </xdr:to>
        <xdr:sp macro="" textlink="">
          <xdr:nvSpPr>
            <xdr:cNvPr id="1113" name="Button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Parámetros Generales de la Empresa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85725</xdr:rowOff>
        </xdr:from>
        <xdr:to>
          <xdr:col>2</xdr:col>
          <xdr:colOff>1647825</xdr:colOff>
          <xdr:row>53</xdr:row>
          <xdr:rowOff>142875</xdr:rowOff>
        </xdr:to>
        <xdr:sp macro="" textlink="">
          <xdr:nvSpPr>
            <xdr:cNvPr id="1120" name="Button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1</xdr:row>
          <xdr:rowOff>47625</xdr:rowOff>
        </xdr:from>
        <xdr:to>
          <xdr:col>6</xdr:col>
          <xdr:colOff>0</xdr:colOff>
          <xdr:row>6</xdr:row>
          <xdr:rowOff>57150</xdr:rowOff>
        </xdr:to>
        <xdr:sp macro="" textlink="">
          <xdr:nvSpPr>
            <xdr:cNvPr id="1142" name="Button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41148" rIns="54864" bIns="41148" anchor="ctr" upright="1"/>
            <a:lstStyle/>
            <a:p>
              <a:pPr algn="ctr" rtl="0">
                <a:defRPr sz="1000"/>
              </a:pPr>
              <a:r>
                <a:rPr lang="es-ES" sz="2400" b="1" i="1" u="dbl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EVALUACIÓN  FINANCIERA  DE  PROYECTOS</a:t>
              </a:r>
            </a:p>
            <a:p>
              <a:pPr algn="ctr" rtl="0">
                <a:defRPr sz="1000"/>
              </a:pPr>
              <a:r>
                <a:rPr lang="es-ES" sz="2400" b="1" i="1" u="dbl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EVAPROYECT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27</xdr:row>
          <xdr:rowOff>0</xdr:rowOff>
        </xdr:from>
        <xdr:to>
          <xdr:col>6</xdr:col>
          <xdr:colOff>0</xdr:colOff>
          <xdr:row>33</xdr:row>
          <xdr:rowOff>104775</xdr:rowOff>
        </xdr:to>
        <xdr:sp macro="" textlink="">
          <xdr:nvSpPr>
            <xdr:cNvPr id="1144" name="Button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E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NOTA:  Para facilitar la presentación de los reportes se recomienda que las celdas en donde vayan cifras o cantidades que representen información de dinero en los módulos de EVAPROYECT se deben digitar en miles Ejemplo : $ 382.500 se digita 382,5 y en la pantalla de los módulos de entrada de datos aparece 382,500.</a:t>
              </a:r>
            </a:p>
            <a:p>
              <a:pPr algn="l" rtl="0">
                <a:defRPr sz="1000"/>
              </a:pPr>
              <a:r>
                <a:rPr lang="es-E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Para las celdas que representan cantidades numéricas como son la capacidad instalada, el número de salarios mínimos, cantidad de años, etc. se debe digitar el número natural normalmente, Ejemplo: Capacidad Instalada de 80.000 se digita 80000 y en la pantalla del módulo aparece 80.000.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800100</xdr:colOff>
          <xdr:row>6</xdr:row>
          <xdr:rowOff>104775</xdr:rowOff>
        </xdr:from>
        <xdr:to>
          <xdr:col>4</xdr:col>
          <xdr:colOff>1133475</xdr:colOff>
          <xdr:row>8</xdr:row>
          <xdr:rowOff>142875</xdr:rowOff>
        </xdr:to>
        <xdr:sp macro="" textlink="">
          <xdr:nvSpPr>
            <xdr:cNvPr id="1149" name="Button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6576" rIns="45720" bIns="36576" anchor="ctr" upright="1"/>
            <a:lstStyle/>
            <a:p>
              <a:pPr algn="ctr" rtl="0">
                <a:defRPr sz="1000"/>
              </a:pPr>
              <a:r>
                <a:rPr lang="es-ES" sz="18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MENÚ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20</xdr:row>
          <xdr:rowOff>19050</xdr:rowOff>
        </xdr:from>
        <xdr:to>
          <xdr:col>3</xdr:col>
          <xdr:colOff>466725</xdr:colOff>
          <xdr:row>21</xdr:row>
          <xdr:rowOff>142875</xdr:rowOff>
        </xdr:to>
        <xdr:sp macro="" textlink="">
          <xdr:nvSpPr>
            <xdr:cNvPr id="1167" name="Button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Indicadores Financieros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142875</xdr:colOff>
          <xdr:row>18</xdr:row>
          <xdr:rowOff>9525</xdr:rowOff>
        </xdr:from>
        <xdr:to>
          <xdr:col>3</xdr:col>
          <xdr:colOff>476250</xdr:colOff>
          <xdr:row>19</xdr:row>
          <xdr:rowOff>123825</xdr:rowOff>
        </xdr:to>
        <xdr:sp macro="" textlink="">
          <xdr:nvSpPr>
            <xdr:cNvPr id="1168" name="Button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Variables Para Análisis de Sensibilidad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260</xdr:row>
          <xdr:rowOff>38100</xdr:rowOff>
        </xdr:from>
        <xdr:to>
          <xdr:col>2</xdr:col>
          <xdr:colOff>1724025</xdr:colOff>
          <xdr:row>261</xdr:row>
          <xdr:rowOff>85725</xdr:rowOff>
        </xdr:to>
        <xdr:sp macro="" textlink="">
          <xdr:nvSpPr>
            <xdr:cNvPr id="1169" name="Button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37</xdr:row>
          <xdr:rowOff>142875</xdr:rowOff>
        </xdr:from>
        <xdr:to>
          <xdr:col>2</xdr:col>
          <xdr:colOff>1657350</xdr:colOff>
          <xdr:row>39</xdr:row>
          <xdr:rowOff>19050</xdr:rowOff>
        </xdr:to>
        <xdr:sp macro="" textlink="">
          <xdr:nvSpPr>
            <xdr:cNvPr id="1173" name="Button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1</xdr:row>
          <xdr:rowOff>57150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1</xdr:row>
          <xdr:rowOff>57150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1</xdr:row>
          <xdr:rowOff>57150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1</xdr:row>
          <xdr:rowOff>57150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1</xdr:row>
          <xdr:rowOff>57150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790575</xdr:colOff>
          <xdr:row>3</xdr:row>
          <xdr:rowOff>0</xdr:rowOff>
        </xdr:from>
        <xdr:to>
          <xdr:col>1</xdr:col>
          <xdr:colOff>723900</xdr:colOff>
          <xdr:row>4</xdr:row>
          <xdr:rowOff>66675</xdr:rowOff>
        </xdr:to>
        <xdr:sp macro="" textlink="">
          <xdr:nvSpPr>
            <xdr:cNvPr id="15378" name="Button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E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0</xdr:row>
          <xdr:rowOff>285750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1</xdr:row>
          <xdr:rowOff>123825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1</xdr:row>
          <xdr:rowOff>57150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1</xdr:row>
          <xdr:rowOff>57150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66675</xdr:rowOff>
        </xdr:from>
        <xdr:to>
          <xdr:col>0</xdr:col>
          <xdr:colOff>847725</xdr:colOff>
          <xdr:row>1</xdr:row>
          <xdr:rowOff>66675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1</xdr:row>
          <xdr:rowOff>57150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1</xdr:row>
          <xdr:rowOff>57150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0</xdr:row>
          <xdr:rowOff>57150</xdr:rowOff>
        </xdr:from>
        <xdr:to>
          <xdr:col>0</xdr:col>
          <xdr:colOff>847725</xdr:colOff>
          <xdr:row>1</xdr:row>
          <xdr:rowOff>57150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E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Inicio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60000" mc:Ignorable="a14" a14:legacySpreadsheetColorIndex="22"/>
        </a:solidFill>
        <a:ln>
          <a:noFill/>
        </a:ln>
        <a:effectLst>
          <a:outerShdw dist="17961" dir="13500000" algn="ctr" rotWithShape="0">
            <a:srgbClr xmlns:mc="http://schemas.openxmlformats.org/markup-compatibility/2006" xmlns:a14="http://schemas.microsoft.com/office/drawing/2010/main" val="160000" mc:Ignorable="a14" a14:legacySpreadsheetColorIndex="22">
              <a:gamma/>
              <a:shade val="60000"/>
              <a:invGamma/>
            </a:srgbClr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60000" mc:Ignorable="a14" a14:legacySpreadsheetColorIndex="22"/>
        </a:solidFill>
        <a:ln>
          <a:noFill/>
        </a:ln>
        <a:effectLst>
          <a:outerShdw dist="17961" dir="13500000" algn="ctr" rotWithShape="0">
            <a:srgbClr xmlns:mc="http://schemas.openxmlformats.org/markup-compatibility/2006" xmlns:a14="http://schemas.microsoft.com/office/drawing/2010/main" val="160000" mc:Ignorable="a14" a14:legacySpreadsheetColorIndex="22">
              <a:gamma/>
              <a:shade val="60000"/>
              <a:invGamma/>
            </a:srgbClr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5" Type="http://schemas.openxmlformats.org/officeDocument/2006/relationships/ctrlProp" Target="../ctrlProps/ctrlProp45.xml"/><Relationship Id="rId4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ctrlProp" Target="../ctrlProps/ctrlProp46.xml"/><Relationship Id="rId4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5" Type="http://schemas.openxmlformats.org/officeDocument/2006/relationships/ctrlProp" Target="../ctrlProps/ctrlProp47.xml"/><Relationship Id="rId4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ctrlProp" Target="../ctrlProps/ctrlProp48.xml"/><Relationship Id="rId4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5" Type="http://schemas.openxmlformats.org/officeDocument/2006/relationships/ctrlProp" Target="../ctrlProps/ctrlProp49.xml"/><Relationship Id="rId4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Relationship Id="rId4" Type="http://schemas.openxmlformats.org/officeDocument/2006/relationships/ctrlProp" Target="../ctrlProps/ctrlProp5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37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38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39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40.xm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41.x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ctrlProp" Target="../ctrlProps/ctrlProp42.xml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5" Type="http://schemas.openxmlformats.org/officeDocument/2006/relationships/ctrlProp" Target="../ctrlProps/ctrlProp43.xml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ctrlProp" Target="../ctrlProps/ctrlProp44.xm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/>
  </sheetPr>
  <dimension ref="A1:IV260"/>
  <sheetViews>
    <sheetView showGridLines="0" showOutlineSymbols="0" topLeftCell="B144" zoomScale="145" zoomScaleNormal="145" workbookViewId="0">
      <selection activeCell="D146" sqref="D146"/>
    </sheetView>
  </sheetViews>
  <sheetFormatPr baseColWidth="10" defaultRowHeight="12.75" x14ac:dyDescent="0.2"/>
  <cols>
    <col min="1" max="1" width="1.140625" style="6" hidden="1" customWidth="1"/>
    <col min="2" max="2" width="1.28515625" customWidth="1"/>
    <col min="3" max="3" width="29.28515625" customWidth="1"/>
    <col min="4" max="4" width="23.42578125" customWidth="1"/>
    <col min="5" max="5" width="36.7109375" customWidth="1"/>
    <col min="6" max="6" width="23.5703125" customWidth="1"/>
    <col min="7" max="7" width="2.140625" customWidth="1"/>
    <col min="8" max="16384" width="11.42578125" style="6"/>
  </cols>
  <sheetData>
    <row r="1" spans="1:250" hidden="1" x14ac:dyDescent="0.2">
      <c r="A1" s="50"/>
      <c r="B1" s="6"/>
      <c r="C1" s="6"/>
      <c r="D1" s="6"/>
      <c r="E1" s="6"/>
      <c r="F1" s="6"/>
      <c r="G1" s="6"/>
    </row>
    <row r="2" spans="1:250" x14ac:dyDescent="0.2">
      <c r="B2" s="3"/>
      <c r="C2" s="3"/>
      <c r="D2" s="3"/>
      <c r="E2" s="3"/>
      <c r="F2" s="3"/>
      <c r="G2" s="3"/>
    </row>
    <row r="3" spans="1:250" x14ac:dyDescent="0.2">
      <c r="B3" s="3"/>
      <c r="C3" s="3"/>
      <c r="D3" s="3"/>
      <c r="E3" s="3"/>
      <c r="F3" s="3"/>
      <c r="G3" s="3"/>
    </row>
    <row r="4" spans="1:250" x14ac:dyDescent="0.2">
      <c r="B4" s="3"/>
      <c r="C4" s="3"/>
      <c r="D4" s="3"/>
      <c r="E4" s="3"/>
      <c r="F4" s="3"/>
      <c r="G4" s="3"/>
    </row>
    <row r="5" spans="1:250" x14ac:dyDescent="0.2">
      <c r="B5" s="3"/>
      <c r="G5" s="3"/>
    </row>
    <row r="6" spans="1:250" x14ac:dyDescent="0.2">
      <c r="B6" s="3"/>
      <c r="C6" s="3"/>
      <c r="D6" s="3"/>
      <c r="E6" s="3"/>
      <c r="F6" s="3"/>
      <c r="G6" s="3"/>
    </row>
    <row r="7" spans="1:250" x14ac:dyDescent="0.2">
      <c r="B7" s="3"/>
      <c r="G7" s="3"/>
      <c r="IP7" s="6" t="s">
        <v>173</v>
      </c>
    </row>
    <row r="8" spans="1:250" x14ac:dyDescent="0.2">
      <c r="B8" s="3"/>
      <c r="G8" s="3"/>
      <c r="IP8" s="6" t="s">
        <v>174</v>
      </c>
    </row>
    <row r="9" spans="1:250" x14ac:dyDescent="0.2">
      <c r="B9" s="3"/>
      <c r="C9" s="9"/>
      <c r="D9" s="10"/>
      <c r="E9" s="8"/>
      <c r="F9" s="8"/>
      <c r="G9" s="3"/>
    </row>
    <row r="10" spans="1:250" ht="13.5" thickBot="1" x14ac:dyDescent="0.25">
      <c r="B10" s="3"/>
      <c r="C10" s="635" t="s">
        <v>320</v>
      </c>
      <c r="D10" s="635"/>
      <c r="E10" s="635"/>
      <c r="F10" s="635"/>
      <c r="G10" s="3"/>
    </row>
    <row r="11" spans="1:250" x14ac:dyDescent="0.2">
      <c r="B11" s="3"/>
      <c r="C11" s="69"/>
      <c r="D11" s="70"/>
      <c r="E11" s="71"/>
      <c r="F11" s="72"/>
      <c r="G11" s="3"/>
    </row>
    <row r="12" spans="1:250" x14ac:dyDescent="0.2">
      <c r="B12" s="3"/>
      <c r="C12" s="73"/>
      <c r="D12" s="67"/>
      <c r="E12" s="68"/>
      <c r="F12" s="74"/>
      <c r="G12" s="3"/>
    </row>
    <row r="13" spans="1:250" x14ac:dyDescent="0.2">
      <c r="B13" s="3"/>
      <c r="C13" s="75"/>
      <c r="D13" s="67"/>
      <c r="E13" s="68"/>
      <c r="F13" s="74"/>
      <c r="G13" s="3"/>
    </row>
    <row r="14" spans="1:250" x14ac:dyDescent="0.2">
      <c r="B14" s="3"/>
      <c r="C14" s="75"/>
      <c r="D14" s="67"/>
      <c r="E14" s="68"/>
      <c r="F14" s="74"/>
      <c r="G14" s="3"/>
    </row>
    <row r="15" spans="1:250" x14ac:dyDescent="0.2">
      <c r="B15" s="3"/>
      <c r="C15" s="75"/>
      <c r="D15" s="67"/>
      <c r="E15" s="68"/>
      <c r="F15" s="74"/>
      <c r="G15" s="3"/>
    </row>
    <row r="16" spans="1:250" x14ac:dyDescent="0.2">
      <c r="B16" s="3"/>
      <c r="C16" s="75"/>
      <c r="D16" s="67"/>
      <c r="E16" s="68"/>
      <c r="F16" s="74"/>
      <c r="G16" s="3"/>
    </row>
    <row r="17" spans="2:7" x14ac:dyDescent="0.2">
      <c r="B17" s="3"/>
      <c r="C17" s="75"/>
      <c r="D17" s="67"/>
      <c r="E17" s="68"/>
      <c r="F17" s="74"/>
      <c r="G17" s="3"/>
    </row>
    <row r="18" spans="2:7" x14ac:dyDescent="0.2">
      <c r="B18" s="3"/>
      <c r="C18" s="75"/>
      <c r="D18" s="68"/>
      <c r="E18" s="68"/>
      <c r="F18" s="74"/>
      <c r="G18" s="3"/>
    </row>
    <row r="19" spans="2:7" ht="13.5" thickBot="1" x14ac:dyDescent="0.25">
      <c r="B19" s="3"/>
      <c r="C19" s="76"/>
      <c r="D19" s="77"/>
      <c r="E19" s="78"/>
      <c r="F19" s="79"/>
      <c r="G19" s="3"/>
    </row>
    <row r="20" spans="2:7" x14ac:dyDescent="0.2">
      <c r="B20" s="3"/>
      <c r="C20" s="66"/>
      <c r="D20" s="67"/>
      <c r="E20" s="68"/>
      <c r="F20" s="68"/>
      <c r="G20" s="3"/>
    </row>
    <row r="21" spans="2:7" x14ac:dyDescent="0.2">
      <c r="B21" s="3"/>
      <c r="C21" s="66"/>
      <c r="D21" s="67"/>
      <c r="E21" s="68"/>
      <c r="F21" s="68"/>
      <c r="G21" s="3"/>
    </row>
    <row r="22" spans="2:7" x14ac:dyDescent="0.2">
      <c r="B22" s="3"/>
      <c r="C22" s="66"/>
      <c r="D22" s="67"/>
      <c r="E22" s="68"/>
      <c r="F22" s="68"/>
      <c r="G22" s="3"/>
    </row>
    <row r="23" spans="2:7" hidden="1" x14ac:dyDescent="0.2">
      <c r="B23" s="3"/>
      <c r="G23" s="3"/>
    </row>
    <row r="24" spans="2:7" x14ac:dyDescent="0.2">
      <c r="B24" s="3"/>
      <c r="G24" s="3"/>
    </row>
    <row r="25" spans="2:7" x14ac:dyDescent="0.2">
      <c r="B25" s="3"/>
      <c r="G25" s="3"/>
    </row>
    <row r="26" spans="2:7" x14ac:dyDescent="0.2">
      <c r="B26" s="3"/>
      <c r="G26" s="3"/>
    </row>
    <row r="27" spans="2:7" x14ac:dyDescent="0.2">
      <c r="B27" s="3"/>
      <c r="G27" s="3"/>
    </row>
    <row r="28" spans="2:7" x14ac:dyDescent="0.2">
      <c r="B28" s="3"/>
      <c r="G28" s="3"/>
    </row>
    <row r="29" spans="2:7" x14ac:dyDescent="0.2">
      <c r="B29" s="3"/>
      <c r="C29" s="9"/>
      <c r="D29" s="10"/>
      <c r="E29" s="8"/>
      <c r="F29" s="8"/>
      <c r="G29" s="3"/>
    </row>
    <row r="30" spans="2:7" x14ac:dyDescent="0.2">
      <c r="B30" s="3"/>
      <c r="C30" s="9"/>
      <c r="D30" s="10"/>
      <c r="E30" s="8"/>
      <c r="F30" s="8"/>
      <c r="G30" s="3"/>
    </row>
    <row r="31" spans="2:7" x14ac:dyDescent="0.2">
      <c r="B31" s="3"/>
      <c r="C31" s="9"/>
      <c r="D31" s="10"/>
      <c r="E31" s="8"/>
      <c r="F31" s="8"/>
      <c r="G31" s="3"/>
    </row>
    <row r="32" spans="2:7" x14ac:dyDescent="0.2">
      <c r="B32" s="3"/>
      <c r="C32" s="9"/>
      <c r="D32" s="10"/>
      <c r="E32" s="8"/>
      <c r="F32" s="8"/>
      <c r="G32" s="3"/>
    </row>
    <row r="33" spans="2:7" x14ac:dyDescent="0.2">
      <c r="B33" s="3"/>
      <c r="C33" s="9"/>
      <c r="D33" s="10"/>
      <c r="E33" s="8"/>
      <c r="F33" s="8"/>
      <c r="G33" s="3"/>
    </row>
    <row r="34" spans="2:7" x14ac:dyDescent="0.2">
      <c r="B34" s="3"/>
      <c r="C34" s="9"/>
      <c r="D34" s="10"/>
      <c r="E34" s="8"/>
      <c r="F34" s="8"/>
      <c r="G34" s="3"/>
    </row>
    <row r="35" spans="2:7" x14ac:dyDescent="0.2">
      <c r="B35" s="3"/>
      <c r="C35" s="9"/>
      <c r="D35" s="10"/>
      <c r="E35" s="8"/>
      <c r="F35" s="8"/>
      <c r="G35" s="3"/>
    </row>
    <row r="36" spans="2:7" x14ac:dyDescent="0.2">
      <c r="B36" s="3"/>
    </row>
    <row r="37" spans="2:7" x14ac:dyDescent="0.2">
      <c r="B37" s="3"/>
    </row>
    <row r="38" spans="2:7" x14ac:dyDescent="0.2">
      <c r="B38" s="3"/>
      <c r="C38" s="9"/>
      <c r="D38" s="10"/>
      <c r="E38" s="8"/>
      <c r="F38" s="8"/>
      <c r="G38" s="3"/>
    </row>
    <row r="39" spans="2:7" x14ac:dyDescent="0.2">
      <c r="B39" s="3"/>
      <c r="C39" s="9"/>
      <c r="D39" s="10"/>
      <c r="E39" s="8"/>
      <c r="F39" s="8"/>
      <c r="G39" s="3"/>
    </row>
    <row r="40" spans="2:7" ht="21" thickBot="1" x14ac:dyDescent="0.35">
      <c r="B40" s="3"/>
      <c r="C40" s="642" t="s">
        <v>321</v>
      </c>
      <c r="D40" s="642"/>
      <c r="E40" s="642"/>
      <c r="F40" s="642"/>
      <c r="G40" s="3"/>
    </row>
    <row r="41" spans="2:7" ht="18" x14ac:dyDescent="0.25">
      <c r="B41" s="3"/>
      <c r="C41" s="21" t="s">
        <v>146</v>
      </c>
      <c r="D41" s="636" t="s">
        <v>430</v>
      </c>
      <c r="E41" s="637"/>
      <c r="F41" s="638"/>
      <c r="G41" s="3"/>
    </row>
    <row r="42" spans="2:7" x14ac:dyDescent="0.2">
      <c r="B42" s="3"/>
      <c r="C42" s="9"/>
      <c r="D42" s="10"/>
      <c r="E42" s="8"/>
      <c r="F42" s="8"/>
      <c r="G42" s="3"/>
    </row>
    <row r="43" spans="2:7" x14ac:dyDescent="0.2">
      <c r="B43" s="3"/>
      <c r="C43" s="643" t="s">
        <v>322</v>
      </c>
      <c r="D43" s="644"/>
      <c r="E43" s="644"/>
      <c r="G43" s="3"/>
    </row>
    <row r="44" spans="2:7" x14ac:dyDescent="0.2">
      <c r="B44" s="3"/>
      <c r="C44" s="21" t="s">
        <v>22</v>
      </c>
      <c r="D44" s="21"/>
      <c r="E44" s="562">
        <v>0.34</v>
      </c>
      <c r="G44" s="3"/>
    </row>
    <row r="45" spans="2:7" x14ac:dyDescent="0.2">
      <c r="B45" s="3"/>
      <c r="C45" s="21" t="s">
        <v>427</v>
      </c>
      <c r="D45" s="21"/>
      <c r="E45" s="562">
        <v>0.08</v>
      </c>
      <c r="G45" s="3"/>
    </row>
    <row r="46" spans="2:7" x14ac:dyDescent="0.2">
      <c r="B46" s="3"/>
      <c r="C46" s="21" t="s">
        <v>20</v>
      </c>
      <c r="D46" s="21"/>
      <c r="E46" s="562">
        <v>0.1</v>
      </c>
      <c r="G46" s="3"/>
    </row>
    <row r="47" spans="2:7" x14ac:dyDescent="0.2">
      <c r="B47" s="3"/>
      <c r="C47" s="21" t="s">
        <v>157</v>
      </c>
      <c r="D47" s="21"/>
      <c r="E47" s="562">
        <v>0</v>
      </c>
      <c r="G47" s="3"/>
    </row>
    <row r="48" spans="2:7" x14ac:dyDescent="0.2">
      <c r="B48" s="3"/>
      <c r="C48" s="21" t="s">
        <v>304</v>
      </c>
      <c r="D48" s="21"/>
      <c r="E48" s="563">
        <v>0.24</v>
      </c>
      <c r="G48" s="3"/>
    </row>
    <row r="49" spans="2:256" x14ac:dyDescent="0.2">
      <c r="B49" s="3"/>
      <c r="C49" s="21" t="s">
        <v>177</v>
      </c>
      <c r="D49" s="21"/>
      <c r="E49" s="564">
        <v>5</v>
      </c>
      <c r="G49" s="3"/>
    </row>
    <row r="50" spans="2:256" x14ac:dyDescent="0.2">
      <c r="B50" s="3"/>
      <c r="C50" s="21" t="s">
        <v>411</v>
      </c>
      <c r="D50" s="21"/>
      <c r="E50" s="562">
        <v>4.0000000000000001E-3</v>
      </c>
      <c r="F50" s="8"/>
      <c r="G50" s="3"/>
    </row>
    <row r="51" spans="2:256" x14ac:dyDescent="0.2">
      <c r="B51" s="3"/>
      <c r="C51" s="21" t="s">
        <v>172</v>
      </c>
      <c r="D51" s="21"/>
      <c r="E51" s="617" t="s">
        <v>174</v>
      </c>
      <c r="F51" s="8"/>
      <c r="G51" s="3"/>
    </row>
    <row r="52" spans="2:256" x14ac:dyDescent="0.2">
      <c r="B52" s="3"/>
      <c r="D52" s="10"/>
      <c r="F52" s="8"/>
      <c r="G52" s="3"/>
    </row>
    <row r="53" spans="2:256" x14ac:dyDescent="0.2">
      <c r="B53" s="3"/>
      <c r="C53" s="9"/>
      <c r="D53" s="10"/>
      <c r="E53" s="8"/>
      <c r="F53" s="8"/>
      <c r="G53" s="3"/>
    </row>
    <row r="54" spans="2:256" x14ac:dyDescent="0.2">
      <c r="B54" s="3"/>
      <c r="C54" s="5"/>
      <c r="D54" s="4"/>
      <c r="E54" s="4"/>
      <c r="F54" s="4"/>
      <c r="G54" s="3"/>
      <c r="IV54" s="6" t="s">
        <v>147</v>
      </c>
    </row>
    <row r="55" spans="2:256" ht="21" thickBot="1" x14ac:dyDescent="0.35">
      <c r="B55" s="3"/>
      <c r="C55" s="642" t="s">
        <v>268</v>
      </c>
      <c r="D55" s="642"/>
      <c r="E55" s="642"/>
      <c r="F55" s="642"/>
      <c r="G55" s="3"/>
    </row>
    <row r="56" spans="2:256" ht="21" thickBot="1" x14ac:dyDescent="0.35">
      <c r="B56" s="3"/>
      <c r="C56" s="32"/>
      <c r="D56" s="32"/>
      <c r="E56" s="32"/>
      <c r="F56" s="32"/>
      <c r="G56" s="3"/>
    </row>
    <row r="57" spans="2:256" ht="13.5" thickBot="1" x14ac:dyDescent="0.25">
      <c r="B57" s="3"/>
      <c r="C57" s="55" t="s">
        <v>323</v>
      </c>
      <c r="D57" s="56" t="s">
        <v>324</v>
      </c>
      <c r="E57" s="555" t="s">
        <v>325</v>
      </c>
      <c r="F57" s="556" t="s">
        <v>425</v>
      </c>
      <c r="G57" s="3"/>
    </row>
    <row r="58" spans="2:256" ht="13.5" thickBot="1" x14ac:dyDescent="0.25">
      <c r="B58" s="3"/>
      <c r="C58" s="618" t="s">
        <v>326</v>
      </c>
      <c r="D58" s="558">
        <v>0</v>
      </c>
      <c r="E58" s="559">
        <v>30</v>
      </c>
      <c r="F58" s="557">
        <v>0.32</v>
      </c>
      <c r="G58" s="3"/>
    </row>
    <row r="59" spans="2:256" ht="13.5" thickBot="1" x14ac:dyDescent="0.25">
      <c r="B59" s="3"/>
      <c r="C59" s="619" t="s">
        <v>327</v>
      </c>
      <c r="D59" s="560">
        <v>0</v>
      </c>
      <c r="E59" s="561">
        <v>0.5</v>
      </c>
      <c r="G59" s="3"/>
    </row>
    <row r="60" spans="2:256" x14ac:dyDescent="0.2">
      <c r="B60" s="3"/>
      <c r="C60" s="80"/>
      <c r="D60" s="57" t="str">
        <f>+C70</f>
        <v>Bloque de cemento PET</v>
      </c>
      <c r="E60" s="57">
        <f>+C71</f>
        <v>0</v>
      </c>
      <c r="F60" s="54">
        <f>+C72</f>
        <v>0</v>
      </c>
      <c r="G60" s="3"/>
    </row>
    <row r="61" spans="2:256" x14ac:dyDescent="0.2">
      <c r="B61" s="3"/>
      <c r="C61" s="39" t="s">
        <v>305</v>
      </c>
      <c r="D61" s="565">
        <v>0.503</v>
      </c>
      <c r="E61" s="566"/>
      <c r="F61" s="566"/>
      <c r="G61" s="3"/>
    </row>
    <row r="62" spans="2:256" x14ac:dyDescent="0.2">
      <c r="B62" s="3"/>
      <c r="C62" s="39" t="s">
        <v>208</v>
      </c>
      <c r="D62" s="567">
        <v>0.05</v>
      </c>
      <c r="E62" s="11" t="s">
        <v>328</v>
      </c>
      <c r="F62" s="81">
        <f>+'presupuesto compras y ventas'!B47/'presupuesto compras y ventas'!B48</f>
        <v>1</v>
      </c>
      <c r="G62" s="3"/>
    </row>
    <row r="63" spans="2:256" x14ac:dyDescent="0.2">
      <c r="B63" s="3"/>
      <c r="C63" s="39" t="s">
        <v>334</v>
      </c>
      <c r="D63" s="567">
        <v>0.05</v>
      </c>
      <c r="E63" s="11" t="s">
        <v>329</v>
      </c>
      <c r="F63" s="81">
        <f>+'presupuesto compras y ventas'!B46/'presupuesto compras y ventas'!B48</f>
        <v>0</v>
      </c>
      <c r="G63" s="3"/>
    </row>
    <row r="64" spans="2:256" x14ac:dyDescent="0.2">
      <c r="B64" s="3"/>
      <c r="C64" s="39" t="s">
        <v>335</v>
      </c>
      <c r="D64" s="567">
        <v>0.05</v>
      </c>
      <c r="E64" s="11" t="s">
        <v>330</v>
      </c>
      <c r="F64" s="81">
        <f>+'presupuesto compras y ventas'!B81/'presupuesto compras y ventas'!B82</f>
        <v>0.96153846153846156</v>
      </c>
      <c r="G64" s="3"/>
    </row>
    <row r="65" spans="2:7" x14ac:dyDescent="0.2">
      <c r="B65" s="3"/>
      <c r="C65" s="39" t="s">
        <v>336</v>
      </c>
      <c r="D65" s="567">
        <v>0.05</v>
      </c>
      <c r="E65" s="11" t="s">
        <v>331</v>
      </c>
      <c r="F65" s="81">
        <f>+'presupuesto compras y ventas'!B80/'presupuesto compras y ventas'!B82</f>
        <v>3.8461538461538457E-2</v>
      </c>
      <c r="G65" s="3"/>
    </row>
    <row r="66" spans="2:7" ht="13.5" thickBot="1" x14ac:dyDescent="0.25">
      <c r="B66" s="3"/>
      <c r="C66" s="63" t="s">
        <v>345</v>
      </c>
      <c r="D66" s="64"/>
      <c r="E66" s="65"/>
      <c r="F66" s="568">
        <v>7</v>
      </c>
      <c r="G66" s="3"/>
    </row>
    <row r="67" spans="2:7" ht="13.5" thickBot="1" x14ac:dyDescent="0.25">
      <c r="B67" s="3"/>
      <c r="C67" s="639" t="s">
        <v>149</v>
      </c>
      <c r="D67" s="640"/>
      <c r="E67" s="640"/>
      <c r="F67" s="641"/>
      <c r="G67" s="3"/>
    </row>
    <row r="68" spans="2:7" x14ac:dyDescent="0.2">
      <c r="B68" s="3"/>
      <c r="C68" s="61" t="s">
        <v>148</v>
      </c>
      <c r="D68" s="61" t="s">
        <v>346</v>
      </c>
      <c r="E68" s="61" t="s">
        <v>292</v>
      </c>
      <c r="F68" s="61" t="s">
        <v>297</v>
      </c>
      <c r="G68" s="3"/>
    </row>
    <row r="69" spans="2:7" ht="13.5" thickBot="1" x14ac:dyDescent="0.25">
      <c r="B69" s="3"/>
      <c r="C69" s="62" t="s">
        <v>269</v>
      </c>
      <c r="D69" s="62" t="s">
        <v>332</v>
      </c>
      <c r="E69" s="62" t="s">
        <v>270</v>
      </c>
      <c r="F69" s="62" t="s">
        <v>271</v>
      </c>
      <c r="G69" s="3"/>
    </row>
    <row r="70" spans="2:7" x14ac:dyDescent="0.2">
      <c r="B70" s="3"/>
      <c r="C70" s="490" t="s">
        <v>452</v>
      </c>
      <c r="D70" s="572">
        <v>0.83</v>
      </c>
      <c r="E70" s="632">
        <f>3332/1000</f>
        <v>3.3319999999999999</v>
      </c>
      <c r="F70" s="569">
        <v>880000</v>
      </c>
      <c r="G70" s="3"/>
    </row>
    <row r="71" spans="2:7" x14ac:dyDescent="0.2">
      <c r="B71" s="3"/>
      <c r="C71" s="491"/>
      <c r="D71" s="573"/>
      <c r="E71" s="574"/>
      <c r="F71" s="570"/>
      <c r="G71" s="3"/>
    </row>
    <row r="72" spans="2:7" x14ac:dyDescent="0.2">
      <c r="B72" s="3"/>
      <c r="C72" s="492"/>
      <c r="D72" s="575"/>
      <c r="E72" s="576"/>
      <c r="F72" s="571"/>
      <c r="G72" s="3"/>
    </row>
    <row r="73" spans="2:7" ht="13.5" thickBot="1" x14ac:dyDescent="0.25">
      <c r="B73" s="3"/>
      <c r="C73" s="7"/>
      <c r="D73" s="7"/>
      <c r="E73" s="7"/>
      <c r="F73" s="7"/>
      <c r="G73" s="3"/>
    </row>
    <row r="74" spans="2:7" ht="13.5" thickBot="1" x14ac:dyDescent="0.25">
      <c r="B74" s="3"/>
      <c r="C74" s="34" t="s">
        <v>333</v>
      </c>
      <c r="D74" s="58"/>
      <c r="E74" s="59" t="s">
        <v>187</v>
      </c>
      <c r="F74" s="59" t="s">
        <v>188</v>
      </c>
      <c r="G74" s="3"/>
    </row>
    <row r="75" spans="2:7" x14ac:dyDescent="0.2">
      <c r="B75" s="3"/>
      <c r="C75" s="12" t="str">
        <f>IF($E$51="Años","Año 2","Mes 2")</f>
        <v>Año 2</v>
      </c>
      <c r="D75" s="577">
        <v>0.9</v>
      </c>
      <c r="E75" s="577"/>
      <c r="F75" s="577"/>
      <c r="G75" s="3"/>
    </row>
    <row r="76" spans="2:7" x14ac:dyDescent="0.2">
      <c r="B76" s="3"/>
      <c r="C76" s="13" t="str">
        <f>IF($E$51="Años","Año 3","Mes 3")</f>
        <v>Año 3</v>
      </c>
      <c r="D76" s="578">
        <v>0.93</v>
      </c>
      <c r="E76" s="578"/>
      <c r="F76" s="578"/>
      <c r="G76" s="3"/>
    </row>
    <row r="77" spans="2:7" x14ac:dyDescent="0.2">
      <c r="B77" s="3"/>
      <c r="C77" s="13" t="str">
        <f>IF($E$51="Años","Año 4","Mes 4")</f>
        <v>Año 4</v>
      </c>
      <c r="D77" s="578">
        <v>0.96</v>
      </c>
      <c r="E77" s="578"/>
      <c r="F77" s="578"/>
      <c r="G77" s="3"/>
    </row>
    <row r="78" spans="2:7" x14ac:dyDescent="0.2">
      <c r="B78" s="3"/>
      <c r="C78" s="13" t="str">
        <f>IF($E$51="Años","Año 5","Mes 5")</f>
        <v>Año 5</v>
      </c>
      <c r="D78" s="578">
        <v>1</v>
      </c>
      <c r="E78" s="578"/>
      <c r="F78" s="578"/>
      <c r="G78" s="3"/>
    </row>
    <row r="79" spans="2:7" x14ac:dyDescent="0.2">
      <c r="B79" s="3"/>
      <c r="C79" s="13" t="str">
        <f>IF($E$51="Años","Año 6","Mes 6")</f>
        <v>Año 6</v>
      </c>
      <c r="D79" s="578"/>
      <c r="E79" s="578"/>
      <c r="F79" s="578"/>
      <c r="G79" s="3"/>
    </row>
    <row r="80" spans="2:7" x14ac:dyDescent="0.2">
      <c r="B80" s="3"/>
      <c r="C80" s="13" t="str">
        <f>IF($E$51="Años","Año 7","Mes 7")</f>
        <v>Año 7</v>
      </c>
      <c r="D80" s="578"/>
      <c r="E80" s="578"/>
      <c r="F80" s="578"/>
      <c r="G80" s="3"/>
    </row>
    <row r="81" spans="2:7" x14ac:dyDescent="0.2">
      <c r="B81" s="3"/>
      <c r="C81" s="13" t="str">
        <f>IF($E$51="Años","Año 8","Mes 8")</f>
        <v>Año 8</v>
      </c>
      <c r="D81" s="578"/>
      <c r="E81" s="578"/>
      <c r="F81" s="578"/>
      <c r="G81" s="3"/>
    </row>
    <row r="82" spans="2:7" x14ac:dyDescent="0.2">
      <c r="B82" s="3"/>
      <c r="C82" s="33" t="str">
        <f>IF($E$51="Años","Año 9","Mes 9")</f>
        <v>Año 9</v>
      </c>
      <c r="D82" s="578"/>
      <c r="E82" s="579"/>
      <c r="F82" s="579"/>
      <c r="G82" s="3"/>
    </row>
    <row r="83" spans="2:7" x14ac:dyDescent="0.2">
      <c r="B83" s="3"/>
      <c r="C83" s="11" t="str">
        <f>IF($E$51="Años","Año 10","Mes 10")</f>
        <v>Año 10</v>
      </c>
      <c r="D83" s="578"/>
      <c r="E83" s="580"/>
      <c r="F83" s="580"/>
      <c r="G83" s="3"/>
    </row>
    <row r="84" spans="2:7" x14ac:dyDescent="0.2">
      <c r="B84" s="3"/>
      <c r="C84" s="11" t="str">
        <f>IF($E$51="Años","Año 11","Mes 11")</f>
        <v>Año 11</v>
      </c>
      <c r="D84" s="53"/>
      <c r="E84" s="60"/>
      <c r="F84" s="60"/>
      <c r="G84" s="3"/>
    </row>
    <row r="85" spans="2:7" x14ac:dyDescent="0.2">
      <c r="B85" s="3"/>
      <c r="C85" s="11" t="str">
        <f>IF($E$51="Años","Año 12","Mes 12")</f>
        <v>Año 12</v>
      </c>
      <c r="D85" s="53"/>
      <c r="E85" s="60"/>
      <c r="F85" s="60"/>
      <c r="G85" s="3"/>
    </row>
    <row r="86" spans="2:7" x14ac:dyDescent="0.2">
      <c r="B86" s="3"/>
      <c r="C86" s="31" t="str">
        <f>IF($E$51="Años","Año 13","")</f>
        <v>Año 13</v>
      </c>
      <c r="D86" s="53"/>
      <c r="E86" s="60"/>
      <c r="F86" s="60"/>
      <c r="G86" s="3"/>
    </row>
    <row r="87" spans="2:7" x14ac:dyDescent="0.2">
      <c r="B87" s="3"/>
      <c r="C87" s="11" t="str">
        <f>IF($E$51="Años","Año 14","")</f>
        <v>Año 14</v>
      </c>
      <c r="D87" s="53"/>
      <c r="E87" s="60"/>
      <c r="F87" s="60"/>
      <c r="G87" s="3"/>
    </row>
    <row r="88" spans="2:7" ht="13.5" thickBot="1" x14ac:dyDescent="0.25">
      <c r="B88" s="3"/>
      <c r="C88" s="14" t="str">
        <f>IF($E$51="Años","Año 15","")</f>
        <v>Año 15</v>
      </c>
      <c r="D88" s="53"/>
      <c r="E88" s="60"/>
      <c r="F88" s="60"/>
      <c r="G88" s="3"/>
    </row>
    <row r="89" spans="2:7" x14ac:dyDescent="0.2">
      <c r="B89" s="3"/>
      <c r="C89" s="7"/>
      <c r="D89" s="7"/>
      <c r="E89" s="7"/>
      <c r="F89" s="7"/>
      <c r="G89" s="3"/>
    </row>
    <row r="90" spans="2:7" x14ac:dyDescent="0.2">
      <c r="B90" s="3"/>
      <c r="C90" s="7"/>
      <c r="D90" s="7"/>
      <c r="E90" s="7"/>
      <c r="F90" s="7"/>
      <c r="G90" s="3"/>
    </row>
    <row r="91" spans="2:7" x14ac:dyDescent="0.2">
      <c r="B91" s="3"/>
      <c r="C91" s="7"/>
      <c r="D91" s="7"/>
      <c r="E91" s="7"/>
      <c r="F91" s="7"/>
      <c r="G91" s="3"/>
    </row>
    <row r="92" spans="2:7" x14ac:dyDescent="0.2">
      <c r="B92" s="3"/>
      <c r="C92" s="7"/>
      <c r="D92" s="7"/>
      <c r="E92" s="7"/>
      <c r="F92" s="7"/>
      <c r="G92" s="3"/>
    </row>
    <row r="93" spans="2:7" ht="10.5" customHeight="1" x14ac:dyDescent="0.2">
      <c r="B93" s="3"/>
      <c r="C93" s="7"/>
      <c r="D93" s="7"/>
      <c r="E93" s="7"/>
      <c r="F93" s="7"/>
      <c r="G93" s="3"/>
    </row>
    <row r="94" spans="2:7" x14ac:dyDescent="0.2">
      <c r="B94" s="3"/>
      <c r="C94" s="7"/>
      <c r="D94" s="7"/>
      <c r="E94" s="7"/>
      <c r="F94" s="7"/>
      <c r="G94" s="3"/>
    </row>
    <row r="95" spans="2:7" ht="21" thickBot="1" x14ac:dyDescent="0.35">
      <c r="B95" s="3"/>
      <c r="C95" s="642" t="s">
        <v>46</v>
      </c>
      <c r="D95" s="642"/>
      <c r="E95" s="642"/>
      <c r="F95" s="642"/>
      <c r="G95" s="3"/>
    </row>
    <row r="96" spans="2:7" x14ac:dyDescent="0.2">
      <c r="B96" s="3"/>
      <c r="C96" s="18"/>
      <c r="D96" s="18"/>
      <c r="E96" s="18"/>
      <c r="F96" s="18"/>
      <c r="G96" s="3"/>
    </row>
    <row r="97" spans="2:7" ht="13.5" thickBot="1" x14ac:dyDescent="0.25">
      <c r="B97" s="3"/>
      <c r="C97" s="7"/>
      <c r="D97" s="7"/>
      <c r="E97" s="7"/>
      <c r="F97" s="7"/>
      <c r="G97" s="3"/>
    </row>
    <row r="98" spans="2:7" ht="13.5" thickBot="1" x14ac:dyDescent="0.25">
      <c r="B98" s="3"/>
      <c r="C98" s="11" t="s">
        <v>178</v>
      </c>
      <c r="D98" s="634">
        <f>908526/1000</f>
        <v>908.52599999999995</v>
      </c>
      <c r="E98" s="536" t="s">
        <v>424</v>
      </c>
      <c r="F98" s="554">
        <f>+F99+F100+F101+F102</f>
        <v>9.0000000000000011E-2</v>
      </c>
      <c r="G98" s="3"/>
    </row>
    <row r="99" spans="2:7" x14ac:dyDescent="0.2">
      <c r="B99" s="3"/>
      <c r="C99" s="11" t="s">
        <v>186</v>
      </c>
      <c r="D99" s="581">
        <v>2</v>
      </c>
      <c r="E99" s="537" t="s">
        <v>413</v>
      </c>
      <c r="F99" s="582">
        <v>0.04</v>
      </c>
      <c r="G99" s="3"/>
    </row>
    <row r="100" spans="2:7" ht="13.5" thickBot="1" x14ac:dyDescent="0.25">
      <c r="B100" s="3"/>
      <c r="C100" s="11" t="s">
        <v>150</v>
      </c>
      <c r="D100" s="634">
        <f>106454/1000</f>
        <v>106.45399999999999</v>
      </c>
      <c r="E100" s="538" t="s">
        <v>414</v>
      </c>
      <c r="F100" s="582">
        <v>0.03</v>
      </c>
      <c r="G100" s="3"/>
    </row>
    <row r="101" spans="2:7" ht="13.5" thickBot="1" x14ac:dyDescent="0.25">
      <c r="B101" s="3"/>
      <c r="C101" s="34" t="s">
        <v>151</v>
      </c>
      <c r="D101" s="535"/>
      <c r="E101" s="538" t="s">
        <v>412</v>
      </c>
      <c r="F101" s="582">
        <v>0.02</v>
      </c>
      <c r="G101" s="3"/>
    </row>
    <row r="102" spans="2:7" ht="13.5" thickBot="1" x14ac:dyDescent="0.25">
      <c r="B102" s="3"/>
      <c r="C102" s="33" t="s">
        <v>80</v>
      </c>
      <c r="D102" s="583">
        <v>4.1700000000000001E-2</v>
      </c>
      <c r="E102" s="539" t="s">
        <v>54</v>
      </c>
      <c r="F102" s="582">
        <v>0</v>
      </c>
      <c r="G102" s="3"/>
    </row>
    <row r="103" spans="2:7" ht="13.5" thickBot="1" x14ac:dyDescent="0.25">
      <c r="B103" s="3"/>
      <c r="C103" s="11" t="s">
        <v>144</v>
      </c>
      <c r="D103" s="584">
        <v>8.4000000000000005E-2</v>
      </c>
      <c r="E103" s="536" t="s">
        <v>426</v>
      </c>
      <c r="F103" s="554">
        <f>+F104+F105+F106+F107</f>
        <v>0.22020000000000001</v>
      </c>
      <c r="G103" s="3"/>
    </row>
    <row r="104" spans="2:7" x14ac:dyDescent="0.2">
      <c r="B104" s="3"/>
      <c r="C104" s="11" t="s">
        <v>81</v>
      </c>
      <c r="D104" s="585">
        <v>8.4000000000000005E-2</v>
      </c>
      <c r="E104" s="537" t="s">
        <v>415</v>
      </c>
      <c r="F104" s="586">
        <v>8.5000000000000006E-2</v>
      </c>
      <c r="G104" s="3"/>
    </row>
    <row r="105" spans="2:7" x14ac:dyDescent="0.2">
      <c r="B105" s="3"/>
      <c r="C105" s="11" t="s">
        <v>309</v>
      </c>
      <c r="D105" s="585">
        <v>0.12</v>
      </c>
      <c r="E105" s="538" t="s">
        <v>416</v>
      </c>
      <c r="F105" s="586">
        <v>0.12</v>
      </c>
      <c r="G105" s="3"/>
    </row>
    <row r="106" spans="2:7" x14ac:dyDescent="0.2">
      <c r="B106" s="3"/>
      <c r="C106" s="11" t="s">
        <v>209</v>
      </c>
      <c r="D106" s="585">
        <v>2.5000000000000001E-2</v>
      </c>
      <c r="E106" s="538" t="s">
        <v>417</v>
      </c>
      <c r="F106" s="587">
        <v>1.52E-2</v>
      </c>
      <c r="G106" s="3"/>
    </row>
    <row r="107" spans="2:7" x14ac:dyDescent="0.2">
      <c r="B107" s="3"/>
      <c r="C107" s="11" t="s">
        <v>306</v>
      </c>
      <c r="D107" s="585">
        <v>2.5000000000000001E-2</v>
      </c>
      <c r="E107" s="538" t="s">
        <v>54</v>
      </c>
      <c r="F107" s="587">
        <v>0</v>
      </c>
      <c r="G107" s="3"/>
    </row>
    <row r="108" spans="2:7" x14ac:dyDescent="0.2">
      <c r="B108" s="3"/>
      <c r="C108" s="11" t="s">
        <v>307</v>
      </c>
      <c r="D108" s="585">
        <v>2.5000000000000001E-2</v>
      </c>
      <c r="E108" s="534"/>
      <c r="F108" s="534"/>
      <c r="G108" s="3"/>
    </row>
    <row r="109" spans="2:7" x14ac:dyDescent="0.2">
      <c r="B109" s="3"/>
      <c r="C109" s="11" t="s">
        <v>308</v>
      </c>
      <c r="D109" s="585">
        <v>2.5000000000000001E-2</v>
      </c>
      <c r="E109" s="534"/>
      <c r="F109" s="534"/>
      <c r="G109" s="3"/>
    </row>
    <row r="110" spans="2:7" ht="13.5" thickBot="1" x14ac:dyDescent="0.25">
      <c r="B110" s="3"/>
      <c r="C110" s="534"/>
      <c r="D110" s="534"/>
      <c r="E110" s="534"/>
      <c r="F110" s="534"/>
      <c r="G110" s="3"/>
    </row>
    <row r="111" spans="2:7" ht="13.5" thickBot="1" x14ac:dyDescent="0.25">
      <c r="B111" s="3"/>
      <c r="C111" s="639" t="s">
        <v>152</v>
      </c>
      <c r="D111" s="640"/>
      <c r="E111" s="641"/>
      <c r="F111" s="7"/>
      <c r="G111" s="3"/>
    </row>
    <row r="112" spans="2:7" x14ac:dyDescent="0.2">
      <c r="B112" s="3"/>
      <c r="C112" s="83" t="s">
        <v>156</v>
      </c>
      <c r="D112" s="83" t="s">
        <v>153</v>
      </c>
      <c r="E112" s="83" t="s">
        <v>293</v>
      </c>
      <c r="G112" s="3"/>
    </row>
    <row r="113" spans="2:7" x14ac:dyDescent="0.2">
      <c r="B113" s="3"/>
      <c r="C113" s="588" t="s">
        <v>431</v>
      </c>
      <c r="D113" s="589">
        <v>1</v>
      </c>
      <c r="E113" s="589">
        <f>4000</f>
        <v>4000</v>
      </c>
      <c r="G113" s="3"/>
    </row>
    <row r="114" spans="2:7" x14ac:dyDescent="0.2">
      <c r="B114" s="3"/>
      <c r="C114" s="588" t="s">
        <v>435</v>
      </c>
      <c r="D114" s="591">
        <v>1</v>
      </c>
      <c r="E114" s="591">
        <f>1100</f>
        <v>1100</v>
      </c>
      <c r="G114" s="3"/>
    </row>
    <row r="115" spans="2:7" x14ac:dyDescent="0.2">
      <c r="B115" s="3"/>
      <c r="C115" s="590" t="s">
        <v>437</v>
      </c>
      <c r="D115" s="591">
        <v>1</v>
      </c>
      <c r="E115" s="591">
        <f>1200</f>
        <v>1200</v>
      </c>
      <c r="G115" s="3"/>
    </row>
    <row r="116" spans="2:7" x14ac:dyDescent="0.2">
      <c r="B116" s="3"/>
      <c r="C116" s="590" t="s">
        <v>454</v>
      </c>
      <c r="D116" s="594">
        <v>2</v>
      </c>
      <c r="E116" s="628">
        <f>900</f>
        <v>900</v>
      </c>
      <c r="G116" s="3"/>
    </row>
    <row r="117" spans="2:7" x14ac:dyDescent="0.2">
      <c r="B117" s="3"/>
      <c r="C117" s="593" t="s">
        <v>453</v>
      </c>
      <c r="D117" s="597">
        <v>4</v>
      </c>
      <c r="E117" s="597">
        <f>1000</f>
        <v>1000</v>
      </c>
      <c r="G117" s="3"/>
    </row>
    <row r="118" spans="2:7" ht="13.5" thickBot="1" x14ac:dyDescent="0.25">
      <c r="B118" s="3"/>
      <c r="C118" s="7"/>
      <c r="D118" s="7"/>
      <c r="E118" s="7"/>
      <c r="F118" s="7"/>
      <c r="G118" s="3"/>
    </row>
    <row r="119" spans="2:7" ht="13.5" thickBot="1" x14ac:dyDescent="0.25">
      <c r="B119" s="3"/>
      <c r="C119" s="639" t="s">
        <v>154</v>
      </c>
      <c r="D119" s="640"/>
      <c r="E119" s="641"/>
      <c r="F119" s="7"/>
      <c r="G119" s="3"/>
    </row>
    <row r="120" spans="2:7" x14ac:dyDescent="0.2">
      <c r="B120" s="3"/>
      <c r="C120" s="83" t="s">
        <v>156</v>
      </c>
      <c r="D120" s="83" t="s">
        <v>153</v>
      </c>
      <c r="E120" s="83" t="s">
        <v>293</v>
      </c>
      <c r="G120" s="3"/>
    </row>
    <row r="121" spans="2:7" x14ac:dyDescent="0.2">
      <c r="B121" s="3"/>
      <c r="C121" s="588" t="s">
        <v>432</v>
      </c>
      <c r="D121" s="589">
        <v>3</v>
      </c>
      <c r="E121" s="589">
        <f>880</f>
        <v>880</v>
      </c>
      <c r="G121" s="3"/>
    </row>
    <row r="122" spans="2:7" x14ac:dyDescent="0.2">
      <c r="B122" s="3"/>
      <c r="C122" s="590" t="s">
        <v>433</v>
      </c>
      <c r="D122" s="591">
        <v>1</v>
      </c>
      <c r="E122" s="591">
        <f>1100</f>
        <v>1100</v>
      </c>
      <c r="G122" s="3"/>
    </row>
    <row r="123" spans="2:7" x14ac:dyDescent="0.2">
      <c r="B123" s="3"/>
      <c r="C123" s="590"/>
      <c r="D123" s="591"/>
      <c r="E123" s="592"/>
      <c r="G123" s="3"/>
    </row>
    <row r="124" spans="2:7" x14ac:dyDescent="0.2">
      <c r="B124" s="3"/>
      <c r="C124" s="593"/>
      <c r="D124" s="594"/>
      <c r="E124" s="595"/>
      <c r="G124" s="3"/>
    </row>
    <row r="125" spans="2:7" x14ac:dyDescent="0.2">
      <c r="B125" s="3"/>
      <c r="C125" s="596"/>
      <c r="D125" s="597"/>
      <c r="E125" s="598"/>
      <c r="G125" s="3"/>
    </row>
    <row r="126" spans="2:7" ht="13.5" thickBot="1" x14ac:dyDescent="0.25">
      <c r="B126" s="3"/>
      <c r="C126" s="7"/>
      <c r="D126" s="7"/>
      <c r="E126" s="7"/>
      <c r="F126" s="7"/>
      <c r="G126" s="3"/>
    </row>
    <row r="127" spans="2:7" ht="13.5" thickBot="1" x14ac:dyDescent="0.25">
      <c r="B127" s="3"/>
      <c r="C127" s="639" t="s">
        <v>155</v>
      </c>
      <c r="D127" s="640"/>
      <c r="E127" s="641"/>
      <c r="F127" s="7"/>
      <c r="G127" s="3"/>
    </row>
    <row r="128" spans="2:7" x14ac:dyDescent="0.2">
      <c r="B128" s="3"/>
      <c r="C128" s="83" t="s">
        <v>156</v>
      </c>
      <c r="D128" s="83" t="s">
        <v>153</v>
      </c>
      <c r="E128" s="83" t="s">
        <v>294</v>
      </c>
      <c r="G128" s="3"/>
    </row>
    <row r="129" spans="2:7" x14ac:dyDescent="0.2">
      <c r="B129" s="3"/>
      <c r="C129" s="588" t="s">
        <v>434</v>
      </c>
      <c r="D129" s="589">
        <v>1</v>
      </c>
      <c r="E129" s="589">
        <f>1200</f>
        <v>1200</v>
      </c>
      <c r="G129" s="3"/>
    </row>
    <row r="130" spans="2:7" x14ac:dyDescent="0.2">
      <c r="B130" s="3"/>
      <c r="C130" s="590" t="s">
        <v>436</v>
      </c>
      <c r="D130" s="591">
        <v>2</v>
      </c>
      <c r="E130" s="591">
        <f>900</f>
        <v>900</v>
      </c>
      <c r="G130" s="3"/>
    </row>
    <row r="131" spans="2:7" x14ac:dyDescent="0.2">
      <c r="B131" s="3"/>
      <c r="C131" s="590" t="s">
        <v>438</v>
      </c>
      <c r="D131" s="591">
        <v>9</v>
      </c>
      <c r="E131" s="591">
        <f>900</f>
        <v>900</v>
      </c>
      <c r="G131" s="3"/>
    </row>
    <row r="132" spans="2:7" x14ac:dyDescent="0.2">
      <c r="B132" s="3"/>
      <c r="C132" s="593" t="s">
        <v>439</v>
      </c>
      <c r="D132" s="594">
        <v>5</v>
      </c>
      <c r="E132" s="628">
        <f>1100</f>
        <v>1100</v>
      </c>
      <c r="G132" s="3"/>
    </row>
    <row r="133" spans="2:7" x14ac:dyDescent="0.2">
      <c r="B133" s="3"/>
      <c r="C133" s="596" t="s">
        <v>440</v>
      </c>
      <c r="D133" s="597">
        <v>2</v>
      </c>
      <c r="E133" s="597">
        <f>1300</f>
        <v>1300</v>
      </c>
      <c r="G133" s="3"/>
    </row>
    <row r="134" spans="2:7" x14ac:dyDescent="0.2">
      <c r="B134" s="3"/>
      <c r="C134" s="7"/>
      <c r="D134" s="7"/>
      <c r="E134" s="7"/>
      <c r="F134" s="7"/>
      <c r="G134" s="3"/>
    </row>
    <row r="135" spans="2:7" x14ac:dyDescent="0.2">
      <c r="B135" s="3"/>
      <c r="C135" s="7"/>
      <c r="D135" s="7"/>
      <c r="E135" s="7"/>
      <c r="F135" s="7"/>
      <c r="G135" s="3"/>
    </row>
    <row r="136" spans="2:7" x14ac:dyDescent="0.2">
      <c r="B136" s="3"/>
      <c r="C136" s="7"/>
      <c r="D136" s="7"/>
      <c r="E136" s="7"/>
      <c r="F136" s="7"/>
      <c r="G136" s="3"/>
    </row>
    <row r="137" spans="2:7" x14ac:dyDescent="0.2">
      <c r="B137" s="3"/>
      <c r="C137" s="7"/>
      <c r="D137" s="7"/>
      <c r="E137" s="7"/>
      <c r="F137" s="7"/>
      <c r="G137" s="3"/>
    </row>
    <row r="138" spans="2:7" x14ac:dyDescent="0.2">
      <c r="B138" s="3"/>
      <c r="C138" s="7"/>
      <c r="D138" s="7"/>
      <c r="E138" s="7"/>
      <c r="F138" s="7"/>
      <c r="G138" s="3"/>
    </row>
    <row r="139" spans="2:7" x14ac:dyDescent="0.2">
      <c r="B139" s="3"/>
      <c r="C139" s="7"/>
      <c r="D139" s="7"/>
      <c r="E139" s="7"/>
      <c r="F139" s="7"/>
      <c r="G139" s="3"/>
    </row>
    <row r="140" spans="2:7" x14ac:dyDescent="0.2">
      <c r="B140" s="3"/>
      <c r="C140" s="7"/>
      <c r="D140" s="7"/>
      <c r="E140" s="7"/>
      <c r="F140" s="7"/>
      <c r="G140" s="3"/>
    </row>
    <row r="141" spans="2:7" ht="21" thickBot="1" x14ac:dyDescent="0.35">
      <c r="B141" s="3"/>
      <c r="C141" s="642" t="s">
        <v>169</v>
      </c>
      <c r="D141" s="642"/>
      <c r="E141" s="642"/>
      <c r="F141" s="642"/>
      <c r="G141" s="3"/>
    </row>
    <row r="142" spans="2:7" x14ac:dyDescent="0.2">
      <c r="B142" s="3"/>
      <c r="C142" s="7"/>
      <c r="D142" s="7"/>
      <c r="E142" s="7"/>
      <c r="F142" s="7"/>
      <c r="G142" s="3"/>
    </row>
    <row r="143" spans="2:7" ht="13.5" thickBot="1" x14ac:dyDescent="0.25">
      <c r="B143" s="3"/>
      <c r="C143" s="7"/>
      <c r="D143" s="7"/>
      <c r="E143" s="7"/>
      <c r="F143" s="7"/>
      <c r="G143" s="3"/>
    </row>
    <row r="144" spans="2:7" ht="13.5" thickBot="1" x14ac:dyDescent="0.25">
      <c r="B144" s="3"/>
      <c r="C144" s="639" t="s">
        <v>57</v>
      </c>
      <c r="D144" s="640"/>
      <c r="E144" s="641"/>
      <c r="F144" s="7"/>
      <c r="G144" s="3"/>
    </row>
    <row r="145" spans="2:7" x14ac:dyDescent="0.2">
      <c r="B145" s="3"/>
      <c r="C145" s="83" t="s">
        <v>156</v>
      </c>
      <c r="D145" s="83" t="s">
        <v>175</v>
      </c>
      <c r="E145" s="83" t="s">
        <v>295</v>
      </c>
      <c r="G145" s="3"/>
    </row>
    <row r="146" spans="2:7" x14ac:dyDescent="0.2">
      <c r="B146" s="3"/>
      <c r="C146" s="620"/>
      <c r="D146" s="622"/>
      <c r="E146" s="622"/>
      <c r="G146" s="3"/>
    </row>
    <row r="147" spans="2:7" x14ac:dyDescent="0.2">
      <c r="B147" s="3"/>
      <c r="C147" s="620" t="s">
        <v>442</v>
      </c>
      <c r="D147" s="621">
        <v>10</v>
      </c>
      <c r="E147" s="621">
        <v>19700</v>
      </c>
      <c r="G147" s="3"/>
    </row>
    <row r="148" spans="2:7" x14ac:dyDescent="0.2">
      <c r="B148" s="3"/>
      <c r="C148" s="623" t="s">
        <v>443</v>
      </c>
      <c r="D148" s="621">
        <v>3</v>
      </c>
      <c r="E148" s="621">
        <v>24000</v>
      </c>
      <c r="G148" s="3"/>
    </row>
    <row r="149" spans="2:7" x14ac:dyDescent="0.2">
      <c r="B149" s="3"/>
      <c r="C149" s="620" t="s">
        <v>444</v>
      </c>
      <c r="D149" s="624">
        <v>10</v>
      </c>
      <c r="E149" s="631">
        <v>1600</v>
      </c>
      <c r="G149" s="3"/>
    </row>
    <row r="150" spans="2:7" x14ac:dyDescent="0.2">
      <c r="B150" s="3"/>
      <c r="C150" s="600" t="s">
        <v>445</v>
      </c>
      <c r="D150" s="601">
        <v>5</v>
      </c>
      <c r="E150" s="631">
        <v>90000</v>
      </c>
      <c r="G150" s="3"/>
    </row>
    <row r="151" spans="2:7" x14ac:dyDescent="0.2">
      <c r="B151" s="3"/>
      <c r="C151" s="620" t="s">
        <v>441</v>
      </c>
      <c r="D151" s="601">
        <v>10</v>
      </c>
      <c r="E151" s="601">
        <v>164000</v>
      </c>
      <c r="G151" s="3"/>
    </row>
    <row r="152" spans="2:7" x14ac:dyDescent="0.2">
      <c r="B152" s="3"/>
      <c r="C152" s="600"/>
      <c r="D152" s="601"/>
      <c r="E152" s="602"/>
      <c r="G152" s="3"/>
    </row>
    <row r="153" spans="2:7" x14ac:dyDescent="0.2">
      <c r="B153" s="3"/>
      <c r="C153" s="600"/>
      <c r="D153" s="601"/>
      <c r="E153" s="602"/>
      <c r="G153" s="3"/>
    </row>
    <row r="154" spans="2:7" x14ac:dyDescent="0.2">
      <c r="B154" s="3"/>
      <c r="C154" s="600"/>
      <c r="D154" s="601"/>
      <c r="E154" s="602"/>
      <c r="G154" s="3"/>
    </row>
    <row r="155" spans="2:7" x14ac:dyDescent="0.2">
      <c r="B155" s="3"/>
      <c r="C155" s="600"/>
      <c r="D155" s="601"/>
      <c r="E155" s="602"/>
      <c r="G155" s="3"/>
    </row>
    <row r="156" spans="2:7" x14ac:dyDescent="0.2">
      <c r="B156" s="3"/>
      <c r="C156" s="603"/>
      <c r="D156" s="604"/>
      <c r="E156" s="605"/>
      <c r="G156" s="3"/>
    </row>
    <row r="157" spans="2:7" ht="13.5" thickBot="1" x14ac:dyDescent="0.25">
      <c r="B157" s="3"/>
      <c r="C157" s="3"/>
      <c r="D157" s="3"/>
      <c r="E157" s="38" t="s">
        <v>1</v>
      </c>
      <c r="F157" s="3"/>
      <c r="G157" s="3"/>
    </row>
    <row r="158" spans="2:7" ht="13.5" thickBot="1" x14ac:dyDescent="0.25">
      <c r="B158" s="3"/>
      <c r="C158" s="639" t="s">
        <v>58</v>
      </c>
      <c r="D158" s="640"/>
      <c r="E158" s="641"/>
      <c r="F158" s="3"/>
      <c r="G158" s="3"/>
    </row>
    <row r="159" spans="2:7" x14ac:dyDescent="0.2">
      <c r="B159" s="3"/>
      <c r="C159" s="83" t="s">
        <v>156</v>
      </c>
      <c r="D159" s="83" t="s">
        <v>201</v>
      </c>
      <c r="E159" s="83" t="s">
        <v>295</v>
      </c>
      <c r="G159" s="3"/>
    </row>
    <row r="160" spans="2:7" x14ac:dyDescent="0.2">
      <c r="B160" s="3"/>
      <c r="C160" s="620" t="s">
        <v>446</v>
      </c>
      <c r="D160" s="621">
        <v>5</v>
      </c>
      <c r="E160" s="622">
        <v>5000</v>
      </c>
      <c r="G160" s="3"/>
    </row>
    <row r="161" spans="2:7" x14ac:dyDescent="0.2">
      <c r="B161" s="3"/>
      <c r="C161" s="620" t="s">
        <v>447</v>
      </c>
      <c r="D161" s="621">
        <v>5</v>
      </c>
      <c r="E161" s="633">
        <v>3800</v>
      </c>
      <c r="G161" s="3"/>
    </row>
    <row r="162" spans="2:7" x14ac:dyDescent="0.2">
      <c r="B162" s="3"/>
      <c r="C162" s="620" t="s">
        <v>448</v>
      </c>
      <c r="D162" s="621">
        <v>5</v>
      </c>
      <c r="E162" s="622">
        <v>3500</v>
      </c>
      <c r="G162" s="3"/>
    </row>
    <row r="163" spans="2:7" x14ac:dyDescent="0.2">
      <c r="B163" s="3"/>
      <c r="C163" s="620" t="s">
        <v>449</v>
      </c>
      <c r="D163" s="621">
        <v>5</v>
      </c>
      <c r="E163" s="622">
        <v>5500</v>
      </c>
      <c r="G163" s="3"/>
    </row>
    <row r="164" spans="2:7" x14ac:dyDescent="0.2">
      <c r="B164" s="3"/>
      <c r="C164" s="620" t="s">
        <v>450</v>
      </c>
      <c r="D164" s="621">
        <v>5</v>
      </c>
      <c r="E164" s="622">
        <v>2700</v>
      </c>
      <c r="G164" s="3"/>
    </row>
    <row r="165" spans="2:7" x14ac:dyDescent="0.2">
      <c r="B165" s="3"/>
      <c r="C165" s="620" t="s">
        <v>451</v>
      </c>
      <c r="D165" s="621">
        <v>5</v>
      </c>
      <c r="E165" s="622">
        <v>1000</v>
      </c>
      <c r="G165" s="3"/>
    </row>
    <row r="166" spans="2:7" x14ac:dyDescent="0.2">
      <c r="B166" s="3"/>
      <c r="C166" s="600"/>
      <c r="D166" s="601"/>
      <c r="E166" s="602"/>
      <c r="G166" s="3"/>
    </row>
    <row r="167" spans="2:7" x14ac:dyDescent="0.2">
      <c r="B167" s="3"/>
      <c r="C167" s="600"/>
      <c r="D167" s="601"/>
      <c r="E167" s="602"/>
      <c r="G167" s="3"/>
    </row>
    <row r="168" spans="2:7" x14ac:dyDescent="0.2">
      <c r="B168" s="3"/>
      <c r="C168" s="600"/>
      <c r="D168" s="601"/>
      <c r="E168" s="602"/>
      <c r="G168" s="3"/>
    </row>
    <row r="169" spans="2:7" x14ac:dyDescent="0.2">
      <c r="B169" s="3"/>
      <c r="C169" s="15"/>
      <c r="D169" s="601"/>
      <c r="E169" s="602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ht="21" thickBot="1" x14ac:dyDescent="0.35">
      <c r="B172" s="3"/>
      <c r="C172" s="642" t="s">
        <v>166</v>
      </c>
      <c r="D172" s="642"/>
      <c r="E172" s="642"/>
      <c r="F172" s="642"/>
      <c r="G172" s="3"/>
    </row>
    <row r="173" spans="2:7" x14ac:dyDescent="0.2">
      <c r="B173" s="3"/>
      <c r="G173" s="3"/>
    </row>
    <row r="174" spans="2:7" x14ac:dyDescent="0.2">
      <c r="B174" s="3"/>
      <c r="G174" s="3"/>
    </row>
    <row r="175" spans="2:7" x14ac:dyDescent="0.2">
      <c r="B175" s="3"/>
      <c r="G175" s="3"/>
    </row>
    <row r="176" spans="2:7" x14ac:dyDescent="0.2">
      <c r="B176" s="3"/>
      <c r="C176" s="11" t="s">
        <v>210</v>
      </c>
      <c r="D176" s="626">
        <v>2.5000000000000001E-2</v>
      </c>
      <c r="E176" s="11" t="s">
        <v>348</v>
      </c>
      <c r="F176" s="626">
        <v>2.5000000000000001E-2</v>
      </c>
      <c r="G176" s="3"/>
    </row>
    <row r="177" spans="2:7" x14ac:dyDescent="0.2">
      <c r="B177" s="3"/>
      <c r="C177" s="11" t="s">
        <v>347</v>
      </c>
      <c r="D177" s="626">
        <v>2.5000000000000001E-2</v>
      </c>
      <c r="E177" s="11" t="s">
        <v>349</v>
      </c>
      <c r="F177" s="626">
        <v>2.5000000000000001E-2</v>
      </c>
      <c r="G177" s="3"/>
    </row>
    <row r="178" spans="2:7" ht="13.5" thickBot="1" x14ac:dyDescent="0.25">
      <c r="B178" s="3"/>
      <c r="C178" s="35" t="s">
        <v>44</v>
      </c>
      <c r="D178" s="516" t="s">
        <v>296</v>
      </c>
      <c r="E178" s="36" t="s">
        <v>167</v>
      </c>
      <c r="F178" s="516" t="s">
        <v>296</v>
      </c>
      <c r="G178" s="3"/>
    </row>
    <row r="179" spans="2:7" x14ac:dyDescent="0.2">
      <c r="B179" s="3"/>
      <c r="C179" s="88" t="s">
        <v>94</v>
      </c>
      <c r="D179" s="627">
        <v>1000</v>
      </c>
      <c r="E179" s="84" t="s">
        <v>94</v>
      </c>
      <c r="F179" s="608">
        <v>0</v>
      </c>
      <c r="G179" s="3"/>
    </row>
    <row r="180" spans="2:7" x14ac:dyDescent="0.2">
      <c r="B180" s="3"/>
      <c r="C180" s="86" t="s">
        <v>95</v>
      </c>
      <c r="D180" s="627">
        <f>500</f>
        <v>500</v>
      </c>
      <c r="E180" s="85" t="s">
        <v>95</v>
      </c>
      <c r="F180" s="629">
        <f>500</f>
        <v>500</v>
      </c>
      <c r="G180" s="3"/>
    </row>
    <row r="181" spans="2:7" x14ac:dyDescent="0.2">
      <c r="B181" s="3"/>
      <c r="C181" s="86" t="s">
        <v>96</v>
      </c>
      <c r="D181" s="627">
        <f>2750</f>
        <v>2750</v>
      </c>
      <c r="E181" s="85" t="s">
        <v>96</v>
      </c>
      <c r="F181" s="629">
        <f>2750</f>
        <v>2750</v>
      </c>
      <c r="G181" s="3"/>
    </row>
    <row r="182" spans="2:7" x14ac:dyDescent="0.2">
      <c r="B182" s="3"/>
      <c r="C182" s="86" t="s">
        <v>97</v>
      </c>
      <c r="D182" s="627"/>
      <c r="E182" s="85" t="s">
        <v>97</v>
      </c>
      <c r="F182" s="608">
        <v>0</v>
      </c>
      <c r="G182" s="3"/>
    </row>
    <row r="183" spans="2:7" x14ac:dyDescent="0.2">
      <c r="B183" s="3"/>
      <c r="C183" s="86" t="s">
        <v>337</v>
      </c>
      <c r="D183" s="627">
        <f>1350</f>
        <v>1350</v>
      </c>
      <c r="E183" s="85" t="s">
        <v>337</v>
      </c>
      <c r="F183" s="629">
        <f>1350</f>
        <v>1350</v>
      </c>
      <c r="G183" s="3"/>
    </row>
    <row r="184" spans="2:7" x14ac:dyDescent="0.2">
      <c r="B184" s="3"/>
      <c r="C184" s="86" t="s">
        <v>343</v>
      </c>
      <c r="D184" s="606">
        <v>0</v>
      </c>
      <c r="E184" s="85" t="s">
        <v>343</v>
      </c>
      <c r="F184" s="608">
        <v>0</v>
      </c>
      <c r="G184" s="3"/>
    </row>
    <row r="185" spans="2:7" x14ac:dyDescent="0.2">
      <c r="B185" s="3"/>
      <c r="C185" s="86" t="s">
        <v>338</v>
      </c>
      <c r="D185" s="627">
        <v>0</v>
      </c>
      <c r="E185" s="85" t="s">
        <v>338</v>
      </c>
      <c r="F185" s="629"/>
      <c r="G185" s="3"/>
    </row>
    <row r="186" spans="2:7" x14ac:dyDescent="0.2">
      <c r="B186" s="3"/>
      <c r="C186" s="86" t="s">
        <v>339</v>
      </c>
      <c r="D186" s="627">
        <f>375</f>
        <v>375</v>
      </c>
      <c r="E186" s="85" t="s">
        <v>339</v>
      </c>
      <c r="F186" s="629">
        <f>375</f>
        <v>375</v>
      </c>
      <c r="G186" s="3"/>
    </row>
    <row r="187" spans="2:7" x14ac:dyDescent="0.2">
      <c r="B187" s="3"/>
      <c r="C187" s="86" t="s">
        <v>340</v>
      </c>
      <c r="D187" s="606">
        <v>0</v>
      </c>
      <c r="E187" s="86" t="s">
        <v>340</v>
      </c>
      <c r="F187" s="608">
        <v>0</v>
      </c>
      <c r="G187" s="3"/>
    </row>
    <row r="188" spans="2:7" x14ac:dyDescent="0.2">
      <c r="B188" s="3"/>
      <c r="C188" s="86" t="s">
        <v>196</v>
      </c>
      <c r="D188" s="630">
        <v>0</v>
      </c>
      <c r="E188" s="86" t="s">
        <v>196</v>
      </c>
      <c r="F188" s="629">
        <f>500</f>
        <v>500</v>
      </c>
      <c r="G188" s="3"/>
    </row>
    <row r="189" spans="2:7" x14ac:dyDescent="0.2">
      <c r="B189" s="3"/>
      <c r="C189" s="86" t="s">
        <v>341</v>
      </c>
      <c r="D189" s="627">
        <f>350</f>
        <v>350</v>
      </c>
      <c r="E189" s="86" t="s">
        <v>341</v>
      </c>
      <c r="F189" s="608">
        <v>0</v>
      </c>
      <c r="G189" s="3"/>
    </row>
    <row r="190" spans="2:7" x14ac:dyDescent="0.2">
      <c r="B190" s="3"/>
      <c r="C190" s="86" t="s">
        <v>342</v>
      </c>
      <c r="D190" s="627">
        <f>500</f>
        <v>500</v>
      </c>
      <c r="E190" s="86" t="s">
        <v>342</v>
      </c>
      <c r="F190" s="608">
        <v>0</v>
      </c>
      <c r="G190" s="3"/>
    </row>
    <row r="191" spans="2:7" x14ac:dyDescent="0.2">
      <c r="B191" s="3"/>
      <c r="C191" s="86" t="s">
        <v>194</v>
      </c>
      <c r="D191" s="627">
        <f>750</f>
        <v>750</v>
      </c>
      <c r="E191" s="86" t="s">
        <v>194</v>
      </c>
      <c r="F191" s="629">
        <f>750</f>
        <v>750</v>
      </c>
      <c r="G191" s="3"/>
    </row>
    <row r="192" spans="2:7" x14ac:dyDescent="0.2">
      <c r="B192" s="3"/>
      <c r="C192" s="86" t="s">
        <v>195</v>
      </c>
      <c r="D192" s="606">
        <v>0</v>
      </c>
      <c r="E192" s="86" t="s">
        <v>195</v>
      </c>
      <c r="F192" s="629">
        <f>500</f>
        <v>500</v>
      </c>
      <c r="G192" s="3"/>
    </row>
    <row r="193" spans="2:7" x14ac:dyDescent="0.2">
      <c r="B193" s="3"/>
      <c r="C193" s="86" t="s">
        <v>197</v>
      </c>
      <c r="D193" s="607">
        <v>0</v>
      </c>
      <c r="E193" s="86" t="s">
        <v>197</v>
      </c>
      <c r="F193" s="566">
        <v>0</v>
      </c>
      <c r="G193" s="3"/>
    </row>
    <row r="194" spans="2:7" x14ac:dyDescent="0.2">
      <c r="B194" s="3"/>
      <c r="C194" s="86" t="s">
        <v>310</v>
      </c>
      <c r="D194" s="607">
        <v>0</v>
      </c>
      <c r="E194" s="86" t="s">
        <v>310</v>
      </c>
      <c r="F194" s="566">
        <v>0</v>
      </c>
      <c r="G194" s="3"/>
    </row>
    <row r="195" spans="2:7" x14ac:dyDescent="0.2">
      <c r="B195" s="3"/>
      <c r="C195" s="86" t="s">
        <v>42</v>
      </c>
      <c r="D195" s="630">
        <f>250</f>
        <v>250</v>
      </c>
      <c r="E195" s="85" t="s">
        <v>42</v>
      </c>
      <c r="F195" s="629">
        <v>0</v>
      </c>
      <c r="G195" s="3"/>
    </row>
    <row r="196" spans="2:7" ht="13.5" thickBot="1" x14ac:dyDescent="0.25">
      <c r="B196" s="3"/>
      <c r="C196" s="89" t="s">
        <v>54</v>
      </c>
      <c r="D196" s="627">
        <f>1500</f>
        <v>1500</v>
      </c>
      <c r="E196" s="87" t="s">
        <v>54</v>
      </c>
      <c r="F196" s="629">
        <f>1500</f>
        <v>1500</v>
      </c>
      <c r="G196" s="3"/>
    </row>
    <row r="197" spans="2:7" x14ac:dyDescent="0.2">
      <c r="B197" s="3"/>
      <c r="G197" s="3"/>
    </row>
    <row r="198" spans="2:7" ht="13.5" thickBot="1" x14ac:dyDescent="0.25">
      <c r="B198" s="3"/>
      <c r="C198" s="35" t="s">
        <v>168</v>
      </c>
      <c r="D198" s="516" t="s">
        <v>296</v>
      </c>
      <c r="G198" s="3"/>
    </row>
    <row r="199" spans="2:7" x14ac:dyDescent="0.2">
      <c r="B199" s="3"/>
      <c r="C199" s="88" t="s">
        <v>94</v>
      </c>
      <c r="D199" s="629"/>
      <c r="G199" s="3"/>
    </row>
    <row r="200" spans="2:7" x14ac:dyDescent="0.2">
      <c r="B200" s="3"/>
      <c r="C200" s="86" t="s">
        <v>95</v>
      </c>
      <c r="D200" s="608"/>
      <c r="G200" s="3"/>
    </row>
    <row r="201" spans="2:7" x14ac:dyDescent="0.2">
      <c r="B201" s="3"/>
      <c r="C201" s="86" t="s">
        <v>96</v>
      </c>
      <c r="D201" s="608"/>
      <c r="G201" s="3"/>
    </row>
    <row r="202" spans="2:7" x14ac:dyDescent="0.2">
      <c r="B202" s="3"/>
      <c r="C202" s="86" t="s">
        <v>97</v>
      </c>
      <c r="D202" s="608"/>
      <c r="G202" s="3"/>
    </row>
    <row r="203" spans="2:7" x14ac:dyDescent="0.2">
      <c r="B203" s="3"/>
      <c r="C203" s="86" t="s">
        <v>337</v>
      </c>
      <c r="D203" s="608"/>
      <c r="G203" s="3"/>
    </row>
    <row r="204" spans="2:7" x14ac:dyDescent="0.2">
      <c r="C204" s="86" t="s">
        <v>343</v>
      </c>
      <c r="D204" s="608"/>
    </row>
    <row r="205" spans="2:7" x14ac:dyDescent="0.2">
      <c r="C205" s="86" t="s">
        <v>338</v>
      </c>
      <c r="D205" s="629">
        <f>5000</f>
        <v>5000</v>
      </c>
    </row>
    <row r="206" spans="2:7" x14ac:dyDescent="0.2">
      <c r="C206" s="86" t="s">
        <v>339</v>
      </c>
      <c r="D206" s="629">
        <f>2300</f>
        <v>2300</v>
      </c>
    </row>
    <row r="207" spans="2:7" x14ac:dyDescent="0.2">
      <c r="C207" s="86" t="s">
        <v>340</v>
      </c>
      <c r="D207" s="608"/>
    </row>
    <row r="208" spans="2:7" x14ac:dyDescent="0.2">
      <c r="C208" s="86" t="s">
        <v>196</v>
      </c>
      <c r="D208" s="629">
        <f>3000</f>
        <v>3000</v>
      </c>
    </row>
    <row r="209" spans="3:6" x14ac:dyDescent="0.2">
      <c r="C209" s="86" t="s">
        <v>341</v>
      </c>
      <c r="D209" s="608"/>
    </row>
    <row r="210" spans="3:6" x14ac:dyDescent="0.2">
      <c r="C210" s="86" t="s">
        <v>342</v>
      </c>
      <c r="D210" s="608"/>
    </row>
    <row r="211" spans="3:6" x14ac:dyDescent="0.2">
      <c r="C211" s="86" t="s">
        <v>194</v>
      </c>
      <c r="D211" s="608"/>
    </row>
    <row r="212" spans="3:6" x14ac:dyDescent="0.2">
      <c r="C212" s="86" t="s">
        <v>195</v>
      </c>
      <c r="D212" s="608"/>
    </row>
    <row r="213" spans="3:6" x14ac:dyDescent="0.2">
      <c r="C213" s="86" t="s">
        <v>197</v>
      </c>
      <c r="D213" s="566"/>
    </row>
    <row r="214" spans="3:6" x14ac:dyDescent="0.2">
      <c r="C214" s="86" t="s">
        <v>310</v>
      </c>
      <c r="D214" s="566"/>
    </row>
    <row r="215" spans="3:6" x14ac:dyDescent="0.2">
      <c r="C215" s="86" t="s">
        <v>42</v>
      </c>
      <c r="D215" s="625"/>
    </row>
    <row r="216" spans="3:6" ht="13.5" thickBot="1" x14ac:dyDescent="0.25">
      <c r="C216" s="89" t="s">
        <v>54</v>
      </c>
      <c r="D216" s="629">
        <f>1000</f>
        <v>1000</v>
      </c>
    </row>
    <row r="219" spans="3:6" ht="21" thickBot="1" x14ac:dyDescent="0.35">
      <c r="C219" s="642" t="s">
        <v>158</v>
      </c>
      <c r="D219" s="642"/>
      <c r="E219" s="642"/>
      <c r="F219" s="642"/>
    </row>
    <row r="220" spans="3:6" x14ac:dyDescent="0.2">
      <c r="C220" s="3"/>
      <c r="D220" s="3"/>
      <c r="E220" s="3"/>
      <c r="F220" s="3"/>
    </row>
    <row r="221" spans="3:6" ht="13.5" thickBot="1" x14ac:dyDescent="0.25">
      <c r="C221" s="3"/>
      <c r="D221" s="3"/>
      <c r="E221" s="3"/>
      <c r="F221" s="3"/>
    </row>
    <row r="222" spans="3:6" x14ac:dyDescent="0.2">
      <c r="C222" s="652" t="s">
        <v>159</v>
      </c>
      <c r="D222" s="653"/>
      <c r="E222" s="654"/>
    </row>
    <row r="223" spans="3:6" x14ac:dyDescent="0.2">
      <c r="C223" s="11" t="s">
        <v>160</v>
      </c>
      <c r="D223" s="527"/>
      <c r="E223" s="609">
        <v>0.43</v>
      </c>
    </row>
    <row r="224" spans="3:6" x14ac:dyDescent="0.2">
      <c r="C224" s="11" t="s">
        <v>161</v>
      </c>
      <c r="D224" s="527"/>
      <c r="E224" s="609">
        <v>0.03</v>
      </c>
    </row>
    <row r="225" spans="3:6" x14ac:dyDescent="0.2">
      <c r="C225" s="11" t="s">
        <v>299</v>
      </c>
      <c r="D225" s="527"/>
      <c r="E225" s="609">
        <v>0.53</v>
      </c>
    </row>
    <row r="226" spans="3:6" ht="13.5" thickBot="1" x14ac:dyDescent="0.25">
      <c r="C226" s="11" t="s">
        <v>301</v>
      </c>
      <c r="D226" s="527"/>
      <c r="E226" s="609">
        <v>0.255</v>
      </c>
      <c r="F226" s="3"/>
    </row>
    <row r="227" spans="3:6" x14ac:dyDescent="0.2">
      <c r="C227" s="486" t="s">
        <v>311</v>
      </c>
      <c r="D227" s="486"/>
      <c r="E227" s="487"/>
      <c r="F227" s="3"/>
    </row>
    <row r="228" spans="3:6" ht="13.5" thickBot="1" x14ac:dyDescent="0.25">
      <c r="C228" s="488" t="s">
        <v>312</v>
      </c>
      <c r="D228" s="488"/>
      <c r="E228" s="489"/>
      <c r="F228" s="3"/>
    </row>
    <row r="229" spans="3:6" x14ac:dyDescent="0.2">
      <c r="C229" s="610">
        <v>1</v>
      </c>
      <c r="E229" s="3"/>
      <c r="F229" s="3"/>
    </row>
    <row r="230" spans="3:6" x14ac:dyDescent="0.2">
      <c r="C230" s="645" t="s">
        <v>313</v>
      </c>
      <c r="D230" s="646"/>
      <c r="E230" s="483" t="s">
        <v>314</v>
      </c>
      <c r="F230" s="516" t="s">
        <v>1</v>
      </c>
    </row>
    <row r="231" spans="3:6" x14ac:dyDescent="0.2">
      <c r="C231" s="11" t="s">
        <v>162</v>
      </c>
      <c r="D231" s="609">
        <v>0.7</v>
      </c>
      <c r="E231" s="484" t="s">
        <v>162</v>
      </c>
      <c r="F231" s="517">
        <v>351705</v>
      </c>
    </row>
    <row r="232" spans="3:6" x14ac:dyDescent="0.2">
      <c r="C232" s="11" t="s">
        <v>179</v>
      </c>
      <c r="D232" s="609">
        <v>0.3</v>
      </c>
      <c r="E232" s="484" t="s">
        <v>179</v>
      </c>
      <c r="F232" s="517">
        <v>150731</v>
      </c>
    </row>
    <row r="233" spans="3:6" x14ac:dyDescent="0.2">
      <c r="C233" s="11" t="s">
        <v>180</v>
      </c>
      <c r="D233" s="609"/>
      <c r="E233" s="484" t="s">
        <v>180</v>
      </c>
      <c r="F233" s="517"/>
    </row>
    <row r="234" spans="3:6" ht="13.5" thickBot="1" x14ac:dyDescent="0.25">
      <c r="C234" s="11" t="s">
        <v>181</v>
      </c>
      <c r="D234" s="609"/>
      <c r="E234" s="485" t="s">
        <v>181</v>
      </c>
      <c r="F234" s="518"/>
    </row>
    <row r="235" spans="3:6" ht="13.5" thickBot="1" x14ac:dyDescent="0.25">
      <c r="C235" s="647" t="s">
        <v>189</v>
      </c>
      <c r="D235" s="648"/>
      <c r="E235" s="34" t="s">
        <v>315</v>
      </c>
      <c r="F235" s="691">
        <f>+'inversión inicial'!B24-F231-F232-F233-F234</f>
        <v>-0.12645492004230618</v>
      </c>
    </row>
    <row r="236" spans="3:6" x14ac:dyDescent="0.2">
      <c r="C236" s="33" t="s">
        <v>300</v>
      </c>
      <c r="D236" s="30"/>
      <c r="E236" s="611">
        <v>30</v>
      </c>
      <c r="F236" s="3"/>
    </row>
    <row r="237" spans="3:6" x14ac:dyDescent="0.2">
      <c r="C237" s="11" t="s">
        <v>42</v>
      </c>
      <c r="D237" s="16"/>
      <c r="E237" s="609">
        <v>5.0000000000000001E-3</v>
      </c>
      <c r="F237" s="3"/>
    </row>
    <row r="238" spans="3:6" x14ac:dyDescent="0.2">
      <c r="C238" s="11" t="s">
        <v>316</v>
      </c>
      <c r="D238" s="30"/>
      <c r="E238" s="611">
        <v>30</v>
      </c>
      <c r="F238" s="3"/>
    </row>
    <row r="239" spans="3:6" ht="21" thickBot="1" x14ac:dyDescent="0.35">
      <c r="C239" s="642" t="s">
        <v>163</v>
      </c>
      <c r="D239" s="642"/>
      <c r="E239" s="642"/>
      <c r="F239" s="642"/>
    </row>
    <row r="240" spans="3:6" x14ac:dyDescent="0.2">
      <c r="C240" s="3"/>
      <c r="D240" s="3"/>
      <c r="E240" s="3"/>
      <c r="F240" s="3"/>
    </row>
    <row r="241" spans="3:6" ht="13.5" thickBot="1" x14ac:dyDescent="0.25">
      <c r="C241" s="3"/>
      <c r="D241" s="3"/>
      <c r="E241" s="3"/>
      <c r="F241" s="3"/>
    </row>
    <row r="242" spans="3:6" ht="13.5" thickBot="1" x14ac:dyDescent="0.25">
      <c r="C242" s="649" t="s">
        <v>202</v>
      </c>
      <c r="D242" s="650"/>
      <c r="E242" s="650"/>
      <c r="F242" s="651"/>
    </row>
    <row r="244" spans="3:6" x14ac:dyDescent="0.2">
      <c r="C244" s="54" t="s">
        <v>156</v>
      </c>
      <c r="D244" s="54" t="s">
        <v>182</v>
      </c>
      <c r="E244" s="54" t="s">
        <v>164</v>
      </c>
      <c r="F244" s="54" t="s">
        <v>244</v>
      </c>
    </row>
    <row r="245" spans="3:6" x14ac:dyDescent="0.2">
      <c r="C245" s="90" t="s">
        <v>183</v>
      </c>
      <c r="D245" s="612">
        <v>7.0000000000000007E-2</v>
      </c>
      <c r="E245" s="599">
        <v>5</v>
      </c>
      <c r="F245" s="613">
        <v>1</v>
      </c>
    </row>
    <row r="246" spans="3:6" x14ac:dyDescent="0.2">
      <c r="C246" s="91" t="s">
        <v>184</v>
      </c>
      <c r="D246" s="614"/>
      <c r="E246" s="601"/>
      <c r="F246" s="601"/>
    </row>
    <row r="247" spans="3:6" x14ac:dyDescent="0.2">
      <c r="C247" s="92" t="s">
        <v>185</v>
      </c>
      <c r="D247" s="615"/>
      <c r="E247" s="604"/>
      <c r="F247" s="604"/>
    </row>
    <row r="248" spans="3:6" x14ac:dyDescent="0.2">
      <c r="C248" s="3"/>
      <c r="D248" s="3"/>
      <c r="E248" s="3"/>
      <c r="F248" s="3"/>
    </row>
    <row r="249" spans="3:6" x14ac:dyDescent="0.2">
      <c r="C249" s="49" t="s">
        <v>409</v>
      </c>
      <c r="E249" s="3"/>
      <c r="F249" s="3"/>
    </row>
    <row r="250" spans="3:6" x14ac:dyDescent="0.2">
      <c r="C250" s="49" t="s">
        <v>410</v>
      </c>
      <c r="D250" s="3"/>
      <c r="E250" s="3"/>
      <c r="F250" s="3"/>
    </row>
    <row r="251" spans="3:6" x14ac:dyDescent="0.2">
      <c r="C251" s="3"/>
      <c r="D251" s="3"/>
      <c r="E251" s="3"/>
      <c r="F251" s="3"/>
    </row>
    <row r="252" spans="3:6" x14ac:dyDescent="0.2">
      <c r="C252" s="49" t="s">
        <v>317</v>
      </c>
      <c r="D252" s="3"/>
      <c r="E252" s="3"/>
      <c r="F252" s="3"/>
    </row>
    <row r="253" spans="3:6" x14ac:dyDescent="0.2">
      <c r="C253" s="3"/>
      <c r="D253" s="3"/>
      <c r="E253" s="3"/>
      <c r="F253" s="3"/>
    </row>
    <row r="254" spans="3:6" ht="21" thickBot="1" x14ac:dyDescent="0.35">
      <c r="C254" s="642" t="s">
        <v>318</v>
      </c>
      <c r="D254" s="642"/>
      <c r="E254" s="642"/>
      <c r="F254" s="642"/>
    </row>
    <row r="256" spans="3:6" x14ac:dyDescent="0.2">
      <c r="C256" s="645" t="s">
        <v>303</v>
      </c>
      <c r="D256" s="646"/>
    </row>
    <row r="257" spans="3:4" x14ac:dyDescent="0.2">
      <c r="C257" s="11" t="s">
        <v>7</v>
      </c>
      <c r="D257" s="616">
        <v>0.98</v>
      </c>
    </row>
    <row r="258" spans="3:4" x14ac:dyDescent="0.2">
      <c r="C258" s="11" t="s">
        <v>302</v>
      </c>
      <c r="D258" s="616">
        <v>1.02</v>
      </c>
    </row>
    <row r="259" spans="3:4" x14ac:dyDescent="0.2">
      <c r="C259" s="11" t="s">
        <v>344</v>
      </c>
      <c r="D259" s="616">
        <v>1.01</v>
      </c>
    </row>
    <row r="260" spans="3:4" x14ac:dyDescent="0.2">
      <c r="C260" s="11" t="s">
        <v>319</v>
      </c>
      <c r="D260" s="616">
        <v>1.02</v>
      </c>
    </row>
  </sheetData>
  <sheetProtection password="BE8C" sheet="1" objects="1" scenarios="1" formatCells="0"/>
  <protectedRanges>
    <protectedRange password="F88E" sqref="C233:C250" name="Rango7"/>
    <protectedRange password="F88E" sqref="E213:E230" name="Rango6"/>
    <protectedRange password="F88E" sqref="C213:C230" name="Rango5"/>
    <protectedRange password="F88E" sqref="C147:C156" name="Rango4"/>
    <protectedRange password="F88E" sqref="C133:C143" name="Rango3"/>
    <protectedRange password="F88E" sqref="D31:D36" name="Rango1"/>
    <protectedRange password="F88E" sqref="F31:F35" name="Rango2"/>
  </protectedRanges>
  <customSheetViews>
    <customSheetView guid="{4BF10618-D357-11D5-9338-EFF21189730A}" scale="90" showGridLines="0" outlineSymbols="0" showRuler="0">
      <selection activeCell="D6" sqref="D6:F6"/>
      <pageMargins left="0.75" right="0.75" top="1" bottom="1" header="0" footer="0"/>
      <pageSetup orientation="portrait" r:id="rId1"/>
      <headerFooter alignWithMargins="0"/>
    </customSheetView>
  </customSheetViews>
  <mergeCells count="22">
    <mergeCell ref="C95:F95"/>
    <mergeCell ref="C256:D256"/>
    <mergeCell ref="C172:F172"/>
    <mergeCell ref="C254:F254"/>
    <mergeCell ref="C239:F239"/>
    <mergeCell ref="C144:E144"/>
    <mergeCell ref="C119:E119"/>
    <mergeCell ref="C127:E127"/>
    <mergeCell ref="C219:F219"/>
    <mergeCell ref="C141:F141"/>
    <mergeCell ref="C111:E111"/>
    <mergeCell ref="C230:D230"/>
    <mergeCell ref="C235:D235"/>
    <mergeCell ref="C158:E158"/>
    <mergeCell ref="C242:F242"/>
    <mergeCell ref="C222:E222"/>
    <mergeCell ref="C10:F10"/>
    <mergeCell ref="D41:F41"/>
    <mergeCell ref="C67:F67"/>
    <mergeCell ref="C55:F55"/>
    <mergeCell ref="C40:F40"/>
    <mergeCell ref="C43:E43"/>
  </mergeCells>
  <phoneticPr fontId="11" type="noConversion"/>
  <dataValidations disablePrompts="1" count="1">
    <dataValidation type="list" allowBlank="1" showInputMessage="1" showErrorMessage="1" errorTitle="Inversiones" error="Debe escoger de la lista el tipo de unidad de medida para el periodo bien sea Años o Meses" sqref="E51" xr:uid="{00000000-0002-0000-0000-000000000000}">
      <formula1>$IP$7:$IP$8</formula1>
    </dataValidation>
  </dataValidations>
  <printOptions horizontalCentered="1" verticalCentered="1"/>
  <pageMargins left="0.78740157480314965" right="0.78740157480314965" top="0.98425196850393704" bottom="0.98425196850393704" header="0" footer="0"/>
  <pageSetup orientation="landscape" r:id="rId2"/>
  <headerFooter alignWithMargins="0"/>
  <rowBreaks count="1" manualBreakCount="1">
    <brk id="139" max="16383" man="1"/>
  </rowBreaks>
  <cellWatches>
    <cellWatch r="C12"/>
    <cellWatch r="F57"/>
  </cellWatch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Button 2">
              <controlPr locked="0" defaultSize="0" autoFill="0" autoPict="0" macro="[0]!IrPtoCompyVent">
                <anchor moveWithCells="1" sizeWithCells="1">
                  <from>
                    <xdr:col>3</xdr:col>
                    <xdr:colOff>628650</xdr:colOff>
                    <xdr:row>9</xdr:row>
                    <xdr:rowOff>28575</xdr:rowOff>
                  </from>
                  <to>
                    <xdr:col>4</xdr:col>
                    <xdr:colOff>1343025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Button 4">
              <controlPr defaultSize="0" autoFill="0" autoPict="0" macro="[0]!irGastosPersonal">
                <anchor moveWithCells="1" sizeWithCells="1">
                  <from>
                    <xdr:col>4</xdr:col>
                    <xdr:colOff>1438275</xdr:colOff>
                    <xdr:row>9</xdr:row>
                    <xdr:rowOff>28575</xdr:rowOff>
                  </from>
                  <to>
                    <xdr:col>6</xdr:col>
                    <xdr:colOff>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Button 5">
              <controlPr locked="0" defaultSize="0" autoFill="0" autoPict="0" macro="[0]!VolverInicio">
                <anchor moveWithCells="1" sizeWithCells="1">
                  <from>
                    <xdr:col>1</xdr:col>
                    <xdr:colOff>66675</xdr:colOff>
                    <xdr:row>95</xdr:row>
                    <xdr:rowOff>19050</xdr:rowOff>
                  </from>
                  <to>
                    <xdr:col>2</xdr:col>
                    <xdr:colOff>1628775</xdr:colOff>
                    <xdr:row>96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Button 6">
              <controlPr defaultSize="0" autoFill="0" autoPict="0" macro="[0]!VPGastosPersonal">
                <anchor moveWithCells="1" sizeWithCells="1">
                  <from>
                    <xdr:col>4</xdr:col>
                    <xdr:colOff>1590675</xdr:colOff>
                    <xdr:row>95</xdr:row>
                    <xdr:rowOff>38100</xdr:rowOff>
                  </from>
                  <to>
                    <xdr:col>6</xdr:col>
                    <xdr:colOff>0</xdr:colOff>
                    <xdr:row>96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Button 7">
              <controlPr defaultSize="0" autoFill="0" autoPict="0" macro="[0]!irGastosDepre">
                <anchor moveWithCells="1" sizeWithCells="1">
                  <from>
                    <xdr:col>2</xdr:col>
                    <xdr:colOff>142875</xdr:colOff>
                    <xdr:row>11</xdr:row>
                    <xdr:rowOff>47625</xdr:rowOff>
                  </from>
                  <to>
                    <xdr:col>3</xdr:col>
                    <xdr:colOff>476250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Button 8">
              <controlPr locked="0" defaultSize="0" autoFill="0" autoPict="0" macro="[0]!VolverInicio">
                <anchor moveWithCells="1" sizeWithCells="1">
                  <from>
                    <xdr:col>2</xdr:col>
                    <xdr:colOff>0</xdr:colOff>
                    <xdr:row>141</xdr:row>
                    <xdr:rowOff>19050</xdr:rowOff>
                  </from>
                  <to>
                    <xdr:col>2</xdr:col>
                    <xdr:colOff>1647825</xdr:colOff>
                    <xdr:row>142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Button 9">
              <controlPr defaultSize="0" autoFill="0" autoPict="0" macro="[0]!VPGastosDepre">
                <anchor moveWithCells="1" sizeWithCells="1">
                  <from>
                    <xdr:col>4</xdr:col>
                    <xdr:colOff>1581150</xdr:colOff>
                    <xdr:row>141</xdr:row>
                    <xdr:rowOff>19050</xdr:rowOff>
                  </from>
                  <to>
                    <xdr:col>6</xdr:col>
                    <xdr:colOff>9525</xdr:colOff>
                    <xdr:row>142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Button 12">
              <controlPr locked="0" defaultSize="0" autoFill="0" autoPict="0" macro="[0]!VolverInicio">
                <anchor moveWithCells="1" sizeWithCells="1">
                  <from>
                    <xdr:col>2</xdr:col>
                    <xdr:colOff>0</xdr:colOff>
                    <xdr:row>219</xdr:row>
                    <xdr:rowOff>28575</xdr:rowOff>
                  </from>
                  <to>
                    <xdr:col>2</xdr:col>
                    <xdr:colOff>1647825</xdr:colOff>
                    <xdr:row>220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Button 13">
              <controlPr defaultSize="0" autoFill="0" autoPict="0" macro="[0]!VPInversionInicial">
                <anchor moveWithCells="1" sizeWithCells="1">
                  <from>
                    <xdr:col>4</xdr:col>
                    <xdr:colOff>1581150</xdr:colOff>
                    <xdr:row>219</xdr:row>
                    <xdr:rowOff>38100</xdr:rowOff>
                  </from>
                  <to>
                    <xdr:col>6</xdr:col>
                    <xdr:colOff>0</xdr:colOff>
                    <xdr:row>220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Button 14">
              <controlPr defaultSize="0" autoFill="0" autoPict="0" macro="[0]!irInversionInicial">
                <anchor moveWithCells="1" sizeWithCells="1">
                  <from>
                    <xdr:col>4</xdr:col>
                    <xdr:colOff>1428750</xdr:colOff>
                    <xdr:row>11</xdr:row>
                    <xdr:rowOff>66675</xdr:rowOff>
                  </from>
                  <to>
                    <xdr:col>6</xdr:col>
                    <xdr:colOff>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Button 15">
              <controlPr defaultSize="0" autoFill="0" autoPict="0" macro="[0]!irFinanciacion">
                <anchor moveWithCells="1" sizeWithCells="1">
                  <from>
                    <xdr:col>2</xdr:col>
                    <xdr:colOff>142875</xdr:colOff>
                    <xdr:row>13</xdr:row>
                    <xdr:rowOff>85725</xdr:rowOff>
                  </from>
                  <to>
                    <xdr:col>3</xdr:col>
                    <xdr:colOff>476250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Button 16">
              <controlPr locked="0" defaultSize="0" autoFill="0" autoPict="0" macro="[0]!VolverInicio">
                <anchor moveWithCells="1" sizeWithCells="1">
                  <from>
                    <xdr:col>1</xdr:col>
                    <xdr:colOff>76200</xdr:colOff>
                    <xdr:row>239</xdr:row>
                    <xdr:rowOff>38100</xdr:rowOff>
                  </from>
                  <to>
                    <xdr:col>2</xdr:col>
                    <xdr:colOff>1638300</xdr:colOff>
                    <xdr:row>240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Button 17">
              <controlPr defaultSize="0" autoFill="0" autoPict="0" macro="[0]!VPFinanciacion">
                <anchor moveWithCells="1" sizeWithCells="1">
                  <from>
                    <xdr:col>4</xdr:col>
                    <xdr:colOff>1581150</xdr:colOff>
                    <xdr:row>239</xdr:row>
                    <xdr:rowOff>28575</xdr:rowOff>
                  </from>
                  <to>
                    <xdr:col>5</xdr:col>
                    <xdr:colOff>1552575</xdr:colOff>
                    <xdr:row>240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Button 19">
              <controlPr defaultSize="0" autoFill="0" autoPict="0" macro="[0]!Macro1">
                <anchor moveWithCells="1" sizeWithCells="1">
                  <from>
                    <xdr:col>4</xdr:col>
                    <xdr:colOff>1447800</xdr:colOff>
                    <xdr:row>13</xdr:row>
                    <xdr:rowOff>104775</xdr:rowOff>
                  </from>
                  <to>
                    <xdr:col>6</xdr:col>
                    <xdr:colOff>0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Button 20">
              <controlPr defaultSize="0" autoFill="0" autoPict="0" macro="[0]!VPBalance">
                <anchor moveWithCells="1" sizeWithCells="1">
                  <from>
                    <xdr:col>2</xdr:col>
                    <xdr:colOff>152400</xdr:colOff>
                    <xdr:row>15</xdr:row>
                    <xdr:rowOff>133350</xdr:rowOff>
                  </from>
                  <to>
                    <xdr:col>3</xdr:col>
                    <xdr:colOff>485775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Button 22">
              <controlPr defaultSize="0" autoFill="0" autoPict="0" macro="[0]!VPAnalProy">
                <anchor moveWithCells="1" sizeWithCells="1">
                  <from>
                    <xdr:col>4</xdr:col>
                    <xdr:colOff>1466850</xdr:colOff>
                    <xdr:row>15</xdr:row>
                    <xdr:rowOff>142875</xdr:rowOff>
                  </from>
                  <to>
                    <xdr:col>6</xdr:col>
                    <xdr:colOff>0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Button 23">
              <controlPr defaultSize="0" autoFill="0" autoPict="0" macro="[0]!VPSensInve">
                <anchor moveWithCells="1" sizeWithCells="1">
                  <from>
                    <xdr:col>3</xdr:col>
                    <xdr:colOff>590550</xdr:colOff>
                    <xdr:row>18</xdr:row>
                    <xdr:rowOff>38100</xdr:rowOff>
                  </from>
                  <to>
                    <xdr:col>4</xdr:col>
                    <xdr:colOff>1304925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Button 24">
              <controlPr defaultSize="0" autoFill="0" autoPict="0" macro="[0]!VPSensProy">
                <anchor moveWithCells="1" sizeWithCells="1">
                  <from>
                    <xdr:col>4</xdr:col>
                    <xdr:colOff>1457325</xdr:colOff>
                    <xdr:row>18</xdr:row>
                    <xdr:rowOff>9525</xdr:rowOff>
                  </from>
                  <to>
                    <xdr:col>6</xdr:col>
                    <xdr:colOff>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Button 25">
              <controlPr locked="0" defaultSize="0" autoFill="0" autoPict="0" macro="[0]!VolverInicio">
                <anchor moveWithCells="1" sizeWithCells="1">
                  <from>
                    <xdr:col>2</xdr:col>
                    <xdr:colOff>0</xdr:colOff>
                    <xdr:row>172</xdr:row>
                    <xdr:rowOff>28575</xdr:rowOff>
                  </from>
                  <to>
                    <xdr:col>2</xdr:col>
                    <xdr:colOff>1647825</xdr:colOff>
                    <xdr:row>173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Button 26">
              <controlPr defaultSize="0" autoFill="0" autoPict="0" macro="[0]!VPGastosGenerales">
                <anchor moveWithCells="1" sizeWithCells="1">
                  <from>
                    <xdr:col>4</xdr:col>
                    <xdr:colOff>1590675</xdr:colOff>
                    <xdr:row>172</xdr:row>
                    <xdr:rowOff>28575</xdr:rowOff>
                  </from>
                  <to>
                    <xdr:col>6</xdr:col>
                    <xdr:colOff>0</xdr:colOff>
                    <xdr:row>173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Button 27">
              <controlPr defaultSize="0" autoFill="0" autoPict="0" macro="[0]!irGastosGenerales">
                <anchor moveWithCells="1" sizeWithCells="1">
                  <from>
                    <xdr:col>3</xdr:col>
                    <xdr:colOff>619125</xdr:colOff>
                    <xdr:row>11</xdr:row>
                    <xdr:rowOff>95250</xdr:rowOff>
                  </from>
                  <to>
                    <xdr:col>4</xdr:col>
                    <xdr:colOff>1333500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6" name="Button 35">
              <controlPr locked="0" defaultSize="0" autoFill="0" autoPict="0" macro="[0]!VPPtoCompyVent">
                <anchor moveWithCells="1" sizeWithCells="1">
                  <from>
                    <xdr:col>5</xdr:col>
                    <xdr:colOff>19050</xdr:colOff>
                    <xdr:row>55</xdr:row>
                    <xdr:rowOff>38100</xdr:rowOff>
                  </from>
                  <to>
                    <xdr:col>5</xdr:col>
                    <xdr:colOff>1552575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7" name="Button 36">
              <controlPr locked="0" defaultSize="0" autoFill="0" autoPict="0" macro="[0]!VolverInicio">
                <anchor moveWithCells="1" sizeWithCells="1">
                  <from>
                    <xdr:col>2</xdr:col>
                    <xdr:colOff>0</xdr:colOff>
                    <xdr:row>55</xdr:row>
                    <xdr:rowOff>66675</xdr:rowOff>
                  </from>
                  <to>
                    <xdr:col>2</xdr:col>
                    <xdr:colOff>1647825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8" name="Button 39">
              <controlPr locked="0" defaultSize="0" autoFill="0" autoPict="0" macro="[0]!VolverInicio">
                <anchor moveWithCells="1" sizeWithCells="1">
                  <from>
                    <xdr:col>2</xdr:col>
                    <xdr:colOff>76200</xdr:colOff>
                    <xdr:row>91</xdr:row>
                    <xdr:rowOff>28575</xdr:rowOff>
                  </from>
                  <to>
                    <xdr:col>2</xdr:col>
                    <xdr:colOff>1724025</xdr:colOff>
                    <xdr:row>92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9" name="Button 40">
              <controlPr locked="0" defaultSize="0" autoFill="0" autoPict="0" macro="[0]!VPPtoCompyVent">
                <anchor moveWithCells="1" sizeWithCells="1">
                  <from>
                    <xdr:col>5</xdr:col>
                    <xdr:colOff>19050</xdr:colOff>
                    <xdr:row>91</xdr:row>
                    <xdr:rowOff>66675</xdr:rowOff>
                  </from>
                  <to>
                    <xdr:col>5</xdr:col>
                    <xdr:colOff>1552575</xdr:colOff>
                    <xdr:row>92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0" name="Button 77">
              <controlPr defaultSize="0" autoFill="0" autoPict="0" macro="[0]!VPAnalInv">
                <anchor moveWithCells="1" sizeWithCells="1">
                  <from>
                    <xdr:col>3</xdr:col>
                    <xdr:colOff>581025</xdr:colOff>
                    <xdr:row>16</xdr:row>
                    <xdr:rowOff>0</xdr:rowOff>
                  </from>
                  <to>
                    <xdr:col>4</xdr:col>
                    <xdr:colOff>1295400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1" name="Button 78">
              <controlPr defaultSize="0" autoFill="0" autoPict="0" macro="[0]!VPFlujo">
                <anchor moveWithCells="1" sizeWithCells="1">
                  <from>
                    <xdr:col>3</xdr:col>
                    <xdr:colOff>600075</xdr:colOff>
                    <xdr:row>13</xdr:row>
                    <xdr:rowOff>123825</xdr:rowOff>
                  </from>
                  <to>
                    <xdr:col>4</xdr:col>
                    <xdr:colOff>1314450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2" name="Button 89">
              <controlPr locked="0" defaultSize="0" autoFill="0" autoPict="0" macro="[0]!PARAMETROS">
                <anchor moveWithCells="1" sizeWithCells="1">
                  <from>
                    <xdr:col>2</xdr:col>
                    <xdr:colOff>161925</xdr:colOff>
                    <xdr:row>9</xdr:row>
                    <xdr:rowOff>28575</xdr:rowOff>
                  </from>
                  <to>
                    <xdr:col>3</xdr:col>
                    <xdr:colOff>495300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3" name="Button 96">
              <controlPr locked="0" defaultSize="0" autoFill="0" autoPict="0" macro="[0]!VolverInicio">
                <anchor moveWithCells="1" sizeWithCells="1">
                  <from>
                    <xdr:col>2</xdr:col>
                    <xdr:colOff>0</xdr:colOff>
                    <xdr:row>52</xdr:row>
                    <xdr:rowOff>85725</xdr:rowOff>
                  </from>
                  <to>
                    <xdr:col>2</xdr:col>
                    <xdr:colOff>1647825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34" name="Button 118">
              <controlPr defaultSize="0" autoFill="0" autoPict="0">
                <anchor moveWithCells="1" sizeWithCells="1">
                  <from>
                    <xdr:col>2</xdr:col>
                    <xdr:colOff>28575</xdr:colOff>
                    <xdr:row>1</xdr:row>
                    <xdr:rowOff>47625</xdr:rowOff>
                  </from>
                  <to>
                    <xdr:col>6</xdr:col>
                    <xdr:colOff>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5" name="Button 120">
              <controlPr defaultSize="0" autoFill="0" autoPict="0">
                <anchor moveWithCells="1" sizeWithCells="1">
                  <from>
                    <xdr:col>2</xdr:col>
                    <xdr:colOff>57150</xdr:colOff>
                    <xdr:row>27</xdr:row>
                    <xdr:rowOff>0</xdr:rowOff>
                  </from>
                  <to>
                    <xdr:col>6</xdr:col>
                    <xdr:colOff>0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36" name="Button 125">
              <controlPr locked="0" defaultSize="0" autoFill="0" autoPict="0" macro="[0]!INICIO1">
                <anchor moveWithCells="1" sizeWithCells="1">
                  <from>
                    <xdr:col>3</xdr:col>
                    <xdr:colOff>800100</xdr:colOff>
                    <xdr:row>6</xdr:row>
                    <xdr:rowOff>104775</xdr:rowOff>
                  </from>
                  <to>
                    <xdr:col>4</xdr:col>
                    <xdr:colOff>1133475</xdr:colOff>
                    <xdr:row>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37" name="Button 143">
              <controlPr defaultSize="0" autoFill="0" autoPict="0" macro="[0]!INDICADOR">
                <anchor moveWithCells="1" sizeWithCells="1">
                  <from>
                    <xdr:col>2</xdr:col>
                    <xdr:colOff>133350</xdr:colOff>
                    <xdr:row>20</xdr:row>
                    <xdr:rowOff>19050</xdr:rowOff>
                  </from>
                  <to>
                    <xdr:col>3</xdr:col>
                    <xdr:colOff>466725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38" name="Button 144">
              <controlPr defaultSize="0" autoFill="0" autoPict="0" macro="[0]!anailis">
                <anchor moveWithCells="1" sizeWithCells="1">
                  <from>
                    <xdr:col>2</xdr:col>
                    <xdr:colOff>142875</xdr:colOff>
                    <xdr:row>18</xdr:row>
                    <xdr:rowOff>9525</xdr:rowOff>
                  </from>
                  <to>
                    <xdr:col>3</xdr:col>
                    <xdr:colOff>476250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39" name="Button 145">
              <controlPr locked="0" defaultSize="0" autoFill="0" autoPict="0" macro="[0]!VolverInicio">
                <anchor moveWithCells="1" sizeWithCells="1">
                  <from>
                    <xdr:col>2</xdr:col>
                    <xdr:colOff>76200</xdr:colOff>
                    <xdr:row>260</xdr:row>
                    <xdr:rowOff>38100</xdr:rowOff>
                  </from>
                  <to>
                    <xdr:col>2</xdr:col>
                    <xdr:colOff>1724025</xdr:colOff>
                    <xdr:row>261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40" name="Button 149">
              <controlPr locked="0" defaultSize="0" autoFill="0" autoPict="0" macro="[0]!VolverInicio">
                <anchor moveWithCells="1" sizeWithCells="1">
                  <from>
                    <xdr:col>2</xdr:col>
                    <xdr:colOff>9525</xdr:colOff>
                    <xdr:row>37</xdr:row>
                    <xdr:rowOff>142875</xdr:rowOff>
                  </from>
                  <to>
                    <xdr:col>2</xdr:col>
                    <xdr:colOff>1657350</xdr:colOff>
                    <xdr:row>39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R152"/>
  <sheetViews>
    <sheetView showGridLines="0" showOutlineSymbols="0" topLeftCell="A10" workbookViewId="0">
      <selection activeCell="A2" sqref="A2:G44"/>
    </sheetView>
  </sheetViews>
  <sheetFormatPr baseColWidth="10" defaultRowHeight="12.75" x14ac:dyDescent="0.2"/>
  <cols>
    <col min="1" max="1" width="22.5703125" style="1" customWidth="1"/>
    <col min="2" max="17" width="10.7109375" style="1" customWidth="1"/>
    <col min="18" max="16384" width="11.42578125" style="1"/>
  </cols>
  <sheetData>
    <row r="1" spans="1:18" ht="18" x14ac:dyDescent="0.25">
      <c r="A1" s="662" t="str">
        <f>'Estado de Resultado '!A1:F1</f>
        <v>PREFACTIBILIDAD PARA LA CREACIÓN DE UN PRODUCTO; PARA LA FABRICACION DE BLOQUE CON COMPONENTE DE MATERIAL PET</v>
      </c>
      <c r="B1" s="662"/>
      <c r="C1" s="662"/>
      <c r="D1" s="662"/>
      <c r="E1" s="662"/>
      <c r="F1" s="662"/>
      <c r="G1" s="662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153"/>
    </row>
    <row r="2" spans="1:18" x14ac:dyDescent="0.2">
      <c r="A2" s="666" t="s">
        <v>280</v>
      </c>
      <c r="B2" s="666"/>
      <c r="C2" s="666"/>
      <c r="D2" s="666"/>
      <c r="E2" s="666"/>
      <c r="F2" s="666"/>
      <c r="G2" s="666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153"/>
    </row>
    <row r="3" spans="1:18" x14ac:dyDescent="0.2">
      <c r="A3" s="667" t="str">
        <f>IF(Inicio!$E$51="Años","En Años","En Meses")</f>
        <v>En Años</v>
      </c>
      <c r="B3" s="667"/>
      <c r="C3" s="667"/>
      <c r="D3" s="667"/>
      <c r="E3" s="667"/>
      <c r="F3" s="667"/>
      <c r="G3" s="667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47"/>
    </row>
    <row r="4" spans="1:18" ht="13.5" thickBot="1" x14ac:dyDescent="0.25">
      <c r="A4" s="668" t="s">
        <v>276</v>
      </c>
      <c r="B4" s="668"/>
      <c r="C4" s="668"/>
      <c r="D4" s="668"/>
      <c r="E4" s="668"/>
      <c r="F4" s="668"/>
      <c r="G4" s="668"/>
      <c r="H4" s="221"/>
      <c r="I4" s="221"/>
      <c r="J4" s="221"/>
      <c r="K4" s="221"/>
      <c r="L4" s="221"/>
      <c r="M4" s="221"/>
      <c r="N4" s="222"/>
      <c r="O4" s="222"/>
      <c r="P4" s="222"/>
      <c r="Q4" s="222"/>
      <c r="R4" s="153"/>
    </row>
    <row r="5" spans="1:18" ht="13.5" thickBot="1" x14ac:dyDescent="0.25">
      <c r="A5" s="240" t="s">
        <v>30</v>
      </c>
      <c r="B5" s="249">
        <v>0</v>
      </c>
      <c r="C5" s="292">
        <v>1</v>
      </c>
      <c r="D5" s="249">
        <v>2</v>
      </c>
      <c r="E5" s="292">
        <v>3</v>
      </c>
      <c r="F5" s="249">
        <v>4</v>
      </c>
      <c r="G5" s="292">
        <v>5</v>
      </c>
      <c r="H5" s="249">
        <v>6</v>
      </c>
      <c r="I5" s="292">
        <v>7</v>
      </c>
      <c r="J5" s="249">
        <v>8</v>
      </c>
      <c r="K5" s="292">
        <v>9</v>
      </c>
      <c r="L5" s="249">
        <v>10</v>
      </c>
      <c r="M5" s="292">
        <v>11</v>
      </c>
      <c r="N5" s="249">
        <v>12</v>
      </c>
      <c r="O5" s="292">
        <v>13</v>
      </c>
      <c r="P5" s="249">
        <v>14</v>
      </c>
      <c r="Q5" s="249">
        <v>15</v>
      </c>
      <c r="R5" s="153"/>
    </row>
    <row r="6" spans="1:18" x14ac:dyDescent="0.2">
      <c r="A6" s="227"/>
      <c r="B6" s="350"/>
      <c r="C6" s="350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153"/>
    </row>
    <row r="7" spans="1:18" x14ac:dyDescent="0.2">
      <c r="A7" s="227" t="s">
        <v>29</v>
      </c>
      <c r="B7" s="234"/>
      <c r="C7" s="234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153"/>
    </row>
    <row r="8" spans="1:18" x14ac:dyDescent="0.2">
      <c r="A8" s="242"/>
      <c r="B8" s="234"/>
      <c r="C8" s="234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153"/>
    </row>
    <row r="9" spans="1:18" x14ac:dyDescent="0.2">
      <c r="A9" s="352" t="s">
        <v>16</v>
      </c>
      <c r="B9" s="234"/>
      <c r="C9" s="234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153"/>
    </row>
    <row r="10" spans="1:18" x14ac:dyDescent="0.2">
      <c r="A10" s="242" t="s">
        <v>15</v>
      </c>
      <c r="B10" s="239">
        <f>IF(Inicio!$E$49&gt;=B5,(+flujo!B29),0)</f>
        <v>181635.87354507996</v>
      </c>
      <c r="C10" s="239">
        <f>IF(flujo!C29&gt;0,(IF(Inicio!$E$49&gt;=C5,(+flujo!C29),0)),0)</f>
        <v>334574.15140893962</v>
      </c>
      <c r="D10" s="239">
        <f>IF(flujo!D29&gt;0,(IF(Inicio!$E$49&gt;=D5,(+flujo!D29),0)),0)</f>
        <v>556994.28979538986</v>
      </c>
      <c r="E10" s="239">
        <f>IF(flujo!E29&gt;0,(IF(Inicio!$E$49&gt;=E5,(+flujo!E29),0)),0)</f>
        <v>808500.69004836865</v>
      </c>
      <c r="F10" s="239">
        <f>IF(flujo!F29&gt;0,(IF(Inicio!$E$49&gt;=F5,(+flujo!F29),0)),0)</f>
        <v>1118791.7218290088</v>
      </c>
      <c r="G10" s="239">
        <f>IF(flujo!G29&gt;0,(IF(Inicio!$E$49&gt;=G5,(+flujo!G29),0)),0)</f>
        <v>1507365.9503659243</v>
      </c>
      <c r="H10" s="239">
        <f>IF(flujo!H29&gt;0,(IF(Inicio!$E$49&gt;=H5,(+flujo!H29),0)),0)</f>
        <v>0</v>
      </c>
      <c r="I10" s="239">
        <f>IF(flujo!I29&gt;0,(IF(Inicio!$E$49&gt;=I5,(+flujo!I29),0)),0)</f>
        <v>0</v>
      </c>
      <c r="J10" s="239">
        <f>IF(flujo!J29&gt;0,(IF(Inicio!$E$49&gt;=J5,(+flujo!J29),0)),0)</f>
        <v>0</v>
      </c>
      <c r="K10" s="239">
        <f>IF(flujo!K29&gt;0,(IF(Inicio!$E$49&gt;=K5,(+flujo!K29),0)),0)</f>
        <v>0</v>
      </c>
      <c r="L10" s="239">
        <f>IF(flujo!L29&gt;0,(IF(Inicio!$E$49&gt;=L5,(+flujo!L29),0)),0)</f>
        <v>0</v>
      </c>
      <c r="M10" s="239">
        <f>IF(flujo!M29&gt;0,(IF(Inicio!$E$49&gt;=M5,(+flujo!M29),0)),0)</f>
        <v>0</v>
      </c>
      <c r="N10" s="239">
        <f>IF(flujo!N29&gt;0,(IF(Inicio!$E$49&gt;=N5,(+flujo!N29),0)),0)</f>
        <v>0</v>
      </c>
      <c r="O10" s="239">
        <f>IF(flujo!O29&gt;0,(IF(Inicio!$E$49&gt;=O5,(+flujo!O29),0)),0)</f>
        <v>0</v>
      </c>
      <c r="P10" s="239">
        <f>IF(flujo!P29&gt;0,(IF(Inicio!$E$49&gt;=P5,(+flujo!P29),0)),0)</f>
        <v>0</v>
      </c>
      <c r="Q10" s="239">
        <f>IF(flujo!Q29&gt;0,(IF(Inicio!$E$49&gt;=Q5,(+flujo!Q29),0)),0)</f>
        <v>0</v>
      </c>
      <c r="R10" s="153"/>
    </row>
    <row r="11" spans="1:18" x14ac:dyDescent="0.2">
      <c r="A11" s="242" t="s">
        <v>17</v>
      </c>
      <c r="B11" s="239">
        <f>+'presupuesto compras y ventas'!B65</f>
        <v>0</v>
      </c>
      <c r="C11" s="239">
        <f>+'presupuesto compras y ventas'!B67</f>
        <v>23802.867635555554</v>
      </c>
      <c r="D11" s="313">
        <f>+'presupuesto compras y ventas'!C67</f>
        <v>27100.855320000002</v>
      </c>
      <c r="E11" s="313">
        <f>+'presupuesto compras y ventas'!D67</f>
        <v>29404.428022199994</v>
      </c>
      <c r="F11" s="313">
        <f>+'presupuesto compras y ventas'!E67</f>
        <v>31870.605856319995</v>
      </c>
      <c r="G11" s="313">
        <f>+'presupuesto compras y ventas'!F67</f>
        <v>34858.475155349995</v>
      </c>
      <c r="H11" s="313">
        <f>+'presupuesto compras y ventas'!G67</f>
        <v>0</v>
      </c>
      <c r="I11" s="313">
        <f>+'presupuesto compras y ventas'!H67</f>
        <v>0</v>
      </c>
      <c r="J11" s="313">
        <f>+'presupuesto compras y ventas'!I67</f>
        <v>0</v>
      </c>
      <c r="K11" s="313">
        <f>+'presupuesto compras y ventas'!J67</f>
        <v>0</v>
      </c>
      <c r="L11" s="313">
        <f>+'presupuesto compras y ventas'!K67</f>
        <v>0</v>
      </c>
      <c r="M11" s="313">
        <f>+'presupuesto compras y ventas'!L67</f>
        <v>0</v>
      </c>
      <c r="N11" s="313">
        <f>+'presupuesto compras y ventas'!M67</f>
        <v>0</v>
      </c>
      <c r="O11" s="313">
        <f>+'presupuesto compras y ventas'!N67</f>
        <v>0</v>
      </c>
      <c r="P11" s="313">
        <f>+'presupuesto compras y ventas'!O67</f>
        <v>0</v>
      </c>
      <c r="Q11" s="313">
        <f>+'presupuesto compras y ventas'!P67</f>
        <v>0</v>
      </c>
      <c r="R11" s="153"/>
    </row>
    <row r="12" spans="1:18" ht="13.5" thickBot="1" x14ac:dyDescent="0.25">
      <c r="A12" s="242" t="s">
        <v>199</v>
      </c>
      <c r="B12" s="239"/>
      <c r="C12" s="239">
        <f>IF(Inicio!$E$49&gt;=C5,(IF(Inicio!$E$51="AÑOS",(+'presupuesto compras y ventas'!B46),IF(Inicio!$D$58&lt;=30,('presupuesto compras y ventas'!B41+B12-flujo!C8),(+B12+'presupuesto compras y ventas'!C41-flujo!C8)))),0)</f>
        <v>0</v>
      </c>
      <c r="D12" s="239">
        <f>IF(Inicio!$E$49&gt;=D5,(IF(Inicio!$E$51="AÑOS",(+'presupuesto compras y ventas'!C46),IF(Inicio!$D$58&lt;=30,('presupuesto compras y ventas'!C41+C12-flujo!D8),(+C12+'presupuesto compras y ventas'!D41-flujo!D8)))),0)</f>
        <v>0</v>
      </c>
      <c r="E12" s="239">
        <f>IF(Inicio!$E$49&gt;=E5,(IF(Inicio!$E$51="AÑOS",(+'presupuesto compras y ventas'!D46),IF(Inicio!$D$58&lt;=30,('presupuesto compras y ventas'!D41+D12-flujo!E8),(+D12+'presupuesto compras y ventas'!E41-flujo!E8)))),0)</f>
        <v>0</v>
      </c>
      <c r="F12" s="239">
        <f>IF(Inicio!$E$49&gt;=F5,(IF(Inicio!$E$51="AÑOS",(+'presupuesto compras y ventas'!E46),IF(Inicio!$D$58&lt;=30,('presupuesto compras y ventas'!E41+E12-flujo!F8),(+E12+'presupuesto compras y ventas'!F41-flujo!F8)))),0)</f>
        <v>0</v>
      </c>
      <c r="G12" s="239">
        <f>IF(Inicio!$E$49&gt;=G5,(IF(Inicio!$E$51="AÑOS",(+'presupuesto compras y ventas'!F46),IF(Inicio!$D$58&lt;=30,('presupuesto compras y ventas'!F41+F12-flujo!G8),(+F12+'presupuesto compras y ventas'!G41-flujo!G8)))),0)</f>
        <v>0</v>
      </c>
      <c r="H12" s="239">
        <f>IF(Inicio!$E$49&gt;=H5,(IF(Inicio!$E$51="AÑOS",(+'presupuesto compras y ventas'!G46),IF(Inicio!$D$58&lt;=30,('presupuesto compras y ventas'!G41+G12-flujo!H8),(+G12+'presupuesto compras y ventas'!H41-flujo!H8)))),0)</f>
        <v>0</v>
      </c>
      <c r="I12" s="239">
        <f>IF(Inicio!$E$49&gt;=I5,(IF(Inicio!$E$51="AÑOS",(+'presupuesto compras y ventas'!H46),IF(Inicio!$D$58&lt;=30,('presupuesto compras y ventas'!H41+H12-flujo!I8),(+H12+'presupuesto compras y ventas'!I41-flujo!I8)))),0)</f>
        <v>0</v>
      </c>
      <c r="J12" s="239">
        <f>IF(Inicio!$E$49&gt;=J5,(IF(Inicio!$E$51="AÑOS",(+'presupuesto compras y ventas'!I46),IF(Inicio!$D$58&lt;=30,('presupuesto compras y ventas'!I41+I12-flujo!J8),(+I12+'presupuesto compras y ventas'!J41-flujo!J8)))),0)</f>
        <v>0</v>
      </c>
      <c r="K12" s="239">
        <f>IF(Inicio!$E$49&gt;=K5,(IF(Inicio!$E$51="AÑOS",(+'presupuesto compras y ventas'!J46),IF(Inicio!$D$58&lt;=30,('presupuesto compras y ventas'!J41+J12-flujo!K8),(+J12+'presupuesto compras y ventas'!K41-flujo!K8)))),0)</f>
        <v>0</v>
      </c>
      <c r="L12" s="239">
        <f>IF(Inicio!$E$49&gt;=L5,(IF(Inicio!$E$51="AÑOS",(+'presupuesto compras y ventas'!K46),IF(Inicio!$D$58&lt;=30,('presupuesto compras y ventas'!K41+K12-flujo!L8),(+K12+'presupuesto compras y ventas'!L41-flujo!L8)))),0)</f>
        <v>0</v>
      </c>
      <c r="M12" s="239">
        <f>IF(Inicio!$E$49&gt;=M5,(IF(Inicio!$E$51="AÑOS",(+'presupuesto compras y ventas'!L46),IF(Inicio!$D$58&lt;=30,('presupuesto compras y ventas'!L41+L12-flujo!M8),(+L12+'presupuesto compras y ventas'!M41-flujo!M8)))),0)</f>
        <v>0</v>
      </c>
      <c r="N12" s="239">
        <f>IF(Inicio!$E$49&gt;=N5,(IF(Inicio!$E$51="AÑOS",(+'presupuesto compras y ventas'!M46),IF(Inicio!$D$58&lt;=30,('presupuesto compras y ventas'!M41+M12-flujo!N8),(+M12+'presupuesto compras y ventas'!N41-flujo!N8)))),0)</f>
        <v>0</v>
      </c>
      <c r="O12" s="239">
        <f>IF(Inicio!$E$49&gt;=O5,(IF(Inicio!$E$51="AÑOS",(+'presupuesto compras y ventas'!N46),IF(Inicio!$D$58&lt;=30,('presupuesto compras y ventas'!N41+N12-flujo!O8),(+N12+'presupuesto compras y ventas'!O41-flujo!O8)))),0)</f>
        <v>0</v>
      </c>
      <c r="P12" s="239">
        <f>IF(Inicio!$E$49&gt;=P5,(IF(Inicio!$E$51="AÑOS",(+'presupuesto compras y ventas'!O46),IF(Inicio!$D$58&lt;=30,('presupuesto compras y ventas'!O41+O12-flujo!P8),(+O12+'presupuesto compras y ventas'!P41-flujo!P8)))),0)</f>
        <v>0</v>
      </c>
      <c r="Q12" s="239">
        <f>IF(Inicio!$E$49&gt;=Q5,(IF(Inicio!$E$51="AÑOS",(+'presupuesto compras y ventas'!P46),IF(Inicio!$D$58&lt;=30,('presupuesto compras y ventas'!P41+P12-flujo!Q8),(+P12+'presupuesto compras y ventas'!Q41-flujo!Q8)))),0)</f>
        <v>0</v>
      </c>
      <c r="R12" s="153"/>
    </row>
    <row r="13" spans="1:18" ht="13.5" thickBot="1" x14ac:dyDescent="0.25">
      <c r="A13" s="353" t="s">
        <v>31</v>
      </c>
      <c r="B13" s="253">
        <f t="shared" ref="B13:Q13" si="0">SUM(B10:B12)</f>
        <v>181635.87354507996</v>
      </c>
      <c r="C13" s="253">
        <f t="shared" si="0"/>
        <v>358377.01904449519</v>
      </c>
      <c r="D13" s="354">
        <f t="shared" si="0"/>
        <v>584095.14511538984</v>
      </c>
      <c r="E13" s="354">
        <f t="shared" si="0"/>
        <v>837905.11807056866</v>
      </c>
      <c r="F13" s="354">
        <f t="shared" si="0"/>
        <v>1150662.3276853287</v>
      </c>
      <c r="G13" s="354">
        <f t="shared" si="0"/>
        <v>1542224.4255212743</v>
      </c>
      <c r="H13" s="354">
        <f t="shared" si="0"/>
        <v>0</v>
      </c>
      <c r="I13" s="354">
        <f t="shared" si="0"/>
        <v>0</v>
      </c>
      <c r="J13" s="354">
        <f t="shared" si="0"/>
        <v>0</v>
      </c>
      <c r="K13" s="354">
        <f t="shared" si="0"/>
        <v>0</v>
      </c>
      <c r="L13" s="354">
        <f t="shared" si="0"/>
        <v>0</v>
      </c>
      <c r="M13" s="354">
        <f t="shared" si="0"/>
        <v>0</v>
      </c>
      <c r="N13" s="354">
        <f t="shared" si="0"/>
        <v>0</v>
      </c>
      <c r="O13" s="354">
        <f t="shared" si="0"/>
        <v>0</v>
      </c>
      <c r="P13" s="354">
        <f t="shared" si="0"/>
        <v>0</v>
      </c>
      <c r="Q13" s="354">
        <f t="shared" si="0"/>
        <v>0</v>
      </c>
      <c r="R13" s="153"/>
    </row>
    <row r="14" spans="1:18" x14ac:dyDescent="0.2">
      <c r="A14" s="242"/>
      <c r="B14" s="234"/>
      <c r="C14" s="234"/>
      <c r="D14" s="232"/>
      <c r="E14" s="235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153"/>
    </row>
    <row r="15" spans="1:18" x14ac:dyDescent="0.2">
      <c r="A15" s="242" t="s">
        <v>241</v>
      </c>
      <c r="B15" s="239">
        <f>+'gastos depreciación'!C19-B11</f>
        <v>299300</v>
      </c>
      <c r="C15" s="239">
        <f>IF(C$5&lt;=Inicio!$E$49,(+B15),0)</f>
        <v>299300</v>
      </c>
      <c r="D15" s="313">
        <f>IF(D$5&lt;=Inicio!$E$49,(+C15),0)</f>
        <v>299300</v>
      </c>
      <c r="E15" s="313">
        <f>IF(E$5&lt;=Inicio!$E$49,(+D15),0)</f>
        <v>299300</v>
      </c>
      <c r="F15" s="313">
        <f>IF(F$5&lt;=Inicio!$E$49,(+E15),0)</f>
        <v>299300</v>
      </c>
      <c r="G15" s="313">
        <f>IF(G$5&lt;=Inicio!$E$49,(+F15),0)</f>
        <v>299300</v>
      </c>
      <c r="H15" s="313">
        <f>IF(H$5&lt;=Inicio!$E$49,(+G15),0)</f>
        <v>0</v>
      </c>
      <c r="I15" s="313">
        <f>IF(I$5&lt;=Inicio!$E$49,(+H15),0)</f>
        <v>0</v>
      </c>
      <c r="J15" s="313">
        <f>IF(J$5&lt;=Inicio!$E$49,(+I15),0)</f>
        <v>0</v>
      </c>
      <c r="K15" s="313">
        <f>IF(K$5&lt;=Inicio!$E$49,(+J15),0)</f>
        <v>0</v>
      </c>
      <c r="L15" s="313">
        <f>IF(L$5&lt;=Inicio!$E$49,(+K15),0)</f>
        <v>0</v>
      </c>
      <c r="M15" s="313">
        <f>IF(M$5&lt;=Inicio!$E$49,(+L15),0)</f>
        <v>0</v>
      </c>
      <c r="N15" s="313">
        <f>IF(N$5&lt;=Inicio!$E$49,(+M15),0)</f>
        <v>0</v>
      </c>
      <c r="O15" s="313">
        <f>IF(O$5&lt;=Inicio!$E$49,(+N15),0)</f>
        <v>0</v>
      </c>
      <c r="P15" s="313">
        <f>IF(P$5&lt;=Inicio!$E$49,(+O15),0)</f>
        <v>0</v>
      </c>
      <c r="Q15" s="313">
        <f>IF(Q$5&lt;=Inicio!$E$49,(+P15),0)</f>
        <v>0</v>
      </c>
      <c r="R15" s="153"/>
    </row>
    <row r="16" spans="1:18" x14ac:dyDescent="0.2">
      <c r="A16" s="242" t="s">
        <v>384</v>
      </c>
      <c r="B16" s="239"/>
      <c r="C16" s="239">
        <f>IF(C$5&lt;=Inicio!$E$49,(+'gastos depreciación'!D19),0)</f>
        <v>44530</v>
      </c>
      <c r="D16" s="313">
        <f>IF(D$5&lt;=Inicio!$E$49,(+'gastos depreciación'!E19+C16),0)</f>
        <v>89060</v>
      </c>
      <c r="E16" s="313">
        <f>IF(E$5&lt;=Inicio!$E$49,(+'gastos depreciación'!F19+D16),0)</f>
        <v>133590</v>
      </c>
      <c r="F16" s="313">
        <f>IF(F$5&lt;=Inicio!$E$49,(+'gastos depreciación'!G19+E16),0)</f>
        <v>170120</v>
      </c>
      <c r="G16" s="313">
        <f>IF(G$5&lt;=Inicio!$E$49,(+'gastos depreciación'!H19+F16),0)</f>
        <v>206650</v>
      </c>
      <c r="H16" s="313">
        <f>IF(H$5&lt;=Inicio!$E$49,(+'gastos depreciación'!I19+G16),0)</f>
        <v>0</v>
      </c>
      <c r="I16" s="313">
        <f>IF(I$5&lt;=Inicio!$E$49,(+'gastos depreciación'!J19+H16),0)</f>
        <v>0</v>
      </c>
      <c r="J16" s="313">
        <f>IF(J$5&lt;=Inicio!$E$49,(+'gastos depreciación'!K19+I16),0)</f>
        <v>0</v>
      </c>
      <c r="K16" s="313">
        <f>IF(K$5&lt;=Inicio!$E$49,(+'gastos depreciación'!L19+J16),0)</f>
        <v>0</v>
      </c>
      <c r="L16" s="313">
        <f>IF(L$5&lt;=Inicio!$E$49,(+'gastos depreciación'!M19+K16),0)</f>
        <v>0</v>
      </c>
      <c r="M16" s="313">
        <f>IF(M$5&lt;=Inicio!$E$49,(+'gastos depreciación'!N19+L16),0)</f>
        <v>0</v>
      </c>
      <c r="N16" s="313">
        <f>IF(N$5&lt;=Inicio!$E$49,(+'gastos depreciación'!O19+M16),0)</f>
        <v>0</v>
      </c>
      <c r="O16" s="313">
        <f>IF(O$5&lt;=Inicio!$E$49,(+'gastos depreciación'!P19+N16),0)</f>
        <v>0</v>
      </c>
      <c r="P16" s="313">
        <f>IF(P$5&lt;=Inicio!$E$49,(+'gastos depreciación'!Q19+O16),0)</f>
        <v>0</v>
      </c>
      <c r="Q16" s="313">
        <f>IF(Q$5&lt;=Inicio!$E$49,(+'gastos depreciación'!R19+P16),0)</f>
        <v>0</v>
      </c>
      <c r="R16" s="153"/>
    </row>
    <row r="17" spans="1:18" x14ac:dyDescent="0.2">
      <c r="A17" s="242"/>
      <c r="B17" s="239"/>
      <c r="C17" s="239"/>
      <c r="D17" s="313"/>
      <c r="E17" s="313"/>
      <c r="F17" s="313" t="s">
        <v>1</v>
      </c>
      <c r="G17" s="313"/>
      <c r="H17" s="313" t="s">
        <v>1</v>
      </c>
      <c r="I17" s="313"/>
      <c r="J17" s="313"/>
      <c r="K17" s="313"/>
      <c r="L17" s="313"/>
      <c r="M17" s="313"/>
      <c r="N17" s="313"/>
      <c r="O17" s="313"/>
      <c r="P17" s="313"/>
      <c r="Q17" s="313"/>
      <c r="R17" s="153"/>
    </row>
    <row r="18" spans="1:18" ht="13.5" thickBot="1" x14ac:dyDescent="0.25">
      <c r="A18" s="242"/>
      <c r="B18" s="234"/>
      <c r="C18" s="234"/>
      <c r="D18" s="260"/>
      <c r="E18" s="235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153"/>
    </row>
    <row r="19" spans="1:18" ht="13.5" thickBot="1" x14ac:dyDescent="0.25">
      <c r="A19" s="353" t="s">
        <v>32</v>
      </c>
      <c r="B19" s="253">
        <f>SUM(B15:B18)</f>
        <v>299300</v>
      </c>
      <c r="C19" s="253">
        <f>+C15-C16</f>
        <v>254770</v>
      </c>
      <c r="D19" s="354">
        <f t="shared" ref="D19:Q19" si="1">+D15-D16</f>
        <v>210240</v>
      </c>
      <c r="E19" s="354">
        <f t="shared" si="1"/>
        <v>165710</v>
      </c>
      <c r="F19" s="354">
        <f t="shared" si="1"/>
        <v>129180</v>
      </c>
      <c r="G19" s="354">
        <f t="shared" si="1"/>
        <v>92650</v>
      </c>
      <c r="H19" s="354">
        <f t="shared" si="1"/>
        <v>0</v>
      </c>
      <c r="I19" s="354">
        <f t="shared" si="1"/>
        <v>0</v>
      </c>
      <c r="J19" s="354">
        <f t="shared" si="1"/>
        <v>0</v>
      </c>
      <c r="K19" s="354">
        <f t="shared" si="1"/>
        <v>0</v>
      </c>
      <c r="L19" s="354">
        <f t="shared" si="1"/>
        <v>0</v>
      </c>
      <c r="M19" s="354">
        <f t="shared" si="1"/>
        <v>0</v>
      </c>
      <c r="N19" s="354">
        <f t="shared" si="1"/>
        <v>0</v>
      </c>
      <c r="O19" s="354">
        <f t="shared" si="1"/>
        <v>0</v>
      </c>
      <c r="P19" s="354">
        <f t="shared" si="1"/>
        <v>0</v>
      </c>
      <c r="Q19" s="354">
        <f t="shared" si="1"/>
        <v>0</v>
      </c>
      <c r="R19" s="153"/>
    </row>
    <row r="20" spans="1:18" x14ac:dyDescent="0.2">
      <c r="A20" s="242"/>
      <c r="B20" s="239"/>
      <c r="C20" s="239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153"/>
    </row>
    <row r="21" spans="1:18" x14ac:dyDescent="0.2">
      <c r="A21" s="242" t="s">
        <v>23</v>
      </c>
      <c r="B21" s="239" t="s">
        <v>1</v>
      </c>
      <c r="C21" s="239" t="s">
        <v>1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153"/>
    </row>
    <row r="22" spans="1:18" x14ac:dyDescent="0.2">
      <c r="A22" s="242" t="s">
        <v>242</v>
      </c>
      <c r="B22" s="239">
        <f>IF(Inicio!$E$49&gt;=B5,(+'gastos depreciación'!C32),0)</f>
        <v>21500</v>
      </c>
      <c r="C22" s="313">
        <f>IF(Inicio!$E$49&gt;=C5,(+B22+'gastos depreciación'!D125-'gastos depreciación'!D32-'gastos depreciación'!D79),0)</f>
        <v>17200</v>
      </c>
      <c r="D22" s="313">
        <f>IF(Inicio!$E$49&gt;=D5,(+C22+'gastos depreciación'!E125-'gastos depreciación'!E32-'gastos depreciación'!E79),0)</f>
        <v>12900</v>
      </c>
      <c r="E22" s="313">
        <f>IF(Inicio!$E$49&gt;=E5,(+D22+'gastos depreciación'!F125-'gastos depreciación'!F32-'gastos depreciación'!F79),0)</f>
        <v>8600</v>
      </c>
      <c r="F22" s="313">
        <f>IF(Inicio!$E$49&gt;=F5,(+E22+'gastos depreciación'!G125-'gastos depreciación'!G32-'gastos depreciación'!G79),0)</f>
        <v>4300</v>
      </c>
      <c r="G22" s="313">
        <f>IF(Inicio!$E$49&gt;=G5,(+F22+'gastos depreciación'!H125-'gastos depreciación'!H32-'gastos depreciación'!H79),0)</f>
        <v>0</v>
      </c>
      <c r="H22" s="313">
        <f>IF(Inicio!$E$49&gt;=H5,(+G22+'gastos depreciación'!I125-'gastos depreciación'!I32-'gastos depreciación'!I79),0)</f>
        <v>0</v>
      </c>
      <c r="I22" s="313">
        <f>IF(Inicio!$E$49&gt;=I5,(+H22+'gastos depreciación'!J125-'gastos depreciación'!J32-'gastos depreciación'!J79),0)</f>
        <v>0</v>
      </c>
      <c r="J22" s="313">
        <f>IF(Inicio!$E$49&gt;=J5,(+I22+'gastos depreciación'!K125-'gastos depreciación'!K32-'gastos depreciación'!K79),0)</f>
        <v>0</v>
      </c>
      <c r="K22" s="313">
        <f>IF(Inicio!$E$49&gt;=K5,(+J22+'gastos depreciación'!L125-'gastos depreciación'!L32-'gastos depreciación'!L79),0)</f>
        <v>0</v>
      </c>
      <c r="L22" s="313">
        <f>IF(Inicio!$E$49&gt;=L5,(+K22+'gastos depreciación'!M125-'gastos depreciación'!M32-'gastos depreciación'!M79),0)</f>
        <v>0</v>
      </c>
      <c r="M22" s="313">
        <f>IF(Inicio!$E$49&gt;=M5,(+L22+'gastos depreciación'!N125-'gastos depreciación'!N32-'gastos depreciación'!N79),0)</f>
        <v>0</v>
      </c>
      <c r="N22" s="313">
        <f>IF(Inicio!$E$49&gt;=N5,(+M22+'gastos depreciación'!O125-'gastos depreciación'!O32-'gastos depreciación'!O79),0)</f>
        <v>0</v>
      </c>
      <c r="O22" s="313">
        <f>IF(Inicio!$E$49&gt;=O5,(+N22+'gastos depreciación'!P125-'gastos depreciación'!P32-'gastos depreciación'!P79),0)</f>
        <v>0</v>
      </c>
      <c r="P22" s="313">
        <f>IF(Inicio!$E$49&gt;=P5,(+O22+'gastos depreciación'!Q125-'gastos depreciación'!Q32-'gastos depreciación'!Q79),0)</f>
        <v>0</v>
      </c>
      <c r="Q22" s="313">
        <f>IF(Inicio!$E$49&gt;=Q5,(+P22+'gastos depreciación'!R125-'gastos depreciación'!R32-'gastos depreciación'!R79),0)</f>
        <v>0</v>
      </c>
      <c r="R22" s="153"/>
    </row>
    <row r="23" spans="1:18" ht="13.5" thickBot="1" x14ac:dyDescent="0.25">
      <c r="A23" s="242" t="s">
        <v>385</v>
      </c>
      <c r="B23" s="239"/>
      <c r="C23" s="239">
        <v>0</v>
      </c>
      <c r="D23" s="313">
        <v>0</v>
      </c>
      <c r="E23" s="313">
        <v>0</v>
      </c>
      <c r="F23" s="313">
        <v>0</v>
      </c>
      <c r="G23" s="313">
        <v>0</v>
      </c>
      <c r="H23" s="313">
        <v>0</v>
      </c>
      <c r="I23" s="313">
        <v>0</v>
      </c>
      <c r="J23" s="313">
        <v>0</v>
      </c>
      <c r="K23" s="313">
        <v>0</v>
      </c>
      <c r="L23" s="313">
        <v>0</v>
      </c>
      <c r="M23" s="313">
        <v>0</v>
      </c>
      <c r="N23" s="313">
        <v>0</v>
      </c>
      <c r="O23" s="313">
        <v>0</v>
      </c>
      <c r="P23" s="313">
        <v>0</v>
      </c>
      <c r="Q23" s="313">
        <v>0</v>
      </c>
      <c r="R23" s="153"/>
    </row>
    <row r="24" spans="1:18" ht="13.5" thickBot="1" x14ac:dyDescent="0.25">
      <c r="A24" s="353" t="s">
        <v>109</v>
      </c>
      <c r="B24" s="253">
        <f>SUM(B22)</f>
        <v>21500</v>
      </c>
      <c r="C24" s="253">
        <f>+C22-C23</f>
        <v>17200</v>
      </c>
      <c r="D24" s="354">
        <f>+D22-D23</f>
        <v>12900</v>
      </c>
      <c r="E24" s="354">
        <f>+E22-E23</f>
        <v>8600</v>
      </c>
      <c r="F24" s="354">
        <f>+F22-F23</f>
        <v>4300</v>
      </c>
      <c r="G24" s="354">
        <f>+G22-G23</f>
        <v>0</v>
      </c>
      <c r="H24" s="354">
        <f t="shared" ref="H24:Q24" si="2">SUM(H22)</f>
        <v>0</v>
      </c>
      <c r="I24" s="354">
        <f t="shared" si="2"/>
        <v>0</v>
      </c>
      <c r="J24" s="354">
        <f t="shared" si="2"/>
        <v>0</v>
      </c>
      <c r="K24" s="354">
        <f t="shared" si="2"/>
        <v>0</v>
      </c>
      <c r="L24" s="354">
        <f t="shared" si="2"/>
        <v>0</v>
      </c>
      <c r="M24" s="354">
        <f t="shared" si="2"/>
        <v>0</v>
      </c>
      <c r="N24" s="354">
        <f t="shared" si="2"/>
        <v>0</v>
      </c>
      <c r="O24" s="354">
        <f t="shared" si="2"/>
        <v>0</v>
      </c>
      <c r="P24" s="354">
        <f t="shared" si="2"/>
        <v>0</v>
      </c>
      <c r="Q24" s="354">
        <f t="shared" si="2"/>
        <v>0</v>
      </c>
      <c r="R24" s="153"/>
    </row>
    <row r="25" spans="1:18" x14ac:dyDescent="0.2">
      <c r="A25" s="242"/>
      <c r="B25" s="239"/>
      <c r="C25" s="239"/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3"/>
      <c r="P25" s="313"/>
      <c r="Q25" s="313"/>
      <c r="R25" s="153"/>
    </row>
    <row r="26" spans="1:18" ht="13.5" thickBot="1" x14ac:dyDescent="0.25">
      <c r="A26" s="242"/>
      <c r="B26" s="239"/>
      <c r="C26" s="239"/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153"/>
    </row>
    <row r="27" spans="1:18" ht="13.5" thickBot="1" x14ac:dyDescent="0.25">
      <c r="A27" s="240" t="s">
        <v>33</v>
      </c>
      <c r="B27" s="241">
        <f t="shared" ref="B27:Q27" si="3">+B13+B19+B24</f>
        <v>502435.87354507996</v>
      </c>
      <c r="C27" s="241">
        <f t="shared" si="3"/>
        <v>630347.01904449519</v>
      </c>
      <c r="D27" s="355">
        <f t="shared" si="3"/>
        <v>807235.14511538984</v>
      </c>
      <c r="E27" s="355">
        <f t="shared" si="3"/>
        <v>1012215.1180705687</v>
      </c>
      <c r="F27" s="355">
        <f t="shared" si="3"/>
        <v>1284142.3276853287</v>
      </c>
      <c r="G27" s="355">
        <f t="shared" si="3"/>
        <v>1634874.4255212743</v>
      </c>
      <c r="H27" s="355">
        <f t="shared" si="3"/>
        <v>0</v>
      </c>
      <c r="I27" s="355">
        <f t="shared" si="3"/>
        <v>0</v>
      </c>
      <c r="J27" s="355">
        <f t="shared" si="3"/>
        <v>0</v>
      </c>
      <c r="K27" s="355">
        <f t="shared" si="3"/>
        <v>0</v>
      </c>
      <c r="L27" s="355">
        <f t="shared" si="3"/>
        <v>0</v>
      </c>
      <c r="M27" s="355">
        <f t="shared" si="3"/>
        <v>0</v>
      </c>
      <c r="N27" s="355">
        <f t="shared" si="3"/>
        <v>0</v>
      </c>
      <c r="O27" s="355">
        <f t="shared" si="3"/>
        <v>0</v>
      </c>
      <c r="P27" s="355">
        <f t="shared" si="3"/>
        <v>0</v>
      </c>
      <c r="Q27" s="355">
        <f t="shared" si="3"/>
        <v>0</v>
      </c>
      <c r="R27" s="153"/>
    </row>
    <row r="28" spans="1:18" x14ac:dyDescent="0.2">
      <c r="A28" s="242"/>
      <c r="B28" s="231"/>
      <c r="C28" s="234"/>
      <c r="D28" s="232"/>
      <c r="E28" s="232"/>
      <c r="F28" s="232"/>
      <c r="G28" s="235"/>
      <c r="H28" s="232"/>
      <c r="I28" s="235"/>
      <c r="J28" s="232"/>
      <c r="K28" s="235"/>
      <c r="L28" s="232"/>
      <c r="M28" s="235"/>
      <c r="N28" s="232"/>
      <c r="O28" s="235"/>
      <c r="P28" s="232"/>
      <c r="Q28" s="232"/>
      <c r="R28" s="153"/>
    </row>
    <row r="29" spans="1:18" x14ac:dyDescent="0.2">
      <c r="A29" s="242"/>
      <c r="B29" s="234"/>
      <c r="C29" s="234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153"/>
    </row>
    <row r="30" spans="1:18" x14ac:dyDescent="0.2">
      <c r="A30" s="227" t="s">
        <v>18</v>
      </c>
      <c r="B30" s="234"/>
      <c r="C30" s="234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153"/>
    </row>
    <row r="31" spans="1:18" x14ac:dyDescent="0.2">
      <c r="A31" s="242" t="s">
        <v>288</v>
      </c>
      <c r="B31" s="234"/>
      <c r="C31" s="239">
        <f>IF(flujo!C29&lt;0,(IF(Inicio!$E$49&gt;=C26,(-flujo!C29),0)),0)</f>
        <v>0</v>
      </c>
      <c r="D31" s="239">
        <f>IF(flujo!D29&lt;0,(IF(Inicio!$E$49&gt;=D26,(-flujo!D29),0)),0)</f>
        <v>0</v>
      </c>
      <c r="E31" s="239">
        <f>IF(flujo!E29&lt;0,(IF(Inicio!$E$49&gt;=E26,(-flujo!E29),0)),0)</f>
        <v>0</v>
      </c>
      <c r="F31" s="239">
        <f>IF(flujo!F29&lt;0,(IF(Inicio!$E$49&gt;=F26,(-flujo!F29),0)),0)</f>
        <v>0</v>
      </c>
      <c r="G31" s="239">
        <f>IF(flujo!G29&lt;0,(IF(Inicio!$E$49&gt;=G26,(-flujo!G29),0)),0)</f>
        <v>0</v>
      </c>
      <c r="H31" s="239">
        <f>IF(flujo!H29&lt;0,(IF(Inicio!$E$49&gt;=H26,(-flujo!H29),0)),0)</f>
        <v>0</v>
      </c>
      <c r="I31" s="239">
        <f>IF(flujo!I29&lt;0,(IF(Inicio!$E$49&gt;=I26,(-flujo!I29),0)),0)</f>
        <v>0</v>
      </c>
      <c r="J31" s="239">
        <f>IF(flujo!J29&lt;0,(IF(Inicio!$E$49&gt;=J26,(-flujo!J29),0)),0)</f>
        <v>0</v>
      </c>
      <c r="K31" s="239">
        <f>IF(flujo!K29&lt;0,(IF(Inicio!$E$49&gt;=K26,(-flujo!K29),0)),0)</f>
        <v>0</v>
      </c>
      <c r="L31" s="239">
        <f>IF(flujo!L29&lt;0,(IF(Inicio!$E$49&gt;=L26,(-flujo!L29),0)),0)</f>
        <v>0</v>
      </c>
      <c r="M31" s="239">
        <f>IF(flujo!M29&lt;0,(IF(Inicio!$E$49&gt;=M26,(-flujo!M29),0)),0)</f>
        <v>0</v>
      </c>
      <c r="N31" s="239">
        <f>IF(flujo!N29&lt;0,(IF(Inicio!$E$49&gt;=N26,(-flujo!N29),0)),0)</f>
        <v>0</v>
      </c>
      <c r="O31" s="239">
        <f>IF(flujo!O29&lt;0,(IF(Inicio!$E$49&gt;=O26,(-flujo!O29),0)),0)</f>
        <v>0</v>
      </c>
      <c r="P31" s="239">
        <f>IF(flujo!P29&lt;0,(IF(Inicio!$E$49&gt;=P26,(-flujo!P29),0)),0)</f>
        <v>0</v>
      </c>
      <c r="Q31" s="239">
        <f>IF(flujo!Q29&lt;0,(IF(Inicio!$E$49&gt;=Q26,(-flujo!Q29),0)),0)</f>
        <v>0</v>
      </c>
      <c r="R31" s="153"/>
    </row>
    <row r="32" spans="1:18" x14ac:dyDescent="0.2">
      <c r="A32" s="242" t="s">
        <v>429</v>
      </c>
      <c r="B32" s="239">
        <f>+'análisis inversionista'!B32</f>
        <v>150730.76206352399</v>
      </c>
      <c r="C32" s="239">
        <f>+financiación!C10+financiación!C21+financiación!C32</f>
        <v>124520.08517462027</v>
      </c>
      <c r="D32" s="313">
        <f>+financiación!D10+financiación!D21+financiación!D32</f>
        <v>96474.660903493292</v>
      </c>
      <c r="E32" s="313">
        <f>+financiación!E10+financiación!E21+financiación!E32</f>
        <v>66466.056933387445</v>
      </c>
      <c r="F32" s="313">
        <f>+financiación!F10+financiación!F21+financiación!F32</f>
        <v>34356.850685374171</v>
      </c>
      <c r="G32" s="313">
        <f>+financiación!G10+financiación!G21+financiación!G32</f>
        <v>0</v>
      </c>
      <c r="H32" s="313">
        <f>+financiación!H10+financiación!H21+financiación!H32</f>
        <v>0</v>
      </c>
      <c r="I32" s="313">
        <f>+financiación!I10+financiación!I21+financiación!I32</f>
        <v>0</v>
      </c>
      <c r="J32" s="313">
        <f>+financiación!J10+financiación!J21+financiación!J32</f>
        <v>0</v>
      </c>
      <c r="K32" s="313">
        <f>+financiación!K10+financiación!K21+financiación!K32</f>
        <v>0</v>
      </c>
      <c r="L32" s="313">
        <f>+financiación!L10+financiación!L21+financiación!L32</f>
        <v>0</v>
      </c>
      <c r="M32" s="313">
        <f>+financiación!M10+financiación!M21+financiación!M32</f>
        <v>0</v>
      </c>
      <c r="N32" s="313">
        <f>+financiación!N10+financiación!N21+financiación!N32</f>
        <v>0</v>
      </c>
      <c r="O32" s="313">
        <f>+financiación!O10+financiación!O21+financiación!O32</f>
        <v>0</v>
      </c>
      <c r="P32" s="313">
        <f>+financiación!P10+financiación!P21+financiación!P32</f>
        <v>0</v>
      </c>
      <c r="Q32" s="313">
        <f>+financiación!Q10+financiación!Q21+financiación!Q32</f>
        <v>0</v>
      </c>
      <c r="R32" s="153"/>
    </row>
    <row r="33" spans="1:18" x14ac:dyDescent="0.2">
      <c r="A33" s="242" t="s">
        <v>21</v>
      </c>
      <c r="B33" s="239"/>
      <c r="C33" s="239">
        <f>+'Estado de Resultado '!B42+'Estado de Resultado '!B21+'Estado de Resultado '!B43</f>
        <v>50218.134801596578</v>
      </c>
      <c r="D33" s="239">
        <f>+'Estado de Resultado '!C42+'Estado de Resultado '!C21+'Estado de Resultado '!C43</f>
        <v>111183.54132876039</v>
      </c>
      <c r="E33" s="239">
        <f>+'Estado de Resultado '!D42+'Estado de Resultado '!D21+'Estado de Resultado '!D43</f>
        <v>150469.50330014742</v>
      </c>
      <c r="F33" s="239">
        <f>+'Estado de Resultado '!E42+'Estado de Resultado '!E21+'Estado de Resultado '!E43</f>
        <v>196400.91256673387</v>
      </c>
      <c r="G33" s="239">
        <f>+'Estado de Resultado '!F42+'Estado de Resultado '!F21+'Estado de Resultado '!F43</f>
        <v>250003.70088404437</v>
      </c>
      <c r="H33" s="239">
        <f>+'Estado de Resultado '!G42+'Estado de Resultado '!G21+'Estado de Resultado '!G43</f>
        <v>0</v>
      </c>
      <c r="I33" s="239">
        <f>+'Estado de Resultado '!H42+'Estado de Resultado '!H21+'Estado de Resultado '!H43</f>
        <v>0</v>
      </c>
      <c r="J33" s="239">
        <f>+'Estado de Resultado '!I42+'Estado de Resultado '!I21+'Estado de Resultado '!I43</f>
        <v>0</v>
      </c>
      <c r="K33" s="239">
        <f>+'Estado de Resultado '!J42+'Estado de Resultado '!J21+'Estado de Resultado '!J43</f>
        <v>0</v>
      </c>
      <c r="L33" s="239">
        <f>+'Estado de Resultado '!K42+'Estado de Resultado '!K21+'Estado de Resultado '!K43</f>
        <v>0</v>
      </c>
      <c r="M33" s="239">
        <f>+'Estado de Resultado '!L42+'Estado de Resultado '!L21+'Estado de Resultado '!L43</f>
        <v>0</v>
      </c>
      <c r="N33" s="239">
        <f>+'Estado de Resultado '!M42+'Estado de Resultado '!M21+'Estado de Resultado '!M43</f>
        <v>0</v>
      </c>
      <c r="O33" s="239">
        <f>+'Estado de Resultado '!N42+'Estado de Resultado '!N21+'Estado de Resultado '!N43</f>
        <v>0</v>
      </c>
      <c r="P33" s="239">
        <f>+'Estado de Resultado '!O42+'Estado de Resultado '!O21+'Estado de Resultado '!O43</f>
        <v>0</v>
      </c>
      <c r="Q33" s="239">
        <f>+'Estado de Resultado '!P42+'Estado de Resultado '!P21+'Estado de Resultado '!P43</f>
        <v>0</v>
      </c>
      <c r="R33" s="153"/>
    </row>
    <row r="34" spans="1:18" ht="13.5" thickBot="1" x14ac:dyDescent="0.25">
      <c r="A34" s="242" t="s">
        <v>212</v>
      </c>
      <c r="B34" s="346"/>
      <c r="C34" s="239">
        <f>IF(Inicio!$E$49&gt;=C5,(IF(Inicio!$E$51="AÑOS",(+'presupuesto compras y ventas'!B80),IF(Inicio!$E$58&lt;=30,('presupuesto compras y ventas'!B77+B34-flujo!C17),(+B34+'presupuesto compras y ventas'!C77-flujo!D17)))),0)</f>
        <v>47998.090232136747</v>
      </c>
      <c r="D34" s="239">
        <f>IF(Inicio!$E$49&gt;=D5,(IF(Inicio!$E$51="AÑOS",(+'presupuesto compras y ventas'!C80),IF(Inicio!$E$58&lt;=30,('presupuesto compras y ventas'!C77+C34-flujo!D17),(+C34+'presupuesto compras y ventas'!D77-flujo!D17)))),0)</f>
        <v>53732.933126324788</v>
      </c>
      <c r="E34" s="239">
        <f>IF(Inicio!$E$49&gt;=E5,(IF(Inicio!$E$51="AÑOS",(+'presupuesto compras y ventas'!D80),IF(Inicio!$E$58&lt;=30,('presupuesto compras y ventas'!D77+D34-flujo!E17),(+D34+'presupuesto compras y ventas'!E77-flujo!E17)))),0)</f>
        <v>58251.203829161524</v>
      </c>
      <c r="F34" s="239">
        <f>IF(Inicio!$E$49&gt;=F5,(IF(Inicio!$E$51="AÑOS",(+'presupuesto compras y ventas'!E80),IF(Inicio!$E$58&lt;=30,('presupuesto compras y ventas'!E77+E34-flujo!F17),(+E34+'presupuesto compras y ventas'!F77-flujo!F17)))),0)</f>
        <v>63135.611830296904</v>
      </c>
      <c r="G34" s="239">
        <f>IF(Inicio!$E$49&gt;=G5,(IF(Inicio!$E$51="AÑOS",(+'presupuesto compras y ventas'!F80),IF(Inicio!$E$58&lt;=30,('presupuesto compras y ventas'!F77+F34-flujo!G17),(+F34+'presupuesto compras y ventas'!G77-flujo!G17)))),0)</f>
        <v>69065.748027578069</v>
      </c>
      <c r="H34" s="239">
        <f>IF(Inicio!$E$49&gt;=H5,(IF(Inicio!$E$51="AÑOS",(+'presupuesto compras y ventas'!G80),IF(Inicio!$E$58&lt;=30,('presupuesto compras y ventas'!G77+G34-flujo!H17),(+G34+'presupuesto compras y ventas'!H77-flujo!H17)))),0)</f>
        <v>0</v>
      </c>
      <c r="I34" s="239">
        <f>IF(Inicio!$E$49&gt;=I5,(IF(Inicio!$E$51="AÑOS",(+'presupuesto compras y ventas'!H80),IF(Inicio!$E$58&lt;=30,('presupuesto compras y ventas'!H77+H34-flujo!I17),(+H34+'presupuesto compras y ventas'!I77-flujo!I17)))),0)</f>
        <v>0</v>
      </c>
      <c r="J34" s="239">
        <f>IF(Inicio!$E$49&gt;=J5,(IF(Inicio!$E$51="AÑOS",(+'presupuesto compras y ventas'!I80),IF(Inicio!$E$58&lt;=30,('presupuesto compras y ventas'!I77+I34-flujo!J17),(+I34+'presupuesto compras y ventas'!J77-flujo!J17)))),0)</f>
        <v>0</v>
      </c>
      <c r="K34" s="239">
        <f>IF(Inicio!$E$49&gt;=K5,(IF(Inicio!$E$51="AÑOS",(+'presupuesto compras y ventas'!J80),IF(Inicio!$E$58&lt;=30,('presupuesto compras y ventas'!J77+J34-flujo!K17),(+J34+'presupuesto compras y ventas'!K77-flujo!K17)))),0)</f>
        <v>0</v>
      </c>
      <c r="L34" s="239">
        <f>IF(Inicio!$E$49&gt;=L5,(IF(Inicio!$E$51="AÑOS",(+'presupuesto compras y ventas'!K80),IF(Inicio!$E$58&lt;=30,('presupuesto compras y ventas'!K77+K34-flujo!L17),(+K34+'presupuesto compras y ventas'!L77-flujo!L17)))),0)</f>
        <v>0</v>
      </c>
      <c r="M34" s="239">
        <f>IF(Inicio!$E$49&gt;=M5,(IF(Inicio!$E$51="AÑOS",(+'presupuesto compras y ventas'!L80),IF(Inicio!$E$58&lt;=30,('presupuesto compras y ventas'!L77+L34-flujo!M17),(+L34+'presupuesto compras y ventas'!M77-flujo!M17)))),0)</f>
        <v>0</v>
      </c>
      <c r="N34" s="239">
        <f>IF(Inicio!$E$49&gt;=N5,(IF(Inicio!$E$51="AÑOS",(+'presupuesto compras y ventas'!M80),IF(Inicio!$E$58&lt;=30,('presupuesto compras y ventas'!M77+M34-flujo!N17),(+M34+'presupuesto compras y ventas'!N77-flujo!N17)))),0)</f>
        <v>0</v>
      </c>
      <c r="O34" s="239">
        <f>IF(Inicio!$E$49&gt;=O5,(IF(Inicio!$E$51="AÑOS",(+'presupuesto compras y ventas'!N80),IF(Inicio!$E$58&lt;=30,('presupuesto compras y ventas'!N77+N34-flujo!O17),(+N34+'presupuesto compras y ventas'!O77-flujo!O17)))),0)</f>
        <v>0</v>
      </c>
      <c r="P34" s="239">
        <f>IF(Inicio!$E$49&gt;=P5,(IF(Inicio!$E$51="AÑOS",(+'presupuesto compras y ventas'!O80),IF(Inicio!$E$58&lt;=30,('presupuesto compras y ventas'!O77+O34-flujo!P17),(+O34+'presupuesto compras y ventas'!P77-flujo!P17)))),0)</f>
        <v>0</v>
      </c>
      <c r="Q34" s="239">
        <f>IF(Inicio!$E$49&gt;=Q5,(IF(Inicio!$E$51="AÑOS",(+'presupuesto compras y ventas'!P80),IF(Inicio!$E$58&lt;=30,('presupuesto compras y ventas'!P77+P34-flujo!Q17),(+P34+'presupuesto compras y ventas'!Q77-flujo!Q17)))),0)</f>
        <v>0</v>
      </c>
      <c r="R34" s="153"/>
    </row>
    <row r="35" spans="1:18" ht="13.5" thickBot="1" x14ac:dyDescent="0.25">
      <c r="A35" s="240" t="s">
        <v>34</v>
      </c>
      <c r="B35" s="241">
        <f>SUM(B32:B34)</f>
        <v>150730.76206352399</v>
      </c>
      <c r="C35" s="244">
        <f>SUM(C31:C34)</f>
        <v>222736.31020835359</v>
      </c>
      <c r="D35" s="241">
        <f t="shared" ref="D35:Q35" si="4">SUM(D31:D34)</f>
        <v>261391.13535857847</v>
      </c>
      <c r="E35" s="244">
        <f t="shared" si="4"/>
        <v>275186.76406269637</v>
      </c>
      <c r="F35" s="241">
        <f t="shared" si="4"/>
        <v>293893.37508240493</v>
      </c>
      <c r="G35" s="244">
        <f t="shared" si="4"/>
        <v>319069.44891162246</v>
      </c>
      <c r="H35" s="241">
        <f t="shared" si="4"/>
        <v>0</v>
      </c>
      <c r="I35" s="244">
        <f t="shared" si="4"/>
        <v>0</v>
      </c>
      <c r="J35" s="241">
        <f t="shared" si="4"/>
        <v>0</v>
      </c>
      <c r="K35" s="244">
        <f t="shared" si="4"/>
        <v>0</v>
      </c>
      <c r="L35" s="241">
        <f t="shared" si="4"/>
        <v>0</v>
      </c>
      <c r="M35" s="244">
        <f t="shared" si="4"/>
        <v>0</v>
      </c>
      <c r="N35" s="241">
        <f t="shared" si="4"/>
        <v>0</v>
      </c>
      <c r="O35" s="244">
        <f t="shared" si="4"/>
        <v>0</v>
      </c>
      <c r="P35" s="241">
        <f t="shared" si="4"/>
        <v>0</v>
      </c>
      <c r="Q35" s="355">
        <f t="shared" si="4"/>
        <v>0</v>
      </c>
      <c r="R35" s="153"/>
    </row>
    <row r="36" spans="1:18" x14ac:dyDescent="0.2">
      <c r="A36" s="242"/>
      <c r="B36" s="239"/>
      <c r="C36" s="256"/>
      <c r="D36" s="231"/>
      <c r="E36" s="256"/>
      <c r="F36" s="231"/>
      <c r="G36" s="256"/>
      <c r="H36" s="234"/>
      <c r="I36" s="256"/>
      <c r="J36" s="234"/>
      <c r="K36" s="256"/>
      <c r="L36" s="234"/>
      <c r="M36" s="256"/>
      <c r="N36" s="234"/>
      <c r="O36" s="256"/>
      <c r="P36" s="234"/>
      <c r="Q36" s="234"/>
      <c r="R36" s="153"/>
    </row>
    <row r="37" spans="1:18" x14ac:dyDescent="0.2">
      <c r="A37" s="227" t="s">
        <v>35</v>
      </c>
      <c r="B37" s="239"/>
      <c r="C37" s="256"/>
      <c r="D37" s="234"/>
      <c r="E37" s="256"/>
      <c r="F37" s="234"/>
      <c r="G37" s="256"/>
      <c r="H37" s="234"/>
      <c r="I37" s="256"/>
      <c r="J37" s="234"/>
      <c r="K37" s="256"/>
      <c r="L37" s="234"/>
      <c r="M37" s="256"/>
      <c r="N37" s="234"/>
      <c r="O37" s="256"/>
      <c r="P37" s="234"/>
      <c r="Q37" s="234"/>
      <c r="R37" s="153"/>
    </row>
    <row r="38" spans="1:18" x14ac:dyDescent="0.2">
      <c r="A38" s="242" t="s">
        <v>19</v>
      </c>
      <c r="B38" s="239">
        <f>IF(Inicio!C229=1,+'inversión inicial'!C28,Inicio!F231)</f>
        <v>351705.11148155597</v>
      </c>
      <c r="C38" s="297">
        <f>-'análisis inversionista'!B40</f>
        <v>351705.11148155597</v>
      </c>
      <c r="D38" s="239">
        <f>IF(D$5&lt;=Inicio!$E$49,+C38,0)</f>
        <v>351705.11148155597</v>
      </c>
      <c r="E38" s="297">
        <f>IF(E$5&lt;=Inicio!$E$49,+D38,0)</f>
        <v>351705.11148155597</v>
      </c>
      <c r="F38" s="239">
        <f>IF(F$5&lt;=Inicio!$E$49,+E38,0)</f>
        <v>351705.11148155597</v>
      </c>
      <c r="G38" s="313">
        <f>IF(G$5&lt;=Inicio!$E$49,+F38,0)</f>
        <v>351705.11148155597</v>
      </c>
      <c r="H38" s="313">
        <f>IF(H$5&lt;=Inicio!$E$49,+G38,0)</f>
        <v>0</v>
      </c>
      <c r="I38" s="313">
        <f>IF(I$5&lt;=Inicio!$E$49,+H38,0)</f>
        <v>0</v>
      </c>
      <c r="J38" s="313">
        <f>IF(J$5&lt;=Inicio!$E$49,+I38,0)</f>
        <v>0</v>
      </c>
      <c r="K38" s="313">
        <f>IF(K$5&lt;=Inicio!$E$49,+J38,0)</f>
        <v>0</v>
      </c>
      <c r="L38" s="313">
        <f>IF(L$5&lt;=Inicio!$E$49,+K38,0)</f>
        <v>0</v>
      </c>
      <c r="M38" s="313">
        <f>IF(M$5&lt;=Inicio!$E$49,+L38,0)</f>
        <v>0</v>
      </c>
      <c r="N38" s="313">
        <f>IF(N$5&lt;=Inicio!$E$49,+M38,0)</f>
        <v>0</v>
      </c>
      <c r="O38" s="313">
        <f>IF(O$5&lt;=Inicio!$E$49,+N38,0)</f>
        <v>0</v>
      </c>
      <c r="P38" s="313">
        <f>IF(P$5&lt;=Inicio!$E$49,+O38,0)</f>
        <v>0</v>
      </c>
      <c r="Q38" s="313">
        <f>IF(Q$5&lt;=Inicio!$E$49,+P38,0)</f>
        <v>0</v>
      </c>
      <c r="R38" s="153"/>
    </row>
    <row r="39" spans="1:18" x14ac:dyDescent="0.2">
      <c r="A39" s="242" t="s">
        <v>20</v>
      </c>
      <c r="B39" s="234"/>
      <c r="C39" s="297">
        <f>+'Estado de Resultado '!B45+'Estado de Resultado '!B46</f>
        <v>5590.5597354585761</v>
      </c>
      <c r="D39" s="239">
        <f>IF(D$5&lt;=Inicio!$E$49,+'Estado de Resultado '!C45+'Estado de Resultado '!C46+C39,0)</f>
        <v>19413.889827525487</v>
      </c>
      <c r="E39" s="239">
        <f>IF(E$5&lt;=Inicio!$E$49,+'Estado de Resultado '!D45+'Estado de Resultado '!D46+D39,0)</f>
        <v>38532.324252631559</v>
      </c>
      <c r="F39" s="239">
        <f>IF(F$5&lt;=Inicio!$E$49,+'Estado de Resultado '!E45+'Estado de Resultado '!E46+E39,0)</f>
        <v>63854.384112136715</v>
      </c>
      <c r="G39" s="239">
        <f>IF(G$5&lt;=Inicio!$E$49,+'Estado de Resultado '!F45+'Estado de Resultado '!F46+F39,0)</f>
        <v>96409.986512809512</v>
      </c>
      <c r="H39" s="239">
        <f>IF(H$5&lt;=Inicio!$E$49,+'Estado de Resultado '!G45+'Estado de Resultado '!G46+G39,0)</f>
        <v>0</v>
      </c>
      <c r="I39" s="239">
        <f>IF(I$5&lt;=Inicio!$E$49,+'Estado de Resultado '!H45+'Estado de Resultado '!H46+H39,0)</f>
        <v>0</v>
      </c>
      <c r="J39" s="239">
        <f>IF(J$5&lt;=Inicio!$E$49,+'Estado de Resultado '!I45+'Estado de Resultado '!I46+I39,0)</f>
        <v>0</v>
      </c>
      <c r="K39" s="239">
        <f>IF(K$5&lt;=Inicio!$E$49,+'Estado de Resultado '!J45+'Estado de Resultado '!J46+J39,0)</f>
        <v>0</v>
      </c>
      <c r="L39" s="239">
        <f>IF(L$5&lt;=Inicio!$E$49,+'Estado de Resultado '!K45+'Estado de Resultado '!K46+K39,0)</f>
        <v>0</v>
      </c>
      <c r="M39" s="239">
        <f>IF(M$5&lt;=Inicio!$E$49,+'Estado de Resultado '!L45+'Estado de Resultado '!L46+L39,0)</f>
        <v>0</v>
      </c>
      <c r="N39" s="239">
        <f>IF(N$5&lt;=Inicio!$E$49,+'Estado de Resultado '!M45+'Estado de Resultado '!M46+M39,0)</f>
        <v>0</v>
      </c>
      <c r="O39" s="239">
        <f>IF(O$5&lt;=Inicio!$E$49,+'Estado de Resultado '!N45+'Estado de Resultado '!N46+N39,0)</f>
        <v>0</v>
      </c>
      <c r="P39" s="239">
        <f>IF(P$5&lt;=Inicio!$E$49,+'Estado de Resultado '!O45+'Estado de Resultado '!O46+O39,0)</f>
        <v>0</v>
      </c>
      <c r="Q39" s="239">
        <f>IF(Q$5&lt;=Inicio!$E$49,+'Estado de Resultado '!P45+'Estado de Resultado '!P46+P39,0)</f>
        <v>0</v>
      </c>
      <c r="R39" s="153"/>
    </row>
    <row r="40" spans="1:18" x14ac:dyDescent="0.2">
      <c r="A40" s="242" t="s">
        <v>24</v>
      </c>
      <c r="B40" s="234"/>
      <c r="C40" s="297">
        <f>+'Estado de Resultado '!B47</f>
        <v>50315.037619127179</v>
      </c>
      <c r="D40" s="239">
        <f>+'Estado de Resultado '!C47</f>
        <v>124409.97082860219</v>
      </c>
      <c r="E40" s="297">
        <f>+'Estado de Resultado '!D47</f>
        <v>172065.90982595462</v>
      </c>
      <c r="F40" s="239">
        <f>+'Estado de Resultado '!E47</f>
        <v>227898.53873554638</v>
      </c>
      <c r="G40" s="297">
        <f>+'Estado de Resultado '!F47</f>
        <v>293000.42160605517</v>
      </c>
      <c r="H40" s="239">
        <f>+'Estado de Resultado '!G47</f>
        <v>0</v>
      </c>
      <c r="I40" s="297">
        <f>+'Estado de Resultado '!H47</f>
        <v>0</v>
      </c>
      <c r="J40" s="239">
        <f>+'Estado de Resultado '!I47</f>
        <v>0</v>
      </c>
      <c r="K40" s="297">
        <f>+'Estado de Resultado '!J47</f>
        <v>0</v>
      </c>
      <c r="L40" s="239">
        <f>+'Estado de Resultado '!K47</f>
        <v>0</v>
      </c>
      <c r="M40" s="297">
        <f>+'Estado de Resultado '!L47</f>
        <v>0</v>
      </c>
      <c r="N40" s="239">
        <f>+'Estado de Resultado '!M47</f>
        <v>0</v>
      </c>
      <c r="O40" s="297">
        <f>+'Estado de Resultado '!N47</f>
        <v>0</v>
      </c>
      <c r="P40" s="239">
        <f>+'Estado de Resultado '!O47</f>
        <v>0</v>
      </c>
      <c r="Q40" s="239">
        <f>+'Estado de Resultado '!P47</f>
        <v>0</v>
      </c>
      <c r="R40" s="153"/>
    </row>
    <row r="41" spans="1:18" ht="13.5" thickBot="1" x14ac:dyDescent="0.25">
      <c r="A41" s="242" t="s">
        <v>110</v>
      </c>
      <c r="B41" s="234"/>
      <c r="C41" s="297">
        <v>0</v>
      </c>
      <c r="D41" s="239">
        <f>IF(D$5&lt;=Inicio!$E$49,+C40,0)</f>
        <v>50315.037619127179</v>
      </c>
      <c r="E41" s="297">
        <f>IF(E$5&lt;=Inicio!$E$49,+D41+D40,0)</f>
        <v>174725.00844772937</v>
      </c>
      <c r="F41" s="239">
        <f>IF(F$5&lt;=Inicio!$E$49,+E41+E40,0)</f>
        <v>346790.91827368399</v>
      </c>
      <c r="G41" s="313">
        <f>IF(G$5&lt;=Inicio!$E$49,+F41+F40,0)</f>
        <v>574689.45700923039</v>
      </c>
      <c r="H41" s="239">
        <f>IF(H$5&lt;=Inicio!$E$49,+G41+G40,0)</f>
        <v>0</v>
      </c>
      <c r="I41" s="239">
        <f>IF(I$5&lt;=Inicio!$E$49,+H41+H40,0)</f>
        <v>0</v>
      </c>
      <c r="J41" s="239">
        <f>IF(J$5&lt;=Inicio!$E$49,+I41+I40,0)</f>
        <v>0</v>
      </c>
      <c r="K41" s="239">
        <f>IF(K$5&lt;=Inicio!$E$49,+J41+J40,0)</f>
        <v>0</v>
      </c>
      <c r="L41" s="239">
        <f>IF(L$5&lt;=Inicio!$E$49,+K41+K40,0)</f>
        <v>0</v>
      </c>
      <c r="M41" s="239">
        <f>IF(M$5&lt;=Inicio!$E$49,+L41+L40,0)</f>
        <v>0</v>
      </c>
      <c r="N41" s="239">
        <f>IF(N$5&lt;=Inicio!$E$49,+M41+M40,0)</f>
        <v>0</v>
      </c>
      <c r="O41" s="239">
        <f>IF(O$5&lt;=Inicio!$E$49,+N41+N40,0)</f>
        <v>0</v>
      </c>
      <c r="P41" s="239">
        <f>IF(P$5&lt;=Inicio!$E$49,+O41+O40,0)</f>
        <v>0</v>
      </c>
      <c r="Q41" s="239">
        <f>IF(Q$5&lt;=Inicio!$E$49,+P41+P40,0)</f>
        <v>0</v>
      </c>
      <c r="R41" s="153"/>
    </row>
    <row r="42" spans="1:18" ht="13.5" thickBot="1" x14ac:dyDescent="0.25">
      <c r="A42" s="240" t="s">
        <v>36</v>
      </c>
      <c r="B42" s="241">
        <f>SUM(B38:B39)</f>
        <v>351705.11148155597</v>
      </c>
      <c r="C42" s="241">
        <f t="shared" ref="C42:Q42" si="5">SUM(C38:C41)</f>
        <v>407610.70883614174</v>
      </c>
      <c r="D42" s="244">
        <f t="shared" si="5"/>
        <v>545844.00975681085</v>
      </c>
      <c r="E42" s="241">
        <f t="shared" si="5"/>
        <v>737028.35400787159</v>
      </c>
      <c r="F42" s="244">
        <f t="shared" si="5"/>
        <v>990248.95260292303</v>
      </c>
      <c r="G42" s="241">
        <f t="shared" si="5"/>
        <v>1315804.976609651</v>
      </c>
      <c r="H42" s="241">
        <f t="shared" si="5"/>
        <v>0</v>
      </c>
      <c r="I42" s="241">
        <f t="shared" si="5"/>
        <v>0</v>
      </c>
      <c r="J42" s="241">
        <f t="shared" si="5"/>
        <v>0</v>
      </c>
      <c r="K42" s="241">
        <f t="shared" si="5"/>
        <v>0</v>
      </c>
      <c r="L42" s="241">
        <f t="shared" si="5"/>
        <v>0</v>
      </c>
      <c r="M42" s="244">
        <f t="shared" si="5"/>
        <v>0</v>
      </c>
      <c r="N42" s="241">
        <f t="shared" si="5"/>
        <v>0</v>
      </c>
      <c r="O42" s="244">
        <f t="shared" si="5"/>
        <v>0</v>
      </c>
      <c r="P42" s="241">
        <f t="shared" si="5"/>
        <v>0</v>
      </c>
      <c r="Q42" s="241">
        <f t="shared" si="5"/>
        <v>0</v>
      </c>
      <c r="R42" s="153"/>
    </row>
    <row r="43" spans="1:18" ht="13.5" thickBot="1" x14ac:dyDescent="0.25">
      <c r="A43" s="242"/>
      <c r="B43" s="234"/>
      <c r="C43" s="256"/>
      <c r="D43" s="234"/>
      <c r="E43" s="256"/>
      <c r="F43" s="234"/>
      <c r="G43" s="256"/>
      <c r="H43" s="234"/>
      <c r="I43" s="256"/>
      <c r="J43" s="234"/>
      <c r="K43" s="256"/>
      <c r="L43" s="234"/>
      <c r="M43" s="256"/>
      <c r="N43" s="234"/>
      <c r="O43" s="256"/>
      <c r="P43" s="234"/>
      <c r="Q43" s="234"/>
      <c r="R43" s="153"/>
    </row>
    <row r="44" spans="1:18" ht="13.5" thickBot="1" x14ac:dyDescent="0.25">
      <c r="A44" s="356" t="s">
        <v>37</v>
      </c>
      <c r="B44" s="241">
        <f t="shared" ref="B44:Q44" si="6">+B35+B42</f>
        <v>502435.87354507996</v>
      </c>
      <c r="C44" s="244">
        <f t="shared" si="6"/>
        <v>630347.0190444953</v>
      </c>
      <c r="D44" s="241">
        <f t="shared" si="6"/>
        <v>807235.14511538926</v>
      </c>
      <c r="E44" s="244">
        <f t="shared" si="6"/>
        <v>1012215.118070568</v>
      </c>
      <c r="F44" s="241">
        <f t="shared" si="6"/>
        <v>1284142.327685328</v>
      </c>
      <c r="G44" s="244">
        <f t="shared" si="6"/>
        <v>1634874.4255212734</v>
      </c>
      <c r="H44" s="241">
        <f t="shared" si="6"/>
        <v>0</v>
      </c>
      <c r="I44" s="244">
        <f t="shared" si="6"/>
        <v>0</v>
      </c>
      <c r="J44" s="241">
        <f t="shared" si="6"/>
        <v>0</v>
      </c>
      <c r="K44" s="244">
        <f t="shared" si="6"/>
        <v>0</v>
      </c>
      <c r="L44" s="241">
        <f t="shared" si="6"/>
        <v>0</v>
      </c>
      <c r="M44" s="244">
        <f t="shared" si="6"/>
        <v>0</v>
      </c>
      <c r="N44" s="241">
        <f t="shared" si="6"/>
        <v>0</v>
      </c>
      <c r="O44" s="244">
        <f t="shared" si="6"/>
        <v>0</v>
      </c>
      <c r="P44" s="241">
        <f t="shared" si="6"/>
        <v>0</v>
      </c>
      <c r="Q44" s="241">
        <f t="shared" si="6"/>
        <v>0</v>
      </c>
      <c r="R44" s="153"/>
    </row>
    <row r="45" spans="1:18" x14ac:dyDescent="0.2">
      <c r="A45" s="230"/>
      <c r="B45" s="230"/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153"/>
    </row>
    <row r="46" spans="1:18" x14ac:dyDescent="0.2">
      <c r="A46" s="357" t="s">
        <v>74</v>
      </c>
      <c r="B46" s="301">
        <f t="shared" ref="B46:Q46" si="7">+B27-B44</f>
        <v>0</v>
      </c>
      <c r="C46" s="301">
        <f t="shared" si="7"/>
        <v>0</v>
      </c>
      <c r="D46" s="301">
        <f t="shared" si="7"/>
        <v>0</v>
      </c>
      <c r="E46" s="301">
        <f t="shared" si="7"/>
        <v>0</v>
      </c>
      <c r="F46" s="301">
        <f t="shared" si="7"/>
        <v>0</v>
      </c>
      <c r="G46" s="301">
        <f t="shared" si="7"/>
        <v>0</v>
      </c>
      <c r="H46" s="301">
        <f t="shared" si="7"/>
        <v>0</v>
      </c>
      <c r="I46" s="301">
        <f t="shared" si="7"/>
        <v>0</v>
      </c>
      <c r="J46" s="301">
        <f t="shared" si="7"/>
        <v>0</v>
      </c>
      <c r="K46" s="301">
        <f t="shared" si="7"/>
        <v>0</v>
      </c>
      <c r="L46" s="301">
        <f t="shared" si="7"/>
        <v>0</v>
      </c>
      <c r="M46" s="301">
        <f t="shared" si="7"/>
        <v>0</v>
      </c>
      <c r="N46" s="301">
        <f t="shared" si="7"/>
        <v>0</v>
      </c>
      <c r="O46" s="301">
        <f t="shared" si="7"/>
        <v>0</v>
      </c>
      <c r="P46" s="301">
        <f t="shared" si="7"/>
        <v>0</v>
      </c>
      <c r="Q46" s="301">
        <f t="shared" si="7"/>
        <v>0</v>
      </c>
      <c r="R46" s="153"/>
    </row>
    <row r="47" spans="1:18" x14ac:dyDescent="0.2">
      <c r="A47" s="230"/>
      <c r="B47" s="230"/>
      <c r="C47" s="230" t="s">
        <v>1</v>
      </c>
      <c r="D47" s="230" t="s">
        <v>1</v>
      </c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153"/>
    </row>
    <row r="48" spans="1:18" x14ac:dyDescent="0.2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</row>
    <row r="49" spans="1:18" x14ac:dyDescent="0.2">
      <c r="A49" s="153"/>
      <c r="B49" s="153"/>
      <c r="C49" s="358" t="s">
        <v>1</v>
      </c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</row>
    <row r="50" spans="1:18" x14ac:dyDescent="0.2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</row>
    <row r="51" spans="1:18" x14ac:dyDescent="0.2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</row>
    <row r="52" spans="1:18" x14ac:dyDescent="0.2">
      <c r="F52"/>
      <c r="G52"/>
      <c r="H52"/>
      <c r="I52"/>
      <c r="J52"/>
      <c r="K52"/>
      <c r="L52"/>
      <c r="M52"/>
      <c r="N52"/>
      <c r="O52"/>
      <c r="P52"/>
    </row>
    <row r="53" spans="1:18" x14ac:dyDescent="0.2">
      <c r="F53"/>
      <c r="G53"/>
      <c r="H53"/>
      <c r="I53"/>
      <c r="J53"/>
      <c r="K53"/>
      <c r="L53"/>
      <c r="M53"/>
      <c r="N53"/>
      <c r="O53"/>
      <c r="P53"/>
    </row>
    <row r="54" spans="1:18" x14ac:dyDescent="0.2">
      <c r="F54"/>
      <c r="G54"/>
      <c r="H54"/>
      <c r="I54"/>
      <c r="J54"/>
      <c r="K54"/>
      <c r="L54"/>
      <c r="M54"/>
      <c r="N54"/>
      <c r="O54"/>
      <c r="P54"/>
    </row>
    <row r="55" spans="1:18" x14ac:dyDescent="0.2">
      <c r="G55"/>
      <c r="H55"/>
      <c r="I55"/>
      <c r="J55"/>
      <c r="K55"/>
      <c r="L55"/>
      <c r="M55"/>
      <c r="N55"/>
      <c r="O55"/>
      <c r="P55"/>
    </row>
    <row r="56" spans="1:18" x14ac:dyDescent="0.2">
      <c r="G56" s="42"/>
      <c r="H56"/>
      <c r="I56"/>
      <c r="J56"/>
      <c r="K56" s="43"/>
      <c r="L56" s="44"/>
      <c r="M56" s="44"/>
      <c r="N56" s="44"/>
      <c r="O56" s="41"/>
      <c r="P56" s="44"/>
    </row>
    <row r="57" spans="1:18" x14ac:dyDescent="0.2">
      <c r="G57" s="43"/>
      <c r="H57"/>
      <c r="I57"/>
      <c r="J57"/>
      <c r="K57" s="43"/>
      <c r="L57" s="44"/>
      <c r="M57" s="44"/>
      <c r="N57" s="44"/>
      <c r="O57" s="41"/>
      <c r="P57" s="44"/>
    </row>
    <row r="58" spans="1:18" x14ac:dyDescent="0.2">
      <c r="G58" s="43"/>
      <c r="H58"/>
      <c r="I58"/>
      <c r="J58"/>
      <c r="K58" s="43"/>
      <c r="L58" s="44"/>
      <c r="M58" s="44"/>
      <c r="N58" s="44"/>
      <c r="O58" s="41"/>
      <c r="P58" s="44"/>
    </row>
    <row r="59" spans="1:18" x14ac:dyDescent="0.2">
      <c r="G59" s="43"/>
      <c r="H59"/>
      <c r="I59"/>
      <c r="J59"/>
      <c r="K59" s="43"/>
      <c r="L59" s="44"/>
      <c r="M59" s="44"/>
      <c r="N59" s="44"/>
      <c r="O59" s="41"/>
      <c r="P59" s="44"/>
    </row>
    <row r="60" spans="1:18" x14ac:dyDescent="0.2">
      <c r="G60" s="43"/>
      <c r="H60"/>
      <c r="I60"/>
      <c r="J60"/>
      <c r="K60" s="43"/>
      <c r="L60" s="44"/>
      <c r="M60" s="44"/>
      <c r="N60" s="44"/>
      <c r="O60" s="41"/>
      <c r="P60" s="44"/>
    </row>
    <row r="61" spans="1:18" x14ac:dyDescent="0.2">
      <c r="G61" s="43"/>
      <c r="H61"/>
      <c r="I61"/>
      <c r="J61"/>
      <c r="K61" s="43"/>
      <c r="L61" s="44"/>
      <c r="M61" s="44"/>
      <c r="N61" s="44"/>
      <c r="O61" s="41"/>
      <c r="P61" s="44"/>
    </row>
    <row r="62" spans="1:18" x14ac:dyDescent="0.2">
      <c r="G62" s="42"/>
      <c r="H62"/>
      <c r="I62"/>
      <c r="J62"/>
      <c r="K62" s="43"/>
      <c r="L62" s="44"/>
      <c r="M62" s="44"/>
      <c r="N62" s="44"/>
      <c r="O62" s="41"/>
      <c r="P62" s="44"/>
    </row>
    <row r="63" spans="1:18" x14ac:dyDescent="0.2">
      <c r="G63" s="43"/>
      <c r="H63"/>
      <c r="I63"/>
      <c r="J63"/>
      <c r="K63" s="43"/>
      <c r="L63" s="44"/>
      <c r="M63" s="44"/>
      <c r="N63" s="44"/>
      <c r="O63" s="41"/>
      <c r="P63" s="44"/>
    </row>
    <row r="64" spans="1:18" x14ac:dyDescent="0.2">
      <c r="G64" s="43"/>
      <c r="H64"/>
      <c r="I64"/>
      <c r="J64"/>
      <c r="K64" s="43"/>
      <c r="L64" s="44"/>
      <c r="M64" s="44"/>
      <c r="N64" s="44"/>
      <c r="O64" s="41"/>
      <c r="P64" s="44"/>
    </row>
    <row r="65" spans="7:16" x14ac:dyDescent="0.2">
      <c r="G65" s="43"/>
      <c r="H65"/>
      <c r="I65"/>
      <c r="J65"/>
      <c r="K65" s="43"/>
      <c r="L65" s="44"/>
      <c r="M65" s="44"/>
      <c r="N65" s="44"/>
      <c r="O65" s="41"/>
      <c r="P65" s="44"/>
    </row>
    <row r="66" spans="7:16" x14ac:dyDescent="0.2">
      <c r="G66" s="43"/>
      <c r="H66"/>
      <c r="I66"/>
      <c r="J66"/>
      <c r="K66" s="43"/>
      <c r="L66" s="44"/>
      <c r="M66" s="44"/>
      <c r="N66" s="44"/>
      <c r="O66" s="41"/>
      <c r="P66" s="44"/>
    </row>
    <row r="67" spans="7:16" x14ac:dyDescent="0.2">
      <c r="G67" s="43"/>
      <c r="H67"/>
      <c r="I67"/>
      <c r="J67"/>
      <c r="K67" s="43"/>
      <c r="L67" s="44"/>
      <c r="M67" s="44"/>
      <c r="N67" s="44"/>
      <c r="O67" s="41"/>
      <c r="P67" s="44"/>
    </row>
    <row r="68" spans="7:16" x14ac:dyDescent="0.2">
      <c r="G68" s="43"/>
      <c r="H68"/>
      <c r="I68"/>
      <c r="J68"/>
      <c r="K68" s="43"/>
      <c r="L68" s="44"/>
      <c r="M68" s="44"/>
      <c r="N68" s="44"/>
      <c r="O68" s="41"/>
      <c r="P68" s="44"/>
    </row>
    <row r="69" spans="7:16" x14ac:dyDescent="0.2">
      <c r="G69" s="43"/>
      <c r="H69"/>
      <c r="I69"/>
      <c r="J69"/>
      <c r="K69" s="43"/>
      <c r="L69" s="44"/>
      <c r="M69" s="44"/>
      <c r="N69" s="44"/>
      <c r="O69" s="41"/>
      <c r="P69" s="44"/>
    </row>
    <row r="70" spans="7:16" x14ac:dyDescent="0.2">
      <c r="G70" s="43"/>
      <c r="H70"/>
      <c r="I70"/>
      <c r="J70"/>
      <c r="K70" s="43"/>
      <c r="L70" s="44"/>
      <c r="M70" s="44"/>
      <c r="N70" s="44"/>
      <c r="O70" s="41"/>
      <c r="P70" s="44"/>
    </row>
    <row r="71" spans="7:16" x14ac:dyDescent="0.2">
      <c r="G71" s="43"/>
      <c r="H71"/>
      <c r="I71"/>
      <c r="J71"/>
      <c r="K71" s="43"/>
      <c r="L71" s="44"/>
      <c r="M71" s="44"/>
      <c r="N71" s="44"/>
      <c r="O71" s="41"/>
      <c r="P71" s="44"/>
    </row>
    <row r="72" spans="7:16" x14ac:dyDescent="0.2">
      <c r="G72" s="43"/>
      <c r="H72"/>
      <c r="I72"/>
      <c r="J72"/>
      <c r="K72" s="43"/>
      <c r="L72" s="44"/>
      <c r="M72" s="44"/>
      <c r="N72" s="44"/>
      <c r="O72" s="41"/>
      <c r="P72" s="44"/>
    </row>
    <row r="73" spans="7:16" x14ac:dyDescent="0.2">
      <c r="G73" s="43"/>
      <c r="H73"/>
      <c r="I73"/>
      <c r="J73"/>
      <c r="K73" s="43"/>
      <c r="L73" s="44"/>
      <c r="M73" s="44"/>
      <c r="N73" s="44"/>
      <c r="O73" s="41"/>
      <c r="P73" s="44"/>
    </row>
    <row r="74" spans="7:16" x14ac:dyDescent="0.2">
      <c r="G74" s="43"/>
      <c r="H74"/>
      <c r="I74"/>
      <c r="J74"/>
      <c r="K74" s="43"/>
      <c r="L74" s="44"/>
      <c r="M74" s="44"/>
      <c r="N74" s="44"/>
      <c r="O74" s="41"/>
      <c r="P74" s="44"/>
    </row>
    <row r="75" spans="7:16" x14ac:dyDescent="0.2">
      <c r="G75" s="43"/>
      <c r="H75"/>
      <c r="I75"/>
      <c r="J75"/>
      <c r="K75" s="43"/>
      <c r="L75" s="44"/>
      <c r="M75" s="44"/>
      <c r="N75" s="44"/>
      <c r="O75" s="41"/>
      <c r="P75" s="44"/>
    </row>
    <row r="76" spans="7:16" x14ac:dyDescent="0.2">
      <c r="G76" s="45"/>
      <c r="H76"/>
      <c r="I76"/>
      <c r="J76"/>
      <c r="K76" s="45"/>
      <c r="L76" s="46"/>
      <c r="M76" s="46"/>
      <c r="N76" s="46"/>
      <c r="O76" s="47"/>
      <c r="P76" s="46"/>
    </row>
    <row r="77" spans="7:16" x14ac:dyDescent="0.2">
      <c r="G77" s="45"/>
      <c r="H77"/>
      <c r="I77"/>
      <c r="J77"/>
      <c r="K77" s="45"/>
      <c r="L77" s="46"/>
      <c r="M77" s="46"/>
      <c r="N77" s="46"/>
      <c r="O77" s="47"/>
      <c r="P77" s="46"/>
    </row>
    <row r="78" spans="7:16" x14ac:dyDescent="0.2">
      <c r="G78" s="43"/>
      <c r="H78"/>
      <c r="I78"/>
      <c r="J78"/>
      <c r="K78" s="43"/>
      <c r="L78" s="44"/>
      <c r="M78" s="44"/>
      <c r="N78" s="44"/>
      <c r="O78" s="41"/>
      <c r="P78" s="44"/>
    </row>
    <row r="79" spans="7:16" x14ac:dyDescent="0.2">
      <c r="G79" s="43"/>
      <c r="H79"/>
      <c r="I79"/>
      <c r="J79"/>
      <c r="K79" s="43"/>
      <c r="L79" s="44"/>
      <c r="M79" s="44"/>
      <c r="N79" s="44"/>
      <c r="O79" s="41"/>
      <c r="P79" s="44"/>
    </row>
    <row r="80" spans="7:16" x14ac:dyDescent="0.2">
      <c r="G80" s="43"/>
      <c r="H80"/>
      <c r="I80"/>
      <c r="J80"/>
      <c r="K80" s="43"/>
      <c r="L80" s="44"/>
      <c r="M80" s="44"/>
      <c r="N80" s="44"/>
      <c r="O80" s="41"/>
      <c r="P80" s="44"/>
    </row>
    <row r="81" spans="7:16" x14ac:dyDescent="0.2">
      <c r="G81" s="43"/>
      <c r="H81"/>
      <c r="I81"/>
      <c r="J81"/>
      <c r="K81" s="43"/>
      <c r="L81" s="44"/>
      <c r="M81" s="44"/>
      <c r="N81" s="44"/>
      <c r="O81" s="41"/>
      <c r="P81" s="44"/>
    </row>
    <row r="82" spans="7:16" x14ac:dyDescent="0.2">
      <c r="G82" s="43" t="s">
        <v>1</v>
      </c>
      <c r="H82"/>
      <c r="I82"/>
      <c r="J82"/>
      <c r="K82" s="43"/>
      <c r="L82" s="44"/>
      <c r="M82" s="44"/>
      <c r="N82" s="44"/>
      <c r="O82" s="41"/>
      <c r="P82" s="44"/>
    </row>
    <row r="83" spans="7:16" x14ac:dyDescent="0.2">
      <c r="G83" s="43"/>
      <c r="H83"/>
      <c r="I83"/>
      <c r="J83"/>
      <c r="K83" s="43"/>
      <c r="L83" s="44"/>
      <c r="M83" s="44"/>
      <c r="N83" s="44"/>
      <c r="O83" s="41"/>
      <c r="P83" s="44"/>
    </row>
    <row r="84" spans="7:16" x14ac:dyDescent="0.2">
      <c r="G84" s="43"/>
      <c r="H84"/>
      <c r="I84"/>
      <c r="J84"/>
      <c r="K84" s="43"/>
      <c r="L84" s="44"/>
      <c r="M84" s="44"/>
      <c r="N84" s="44"/>
      <c r="O84" s="41"/>
      <c r="P84" s="44"/>
    </row>
    <row r="85" spans="7:16" x14ac:dyDescent="0.2">
      <c r="G85" s="43"/>
      <c r="H85"/>
      <c r="I85"/>
      <c r="J85"/>
      <c r="K85" s="43"/>
      <c r="L85" s="44"/>
      <c r="M85" s="44"/>
      <c r="N85" s="44"/>
      <c r="O85" s="41"/>
      <c r="P85" s="44"/>
    </row>
    <row r="86" spans="7:16" x14ac:dyDescent="0.2">
      <c r="G86" s="43"/>
      <c r="H86"/>
      <c r="I86"/>
      <c r="J86"/>
      <c r="K86" s="43"/>
      <c r="L86" s="44"/>
      <c r="M86" s="44"/>
      <c r="N86" s="44"/>
      <c r="O86" s="41"/>
      <c r="P86" s="44"/>
    </row>
    <row r="87" spans="7:16" x14ac:dyDescent="0.2">
      <c r="G87" s="43"/>
      <c r="H87"/>
      <c r="I87"/>
      <c r="J87"/>
      <c r="K87" s="43"/>
      <c r="L87" s="44"/>
      <c r="M87" s="44"/>
      <c r="N87" s="44"/>
      <c r="O87" s="41"/>
      <c r="P87" s="44"/>
    </row>
    <row r="88" spans="7:16" x14ac:dyDescent="0.2">
      <c r="G88" s="43"/>
      <c r="H88"/>
      <c r="I88"/>
      <c r="J88"/>
      <c r="K88" s="43"/>
      <c r="L88" s="44"/>
      <c r="M88" s="44"/>
      <c r="N88" s="44"/>
      <c r="O88" s="41"/>
      <c r="P88" s="44"/>
    </row>
    <row r="89" spans="7:16" x14ac:dyDescent="0.2">
      <c r="G89" s="43"/>
      <c r="H89"/>
      <c r="I89"/>
      <c r="J89"/>
      <c r="K89" s="43"/>
      <c r="L89" s="44"/>
      <c r="M89" s="44"/>
      <c r="N89" s="44"/>
      <c r="O89" s="41"/>
      <c r="P89" s="44"/>
    </row>
    <row r="90" spans="7:16" x14ac:dyDescent="0.2">
      <c r="G90" s="43"/>
      <c r="H90"/>
      <c r="I90"/>
      <c r="J90"/>
      <c r="K90" s="43"/>
      <c r="L90" s="44"/>
      <c r="M90" s="44"/>
      <c r="N90" s="44"/>
      <c r="O90" s="41"/>
      <c r="P90" s="44"/>
    </row>
    <row r="91" spans="7:16" x14ac:dyDescent="0.2">
      <c r="G91" s="43"/>
      <c r="H91"/>
      <c r="I91"/>
      <c r="J91"/>
      <c r="K91" s="43"/>
      <c r="L91" s="44"/>
      <c r="M91" s="44"/>
      <c r="N91" s="44"/>
      <c r="O91" s="41"/>
      <c r="P91" s="44"/>
    </row>
    <row r="92" spans="7:16" x14ac:dyDescent="0.2">
      <c r="G92" s="43"/>
      <c r="H92"/>
      <c r="I92"/>
      <c r="J92"/>
      <c r="K92" s="43"/>
      <c r="L92" s="44"/>
      <c r="M92" s="44"/>
      <c r="N92" s="44"/>
      <c r="O92" s="41"/>
      <c r="P92" s="44"/>
    </row>
    <row r="93" spans="7:16" x14ac:dyDescent="0.2">
      <c r="G93" s="43"/>
      <c r="H93"/>
      <c r="I93"/>
      <c r="J93"/>
      <c r="K93" s="43"/>
      <c r="L93" s="44"/>
      <c r="M93" s="44"/>
      <c r="N93" s="44"/>
      <c r="O93" s="41"/>
      <c r="P93" s="44"/>
    </row>
    <row r="94" spans="7:16" x14ac:dyDescent="0.2">
      <c r="G94" s="43"/>
      <c r="H94"/>
      <c r="I94"/>
      <c r="J94"/>
      <c r="K94" s="43"/>
      <c r="L94" s="44"/>
      <c r="M94" s="44"/>
      <c r="N94" s="44"/>
      <c r="O94" s="41"/>
      <c r="P94" s="44"/>
    </row>
    <row r="95" spans="7:16" x14ac:dyDescent="0.2">
      <c r="G95" s="43"/>
      <c r="H95"/>
      <c r="I95"/>
      <c r="J95"/>
      <c r="K95" s="43"/>
      <c r="L95" s="44"/>
      <c r="M95" s="44"/>
      <c r="N95" s="44"/>
      <c r="O95" s="41"/>
      <c r="P95" s="44"/>
    </row>
    <row r="96" spans="7:16" x14ac:dyDescent="0.2">
      <c r="G96" s="43"/>
      <c r="H96"/>
      <c r="I96"/>
      <c r="J96"/>
      <c r="K96" s="43"/>
      <c r="L96" s="44"/>
      <c r="M96" s="44"/>
      <c r="N96" s="44"/>
      <c r="O96" s="41"/>
      <c r="P96" s="44"/>
    </row>
    <row r="97" spans="7:16" x14ac:dyDescent="0.2">
      <c r="G97" s="43"/>
      <c r="H97"/>
      <c r="I97"/>
      <c r="J97"/>
      <c r="K97" s="43"/>
      <c r="L97" s="44"/>
      <c r="M97" s="44"/>
      <c r="N97" s="44"/>
      <c r="O97" s="41"/>
      <c r="P97" s="44"/>
    </row>
    <row r="98" spans="7:16" x14ac:dyDescent="0.2">
      <c r="G98" s="43" t="s">
        <v>1</v>
      </c>
      <c r="H98"/>
      <c r="I98"/>
      <c r="J98"/>
      <c r="K98" s="43"/>
      <c r="L98" s="44"/>
      <c r="M98" s="44"/>
      <c r="N98" s="44"/>
      <c r="O98" s="41"/>
      <c r="P98" s="44"/>
    </row>
    <row r="99" spans="7:16" x14ac:dyDescent="0.2">
      <c r="G99" s="43"/>
      <c r="H99"/>
      <c r="I99"/>
      <c r="J99"/>
      <c r="K99" s="43"/>
      <c r="L99" s="44"/>
      <c r="M99" s="44"/>
      <c r="N99" s="44"/>
      <c r="O99" s="41"/>
      <c r="P99" s="44"/>
    </row>
    <row r="100" spans="7:16" x14ac:dyDescent="0.2">
      <c r="G100" s="43"/>
      <c r="H100"/>
      <c r="I100"/>
      <c r="J100"/>
      <c r="K100" s="43"/>
      <c r="L100" s="44"/>
      <c r="M100" s="44"/>
      <c r="N100" s="44"/>
      <c r="O100" s="41"/>
      <c r="P100" s="44"/>
    </row>
    <row r="101" spans="7:16" x14ac:dyDescent="0.2">
      <c r="G101" s="43"/>
      <c r="H101"/>
      <c r="I101"/>
      <c r="J101"/>
      <c r="K101" s="43"/>
      <c r="L101" s="44"/>
      <c r="M101" s="44"/>
      <c r="N101" s="44"/>
      <c r="O101" s="41"/>
      <c r="P101" s="44"/>
    </row>
    <row r="102" spans="7:16" x14ac:dyDescent="0.2">
      <c r="G102" s="43"/>
      <c r="H102"/>
      <c r="I102"/>
      <c r="J102"/>
      <c r="K102" s="43"/>
      <c r="L102" s="44"/>
      <c r="M102" s="44"/>
      <c r="N102" s="44"/>
      <c r="O102" s="41"/>
      <c r="P102" s="44"/>
    </row>
    <row r="103" spans="7:16" x14ac:dyDescent="0.2">
      <c r="G103" s="43"/>
      <c r="H103"/>
      <c r="I103"/>
      <c r="J103"/>
      <c r="K103" s="43"/>
      <c r="L103" s="44"/>
      <c r="M103" s="44"/>
      <c r="N103" s="44"/>
      <c r="O103" s="41"/>
      <c r="P103" s="44"/>
    </row>
    <row r="104" spans="7:16" x14ac:dyDescent="0.2">
      <c r="G104" s="43" t="s">
        <v>1</v>
      </c>
      <c r="H104"/>
      <c r="I104"/>
      <c r="J104"/>
      <c r="K104" s="43"/>
      <c r="L104" s="44"/>
      <c r="M104" s="44"/>
      <c r="N104" s="44"/>
      <c r="O104" s="41"/>
      <c r="P104" s="44"/>
    </row>
    <row r="105" spans="7:16" x14ac:dyDescent="0.2">
      <c r="G105" s="43"/>
      <c r="H105"/>
      <c r="I105"/>
      <c r="J105"/>
      <c r="K105" s="43"/>
      <c r="L105" s="44"/>
      <c r="M105" s="44"/>
      <c r="N105" s="44"/>
      <c r="O105" s="41"/>
      <c r="P105" s="44"/>
    </row>
    <row r="106" spans="7:16" x14ac:dyDescent="0.2">
      <c r="G106" s="43"/>
      <c r="H106"/>
      <c r="I106"/>
      <c r="J106"/>
      <c r="K106" s="43"/>
      <c r="L106" s="44"/>
      <c r="M106" s="44"/>
      <c r="N106" s="44"/>
      <c r="O106" s="41"/>
      <c r="P106" s="44"/>
    </row>
    <row r="107" spans="7:16" x14ac:dyDescent="0.2">
      <c r="G107" s="43"/>
      <c r="H107"/>
      <c r="I107"/>
      <c r="J107"/>
      <c r="K107" s="43"/>
      <c r="L107" s="44"/>
      <c r="M107" s="44"/>
      <c r="N107" s="44"/>
      <c r="O107" s="41"/>
      <c r="P107" s="44"/>
    </row>
    <row r="108" spans="7:16" x14ac:dyDescent="0.2">
      <c r="G108" s="43"/>
      <c r="H108"/>
      <c r="I108"/>
      <c r="J108"/>
      <c r="K108" s="43"/>
      <c r="L108" s="44"/>
      <c r="M108" s="44"/>
      <c r="N108" s="44"/>
      <c r="O108" s="41"/>
      <c r="P108" s="44"/>
    </row>
    <row r="109" spans="7:16" x14ac:dyDescent="0.2">
      <c r="G109" s="43"/>
      <c r="H109"/>
      <c r="I109"/>
      <c r="J109"/>
      <c r="K109" s="43"/>
      <c r="L109" s="44"/>
      <c r="M109" s="44"/>
      <c r="N109" s="44"/>
      <c r="O109" s="41"/>
      <c r="P109" s="44"/>
    </row>
    <row r="110" spans="7:16" x14ac:dyDescent="0.2">
      <c r="G110" s="43" t="s">
        <v>1</v>
      </c>
      <c r="H110"/>
      <c r="I110"/>
      <c r="J110"/>
      <c r="K110" s="43"/>
      <c r="L110" s="44"/>
      <c r="M110" s="44"/>
      <c r="N110" s="44"/>
      <c r="O110" s="41"/>
      <c r="P110" s="44"/>
    </row>
    <row r="111" spans="7:16" x14ac:dyDescent="0.2">
      <c r="G111" s="43"/>
      <c r="H111"/>
      <c r="I111"/>
      <c r="J111"/>
      <c r="K111" s="43"/>
      <c r="L111" s="44"/>
      <c r="M111" s="44"/>
      <c r="N111" s="44"/>
      <c r="O111" s="41"/>
      <c r="P111" s="44"/>
    </row>
    <row r="112" spans="7:16" x14ac:dyDescent="0.2">
      <c r="G112" s="43"/>
      <c r="H112"/>
      <c r="I112"/>
      <c r="J112"/>
      <c r="K112" s="43"/>
      <c r="L112" s="44"/>
      <c r="M112" s="44"/>
      <c r="N112" s="44"/>
      <c r="O112" s="41"/>
      <c r="P112" s="44"/>
    </row>
    <row r="113" spans="7:16" x14ac:dyDescent="0.2">
      <c r="G113" s="43"/>
      <c r="H113"/>
      <c r="I113"/>
      <c r="J113"/>
      <c r="K113" s="43"/>
      <c r="L113" s="44"/>
      <c r="M113" s="44"/>
      <c r="N113" s="44"/>
      <c r="O113" s="41"/>
      <c r="P113" s="44"/>
    </row>
    <row r="114" spans="7:16" x14ac:dyDescent="0.2">
      <c r="G114" s="43"/>
      <c r="H114"/>
      <c r="I114"/>
      <c r="J114"/>
      <c r="K114" s="43"/>
      <c r="L114" s="44"/>
      <c r="M114" s="44"/>
      <c r="N114" s="44"/>
      <c r="O114" s="41"/>
      <c r="P114" s="44"/>
    </row>
    <row r="115" spans="7:16" x14ac:dyDescent="0.2">
      <c r="G115" s="43" t="s">
        <v>1</v>
      </c>
      <c r="H115"/>
      <c r="I115"/>
      <c r="J115"/>
      <c r="K115" s="43"/>
      <c r="L115" s="44"/>
      <c r="M115" s="44"/>
      <c r="N115" s="44"/>
      <c r="O115" s="41"/>
      <c r="P115" s="44"/>
    </row>
    <row r="116" spans="7:16" x14ac:dyDescent="0.2">
      <c r="G116" s="43"/>
      <c r="H116"/>
      <c r="I116"/>
      <c r="J116"/>
      <c r="K116" s="43"/>
      <c r="L116" s="44"/>
      <c r="M116" s="44"/>
      <c r="N116" s="44"/>
      <c r="O116" s="41"/>
      <c r="P116" s="44"/>
    </row>
    <row r="117" spans="7:16" x14ac:dyDescent="0.2">
      <c r="G117" s="43"/>
      <c r="H117"/>
      <c r="I117"/>
      <c r="J117"/>
      <c r="K117" s="43"/>
      <c r="L117" s="44"/>
      <c r="M117" s="44"/>
      <c r="N117" s="44"/>
      <c r="O117" s="41"/>
      <c r="P117" s="44"/>
    </row>
    <row r="118" spans="7:16" x14ac:dyDescent="0.2">
      <c r="G118" s="43"/>
      <c r="H118"/>
      <c r="I118"/>
      <c r="J118"/>
      <c r="K118" s="43"/>
      <c r="L118" s="44"/>
      <c r="M118" s="44"/>
      <c r="N118" s="44"/>
      <c r="O118" s="41"/>
      <c r="P118" s="44"/>
    </row>
    <row r="119" spans="7:16" x14ac:dyDescent="0.2">
      <c r="G119" s="43"/>
      <c r="H119"/>
      <c r="I119"/>
      <c r="J119"/>
      <c r="K119" s="43"/>
      <c r="L119" s="44"/>
      <c r="M119" s="44"/>
      <c r="N119" s="44"/>
      <c r="O119" s="41"/>
      <c r="P119" s="44"/>
    </row>
    <row r="120" spans="7:16" x14ac:dyDescent="0.2">
      <c r="G120" s="43"/>
      <c r="H120"/>
      <c r="I120"/>
      <c r="J120"/>
      <c r="K120" s="43"/>
      <c r="L120" s="44"/>
      <c r="M120" s="44"/>
      <c r="N120" s="44"/>
      <c r="O120" s="41"/>
      <c r="P120" s="44"/>
    </row>
    <row r="121" spans="7:16" x14ac:dyDescent="0.2">
      <c r="G121" s="43" t="s">
        <v>1</v>
      </c>
      <c r="H121"/>
      <c r="I121"/>
      <c r="J121"/>
      <c r="K121" s="43"/>
      <c r="L121" s="44"/>
      <c r="M121" s="44"/>
      <c r="N121" s="44"/>
      <c r="O121" s="41"/>
      <c r="P121" s="44"/>
    </row>
    <row r="122" spans="7:16" x14ac:dyDescent="0.2">
      <c r="G122" s="43"/>
      <c r="H122"/>
      <c r="I122"/>
      <c r="J122"/>
      <c r="K122" s="43"/>
      <c r="L122" s="44"/>
      <c r="M122" s="44"/>
      <c r="N122" s="44"/>
      <c r="O122" s="41"/>
      <c r="P122" s="44"/>
    </row>
    <row r="123" spans="7:16" x14ac:dyDescent="0.2">
      <c r="G123" s="43"/>
      <c r="H123"/>
      <c r="I123"/>
      <c r="J123"/>
      <c r="K123" s="43"/>
      <c r="L123" s="44"/>
      <c r="M123" s="44"/>
      <c r="N123" s="44"/>
      <c r="O123" s="41"/>
      <c r="P123" s="44"/>
    </row>
    <row r="124" spans="7:16" x14ac:dyDescent="0.2">
      <c r="G124" s="43"/>
      <c r="H124"/>
      <c r="I124"/>
      <c r="J124"/>
      <c r="K124" s="43"/>
      <c r="L124" s="44"/>
      <c r="M124" s="44"/>
      <c r="N124" s="44"/>
      <c r="O124" s="41"/>
      <c r="P124" s="44"/>
    </row>
    <row r="125" spans="7:16" x14ac:dyDescent="0.2">
      <c r="G125" s="43"/>
      <c r="H125"/>
      <c r="I125"/>
      <c r="J125"/>
      <c r="K125" s="43"/>
      <c r="L125" s="44"/>
      <c r="M125" s="44"/>
      <c r="N125" s="44"/>
      <c r="O125" s="41"/>
      <c r="P125" s="44"/>
    </row>
    <row r="126" spans="7:16" x14ac:dyDescent="0.2">
      <c r="G126" s="42" t="s">
        <v>1</v>
      </c>
      <c r="H126"/>
      <c r="I126"/>
      <c r="J126"/>
      <c r="K126" s="43"/>
      <c r="L126" s="44"/>
      <c r="M126" s="44"/>
      <c r="N126" s="44"/>
      <c r="O126" s="41"/>
      <c r="P126" s="44"/>
    </row>
    <row r="127" spans="7:16" x14ac:dyDescent="0.2">
      <c r="G127" s="43"/>
      <c r="H127"/>
      <c r="I127"/>
      <c r="J127"/>
      <c r="K127" s="43"/>
      <c r="L127" s="44"/>
      <c r="M127" s="44"/>
      <c r="N127" s="44"/>
      <c r="O127" s="41"/>
      <c r="P127" s="44"/>
    </row>
    <row r="128" spans="7:16" x14ac:dyDescent="0.2">
      <c r="G128" s="43"/>
      <c r="H128"/>
      <c r="I128"/>
      <c r="J128"/>
      <c r="K128" s="43"/>
      <c r="L128" s="44"/>
      <c r="M128" s="44"/>
      <c r="N128" s="44"/>
      <c r="O128" s="41"/>
      <c r="P128" s="44"/>
    </row>
    <row r="129" spans="6:16" x14ac:dyDescent="0.2">
      <c r="G129" s="43"/>
      <c r="H129"/>
      <c r="I129"/>
      <c r="J129"/>
      <c r="K129" s="43"/>
      <c r="L129" s="44"/>
      <c r="M129" s="44"/>
      <c r="N129" s="44"/>
      <c r="O129" s="41"/>
      <c r="P129" s="44"/>
    </row>
    <row r="130" spans="6:16" x14ac:dyDescent="0.2">
      <c r="G130" s="43"/>
      <c r="H130"/>
      <c r="I130"/>
      <c r="J130"/>
      <c r="K130" s="43"/>
      <c r="L130" s="44"/>
      <c r="M130" s="44"/>
      <c r="N130" s="44"/>
      <c r="O130" s="41"/>
      <c r="P130" s="44"/>
    </row>
    <row r="131" spans="6:16" x14ac:dyDescent="0.2">
      <c r="G131" s="43"/>
      <c r="H131"/>
      <c r="I131"/>
      <c r="J131"/>
      <c r="K131" s="43"/>
      <c r="L131" s="44"/>
      <c r="M131" s="44"/>
      <c r="N131" s="44"/>
      <c r="O131" s="41"/>
      <c r="P131" s="44"/>
    </row>
    <row r="132" spans="6:16" x14ac:dyDescent="0.2">
      <c r="G132" s="43"/>
      <c r="H132"/>
      <c r="I132"/>
      <c r="J132"/>
      <c r="K132" s="43"/>
      <c r="L132" s="44"/>
      <c r="M132" s="44"/>
      <c r="N132" s="44"/>
      <c r="O132" s="41"/>
      <c r="P132" s="44"/>
    </row>
    <row r="133" spans="6:16" x14ac:dyDescent="0.2">
      <c r="G133" s="43"/>
      <c r="H133"/>
      <c r="I133"/>
      <c r="J133"/>
      <c r="K133" s="43"/>
      <c r="L133" s="44"/>
      <c r="M133" s="44"/>
      <c r="N133" s="44"/>
      <c r="O133" s="41"/>
      <c r="P133" s="44"/>
    </row>
    <row r="134" spans="6:16" x14ac:dyDescent="0.2">
      <c r="G134" s="43"/>
      <c r="H134"/>
      <c r="I134"/>
      <c r="J134"/>
      <c r="K134" s="43"/>
      <c r="L134" s="44"/>
      <c r="M134" s="44"/>
      <c r="N134" s="44"/>
      <c r="O134" s="41"/>
      <c r="P134" s="44"/>
    </row>
    <row r="135" spans="6:16" x14ac:dyDescent="0.2">
      <c r="G135" s="43"/>
      <c r="H135"/>
      <c r="I135"/>
      <c r="J135"/>
      <c r="K135" s="43"/>
      <c r="L135" s="44"/>
      <c r="M135" s="44"/>
      <c r="N135" s="44"/>
      <c r="O135" s="41"/>
      <c r="P135" s="44"/>
    </row>
    <row r="136" spans="6:16" x14ac:dyDescent="0.2">
      <c r="G136" s="43"/>
      <c r="H136"/>
      <c r="I136"/>
      <c r="J136"/>
      <c r="K136" s="43"/>
      <c r="L136" s="44"/>
      <c r="M136" s="44"/>
      <c r="N136" s="44"/>
      <c r="O136" s="41"/>
      <c r="P136" s="44"/>
    </row>
    <row r="137" spans="6:16" x14ac:dyDescent="0.2">
      <c r="G137" s="43"/>
      <c r="H137"/>
      <c r="I137"/>
      <c r="J137"/>
      <c r="K137" s="43"/>
      <c r="L137" s="44"/>
      <c r="M137" s="44"/>
      <c r="N137" s="44"/>
      <c r="O137" s="41"/>
      <c r="P137" s="44"/>
    </row>
    <row r="138" spans="6:16" x14ac:dyDescent="0.2">
      <c r="G138" s="43" t="s">
        <v>1</v>
      </c>
      <c r="H138"/>
      <c r="I138"/>
      <c r="J138"/>
      <c r="K138" s="43"/>
      <c r="L138" s="44"/>
      <c r="M138" s="44"/>
      <c r="N138" s="44"/>
      <c r="O138" s="41"/>
      <c r="P138" s="44"/>
    </row>
    <row r="139" spans="6:16" x14ac:dyDescent="0.2">
      <c r="F139" s="42" t="s">
        <v>1</v>
      </c>
      <c r="G139" s="43"/>
      <c r="H139"/>
      <c r="I139"/>
      <c r="J139"/>
      <c r="K139" s="43"/>
      <c r="L139" s="44"/>
      <c r="M139" s="44"/>
      <c r="N139" s="44"/>
      <c r="O139" s="41"/>
      <c r="P139" s="44"/>
    </row>
    <row r="140" spans="6:16" x14ac:dyDescent="0.2">
      <c r="F140" s="43"/>
      <c r="G140" s="43"/>
      <c r="H140"/>
      <c r="I140"/>
      <c r="J140"/>
      <c r="K140" s="43"/>
      <c r="L140" s="44"/>
      <c r="M140" s="44"/>
      <c r="N140" s="44"/>
      <c r="O140" s="41"/>
      <c r="P140" s="44"/>
    </row>
    <row r="141" spans="6:16" x14ac:dyDescent="0.2">
      <c r="F141" s="43"/>
      <c r="G141" s="43"/>
      <c r="H141"/>
      <c r="I141"/>
      <c r="J141"/>
      <c r="K141" s="43"/>
      <c r="L141" s="44"/>
      <c r="M141" s="44"/>
      <c r="N141" s="44"/>
      <c r="O141" s="41"/>
      <c r="P141" s="44"/>
    </row>
    <row r="142" spans="6:16" x14ac:dyDescent="0.2">
      <c r="F142" s="43"/>
      <c r="G142" s="43"/>
      <c r="H142"/>
      <c r="I142"/>
      <c r="J142"/>
      <c r="K142" s="43"/>
      <c r="L142" s="44"/>
      <c r="M142" s="44"/>
      <c r="N142" s="44"/>
      <c r="O142" s="41"/>
      <c r="P142" s="44"/>
    </row>
    <row r="143" spans="6:16" x14ac:dyDescent="0.2">
      <c r="H143"/>
      <c r="I143"/>
      <c r="J143"/>
    </row>
    <row r="144" spans="6:16" x14ac:dyDescent="0.2">
      <c r="H144"/>
      <c r="I144"/>
      <c r="J144"/>
    </row>
    <row r="145" spans="8:10" x14ac:dyDescent="0.2">
      <c r="H145"/>
      <c r="I145"/>
      <c r="J145"/>
    </row>
    <row r="146" spans="8:10" x14ac:dyDescent="0.2">
      <c r="H146"/>
      <c r="I146"/>
      <c r="J146"/>
    </row>
    <row r="147" spans="8:10" x14ac:dyDescent="0.2">
      <c r="H147"/>
      <c r="I147"/>
      <c r="J147"/>
    </row>
    <row r="148" spans="8:10" x14ac:dyDescent="0.2">
      <c r="H148"/>
      <c r="I148"/>
      <c r="J148"/>
    </row>
    <row r="149" spans="8:10" x14ac:dyDescent="0.2">
      <c r="H149"/>
      <c r="I149"/>
      <c r="J149"/>
    </row>
    <row r="150" spans="8:10" x14ac:dyDescent="0.2">
      <c r="H150"/>
      <c r="I150"/>
      <c r="J150"/>
    </row>
    <row r="151" spans="8:10" x14ac:dyDescent="0.2">
      <c r="H151"/>
      <c r="I151"/>
      <c r="J151"/>
    </row>
    <row r="152" spans="8:10" x14ac:dyDescent="0.2">
      <c r="H152"/>
      <c r="I152"/>
      <c r="J152"/>
    </row>
  </sheetData>
  <sheetProtection password="F88E" sheet="1" objects="1" scenarios="1" formatColumns="0"/>
  <customSheetViews>
    <customSheetView guid="{4BF10618-D357-11D5-9338-EFF21189730A}" showGridLines="0" outlineSymbols="0" showRuler="0">
      <selection activeCell="D44" sqref="D44"/>
      <pageMargins left="0.23622047244094491" right="0.51181102362204722" top="0.98425196850393704" bottom="0.98425196850393704" header="0" footer="0"/>
      <printOptions horizontalCentered="1"/>
      <pageSetup scale="55" orientation="landscape" horizontalDpi="180" verticalDpi="180" r:id="rId1"/>
      <headerFooter alignWithMargins="0"/>
    </customSheetView>
  </customSheetViews>
  <mergeCells count="4">
    <mergeCell ref="A1:G1"/>
    <mergeCell ref="A2:G2"/>
    <mergeCell ref="A3:G3"/>
    <mergeCell ref="A4:G4"/>
  </mergeCells>
  <phoneticPr fontId="11" type="noConversion"/>
  <printOptions horizontalCentered="1"/>
  <pageMargins left="0.23622047244094491" right="0.51181102362204722" top="0.98425196850393704" bottom="0.98425196850393704" header="0" footer="0"/>
  <pageSetup scale="55" orientation="landscape" horizontalDpi="180" verticalDpi="18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R85"/>
  <sheetViews>
    <sheetView showGridLines="0" showOutlineSymbols="0" topLeftCell="A37" workbookViewId="0">
      <selection activeCell="C47" sqref="C47"/>
    </sheetView>
  </sheetViews>
  <sheetFormatPr baseColWidth="10" defaultRowHeight="12.75" x14ac:dyDescent="0.2"/>
  <cols>
    <col min="1" max="1" width="19.140625" style="1" customWidth="1"/>
    <col min="2" max="17" width="13.7109375" style="1" customWidth="1"/>
    <col min="18" max="16384" width="11.42578125" style="1"/>
  </cols>
  <sheetData>
    <row r="1" spans="1:17" ht="18" x14ac:dyDescent="0.25">
      <c r="A1" s="662" t="str">
        <f>balance!A1</f>
        <v>PREFACTIBILIDAD PARA LA CREACIÓN DE UN PRODUCTO; PARA LA FABRICACION DE BLOQUE CON COMPONENTE DE MATERIAL PET</v>
      </c>
      <c r="B1" s="662"/>
      <c r="C1" s="662"/>
      <c r="D1" s="662"/>
      <c r="E1" s="662"/>
      <c r="F1" s="662"/>
      <c r="G1" s="662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 x14ac:dyDescent="0.2">
      <c r="A2" s="666" t="s">
        <v>386</v>
      </c>
      <c r="B2" s="666"/>
      <c r="C2" s="666"/>
      <c r="D2" s="666"/>
      <c r="E2" s="666"/>
      <c r="F2" s="666"/>
      <c r="G2" s="666"/>
      <c r="H2" s="245"/>
      <c r="I2" s="245"/>
      <c r="J2" s="245"/>
      <c r="K2" s="245"/>
      <c r="L2" s="245"/>
      <c r="M2" s="245"/>
      <c r="N2" s="245"/>
      <c r="O2" s="245"/>
      <c r="P2" s="245"/>
      <c r="Q2" s="245"/>
    </row>
    <row r="3" spans="1:17" x14ac:dyDescent="0.2">
      <c r="A3" s="667" t="str">
        <f>IF(Inicio!$E$51="Años","En Años","En Meses")</f>
        <v>En Años</v>
      </c>
      <c r="B3" s="667"/>
      <c r="C3" s="667"/>
      <c r="D3" s="667"/>
      <c r="E3" s="667"/>
      <c r="F3" s="667"/>
      <c r="G3" s="667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ht="13.5" thickBot="1" x14ac:dyDescent="0.25">
      <c r="A4" s="668" t="s">
        <v>276</v>
      </c>
      <c r="B4" s="668"/>
      <c r="C4" s="668"/>
      <c r="D4" s="668"/>
      <c r="E4" s="668"/>
      <c r="F4" s="668"/>
      <c r="G4" s="668"/>
      <c r="H4" s="248"/>
      <c r="I4" s="248"/>
      <c r="J4" s="248"/>
      <c r="K4" s="248"/>
      <c r="L4" s="248"/>
      <c r="M4" s="248"/>
      <c r="N4" s="248"/>
      <c r="O4" s="248"/>
      <c r="P4" s="248"/>
      <c r="Q4" s="248"/>
    </row>
    <row r="5" spans="1:17" ht="13.5" thickBot="1" x14ac:dyDescent="0.25">
      <c r="A5" s="240" t="s">
        <v>4</v>
      </c>
      <c r="B5" s="249">
        <v>0</v>
      </c>
      <c r="C5" s="315">
        <v>1</v>
      </c>
      <c r="D5" s="249">
        <v>2</v>
      </c>
      <c r="E5" s="315">
        <v>3</v>
      </c>
      <c r="F5" s="249">
        <v>4</v>
      </c>
      <c r="G5" s="315">
        <v>5</v>
      </c>
      <c r="H5" s="249">
        <v>6</v>
      </c>
      <c r="I5" s="315">
        <v>7</v>
      </c>
      <c r="J5" s="249">
        <v>8</v>
      </c>
      <c r="K5" s="315">
        <v>9</v>
      </c>
      <c r="L5" s="249">
        <v>10</v>
      </c>
      <c r="M5" s="315">
        <v>11</v>
      </c>
      <c r="N5" s="249">
        <v>12</v>
      </c>
      <c r="O5" s="315">
        <v>13</v>
      </c>
      <c r="P5" s="249">
        <v>14</v>
      </c>
      <c r="Q5" s="315">
        <v>15</v>
      </c>
    </row>
    <row r="6" spans="1:17" x14ac:dyDescent="0.2">
      <c r="A6" s="242"/>
      <c r="B6" s="234"/>
      <c r="C6" s="235"/>
      <c r="D6" s="234"/>
      <c r="E6" s="256"/>
      <c r="F6" s="234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</row>
    <row r="7" spans="1:17" x14ac:dyDescent="0.2">
      <c r="A7" s="242" t="s">
        <v>7</v>
      </c>
      <c r="B7" s="234"/>
      <c r="C7" s="313">
        <f>+'Estado de Resultado '!B9</f>
        <v>2433692.7999999998</v>
      </c>
      <c r="D7" s="313">
        <f>+'Estado de Resultado '!C9</f>
        <v>2770891.1999999997</v>
      </c>
      <c r="E7" s="313">
        <f>+'Estado de Resultado '!D9</f>
        <v>3006416.9519999996</v>
      </c>
      <c r="F7" s="313">
        <f>+'Estado de Resultado '!E9</f>
        <v>3258568.0511999996</v>
      </c>
      <c r="G7" s="313">
        <f>+'Estado de Resultado '!F9</f>
        <v>3564058.8059999994</v>
      </c>
      <c r="H7" s="313">
        <f>+'Estado de Resultado '!G9</f>
        <v>0</v>
      </c>
      <c r="I7" s="313">
        <f>+'Estado de Resultado '!H9</f>
        <v>0</v>
      </c>
      <c r="J7" s="313">
        <f>+'Estado de Resultado '!I9</f>
        <v>0</v>
      </c>
      <c r="K7" s="313">
        <f>+'Estado de Resultado '!J9</f>
        <v>0</v>
      </c>
      <c r="L7" s="313">
        <f>+'Estado de Resultado '!K9</f>
        <v>0</v>
      </c>
      <c r="M7" s="313">
        <f>+'Estado de Resultado '!L9</f>
        <v>0</v>
      </c>
      <c r="N7" s="313">
        <f>+'Estado de Resultado '!M9</f>
        <v>0</v>
      </c>
      <c r="O7" s="313">
        <f>+'Estado de Resultado '!N9</f>
        <v>0</v>
      </c>
      <c r="P7" s="313">
        <f>+'Estado de Resultado '!O9</f>
        <v>0</v>
      </c>
      <c r="Q7" s="313">
        <f>+'Estado de Resultado '!P9</f>
        <v>0</v>
      </c>
    </row>
    <row r="8" spans="1:17" x14ac:dyDescent="0.2">
      <c r="A8" s="242" t="s">
        <v>137</v>
      </c>
      <c r="B8" s="359">
        <f>+C8/C7</f>
        <v>0.71789756232740631</v>
      </c>
      <c r="C8" s="313">
        <f>+'presupuesto compras y ventas'!B9</f>
        <v>1747142.1285737599</v>
      </c>
      <c r="D8" s="313">
        <f>+'presupuesto compras y ventas'!C9</f>
        <v>1929827.7900281039</v>
      </c>
      <c r="E8" s="313">
        <f>+'presupuesto compras y ventas'!D9</f>
        <v>2061698.9811948063</v>
      </c>
      <c r="F8" s="313">
        <f>+'presupuesto compras y ventas'!E9</f>
        <v>2202267.7654508762</v>
      </c>
      <c r="G8" s="313">
        <f>+'presupuesto compras y ventas'!F9</f>
        <v>2370009.8160077082</v>
      </c>
      <c r="H8" s="313">
        <f>+'presupuesto compras y ventas'!G9</f>
        <v>0</v>
      </c>
      <c r="I8" s="313">
        <f>+'presupuesto compras y ventas'!H9</f>
        <v>0</v>
      </c>
      <c r="J8" s="313">
        <f>+'presupuesto compras y ventas'!I9</f>
        <v>0</v>
      </c>
      <c r="K8" s="313">
        <f>+'presupuesto compras y ventas'!J9</f>
        <v>0</v>
      </c>
      <c r="L8" s="313">
        <f>+'presupuesto compras y ventas'!K9</f>
        <v>0</v>
      </c>
      <c r="M8" s="313">
        <f>+'presupuesto compras y ventas'!L9</f>
        <v>0</v>
      </c>
      <c r="N8" s="313">
        <f>+'presupuesto compras y ventas'!M9</f>
        <v>0</v>
      </c>
      <c r="O8" s="313">
        <f>+'presupuesto compras y ventas'!N9</f>
        <v>0</v>
      </c>
      <c r="P8" s="313">
        <f>+'presupuesto compras y ventas'!O9</f>
        <v>0</v>
      </c>
      <c r="Q8" s="313">
        <f>+'presupuesto compras y ventas'!P9</f>
        <v>0</v>
      </c>
    </row>
    <row r="9" spans="1:17" x14ac:dyDescent="0.2">
      <c r="A9" s="242" t="s">
        <v>111</v>
      </c>
      <c r="B9" s="234"/>
      <c r="C9" s="313">
        <f>+'Estado de Resultado '!B19+'Estado de Resultado '!B30</f>
        <v>311575.03338528005</v>
      </c>
      <c r="D9" s="313">
        <f>+'Estado de Resultado '!C19+'Estado de Resultado '!C30</f>
        <v>319364.40921991202</v>
      </c>
      <c r="E9" s="313">
        <f>+'Estado de Resultado '!D19+'Estado de Resultado '!D30</f>
        <v>327348.5194504098</v>
      </c>
      <c r="F9" s="313">
        <f>+'Estado de Resultado '!E19+'Estado de Resultado '!E30</f>
        <v>335532.23243667011</v>
      </c>
      <c r="G9" s="313">
        <f>+'Estado de Resultado '!F19+'Estado de Resultado '!F30</f>
        <v>343920.53824758681</v>
      </c>
      <c r="H9" s="313">
        <f>+'Estado de Resultado '!G19+'Estado de Resultado '!G30</f>
        <v>0</v>
      </c>
      <c r="I9" s="313">
        <f>+'Estado de Resultado '!H19+'Estado de Resultado '!H30</f>
        <v>0</v>
      </c>
      <c r="J9" s="313">
        <f>+'Estado de Resultado '!I19+'Estado de Resultado '!I30</f>
        <v>0</v>
      </c>
      <c r="K9" s="313">
        <f>+'Estado de Resultado '!J19+'Estado de Resultado '!J30</f>
        <v>0</v>
      </c>
      <c r="L9" s="313">
        <f>+'Estado de Resultado '!K19+'Estado de Resultado '!K30</f>
        <v>0</v>
      </c>
      <c r="M9" s="313">
        <f>+'Estado de Resultado '!L19+'Estado de Resultado '!L30</f>
        <v>0</v>
      </c>
      <c r="N9" s="313">
        <f>+'Estado de Resultado '!M19+'Estado de Resultado '!M30</f>
        <v>0</v>
      </c>
      <c r="O9" s="313">
        <f>+'Estado de Resultado '!N19+'Estado de Resultado '!N30</f>
        <v>0</v>
      </c>
      <c r="P9" s="313">
        <f>+'Estado de Resultado '!O19+'Estado de Resultado '!O30</f>
        <v>0</v>
      </c>
      <c r="Q9" s="313">
        <f>+'Estado de Resultado '!P19+'Estado de Resultado '!P30</f>
        <v>0</v>
      </c>
    </row>
    <row r="10" spans="1:17" x14ac:dyDescent="0.2">
      <c r="A10" s="242" t="s">
        <v>129</v>
      </c>
      <c r="B10" s="234"/>
      <c r="C10" s="313">
        <f>+'Estado de Resultado '!B22</f>
        <v>44530</v>
      </c>
      <c r="D10" s="313">
        <f>+'Estado de Resultado '!C22</f>
        <v>44530</v>
      </c>
      <c r="E10" s="313">
        <f>+'Estado de Resultado '!D22</f>
        <v>44530</v>
      </c>
      <c r="F10" s="313">
        <f>+'Estado de Resultado '!E22</f>
        <v>36530</v>
      </c>
      <c r="G10" s="313">
        <f>+'Estado de Resultado '!F22</f>
        <v>36530</v>
      </c>
      <c r="H10" s="313">
        <f>+'Estado de Resultado '!G22</f>
        <v>0</v>
      </c>
      <c r="I10" s="313">
        <f>+'Estado de Resultado '!H22</f>
        <v>0</v>
      </c>
      <c r="J10" s="313">
        <f>+'Estado de Resultado '!I22</f>
        <v>0</v>
      </c>
      <c r="K10" s="313">
        <f>+'Estado de Resultado '!J22</f>
        <v>0</v>
      </c>
      <c r="L10" s="313">
        <f>+'Estado de Resultado '!K22</f>
        <v>0</v>
      </c>
      <c r="M10" s="313">
        <f>+'Estado de Resultado '!L22</f>
        <v>0</v>
      </c>
      <c r="N10" s="313">
        <f>+'Estado de Resultado '!M22</f>
        <v>0</v>
      </c>
      <c r="O10" s="313">
        <f>+'Estado de Resultado '!N22</f>
        <v>0</v>
      </c>
      <c r="P10" s="313">
        <f>+'Estado de Resultado '!O22</f>
        <v>0</v>
      </c>
      <c r="Q10" s="313">
        <f>+'Estado de Resultado '!P22</f>
        <v>0</v>
      </c>
    </row>
    <row r="11" spans="1:17" x14ac:dyDescent="0.2">
      <c r="A11" s="242" t="s">
        <v>130</v>
      </c>
      <c r="B11" s="234"/>
      <c r="C11" s="313">
        <f>+'Estado de Resultado '!B23</f>
        <v>4300</v>
      </c>
      <c r="D11" s="313">
        <f>+'Estado de Resultado '!C23</f>
        <v>4300</v>
      </c>
      <c r="E11" s="313">
        <f>+'Estado de Resultado '!D23</f>
        <v>4300</v>
      </c>
      <c r="F11" s="313">
        <f>+'Estado de Resultado '!E23</f>
        <v>4300</v>
      </c>
      <c r="G11" s="313">
        <f>+'Estado de Resultado '!F23</f>
        <v>4300</v>
      </c>
      <c r="H11" s="313">
        <f>+'Estado de Resultado '!G23</f>
        <v>0</v>
      </c>
      <c r="I11" s="313">
        <f>+'Estado de Resultado '!H23</f>
        <v>0</v>
      </c>
      <c r="J11" s="313">
        <f>+'Estado de Resultado '!I23</f>
        <v>0</v>
      </c>
      <c r="K11" s="313">
        <f>+'Estado de Resultado '!J23</f>
        <v>0</v>
      </c>
      <c r="L11" s="313">
        <f>+'Estado de Resultado '!K23</f>
        <v>0</v>
      </c>
      <c r="M11" s="313">
        <f>+'Estado de Resultado '!L23</f>
        <v>0</v>
      </c>
      <c r="N11" s="313">
        <f>+'Estado de Resultado '!M23</f>
        <v>0</v>
      </c>
      <c r="O11" s="313">
        <f>+'Estado de Resultado '!N23</f>
        <v>0</v>
      </c>
      <c r="P11" s="313">
        <f>+'Estado de Resultado '!O23</f>
        <v>0</v>
      </c>
      <c r="Q11" s="313">
        <f>+'Estado de Resultado '!P23</f>
        <v>0</v>
      </c>
    </row>
    <row r="12" spans="1:17" ht="13.5" thickBot="1" x14ac:dyDescent="0.25">
      <c r="A12" s="242" t="s">
        <v>28</v>
      </c>
      <c r="B12" s="234"/>
      <c r="C12" s="313">
        <f>+'Estado de Resultado '!B24</f>
        <v>9421.9058847775359</v>
      </c>
      <c r="D12" s="313">
        <f>+'Estado de Resultado '!C24</f>
        <v>7587.1585025542772</v>
      </c>
      <c r="E12" s="313">
        <f>+'Estado de Resultado '!D24</f>
        <v>5623.9788035753891</v>
      </c>
      <c r="F12" s="313">
        <f>+'Estado de Resultado '!E24</f>
        <v>3523.3765256679794</v>
      </c>
      <c r="G12" s="313">
        <f>+'Estado de Resultado '!F24</f>
        <v>1275.7320883070529</v>
      </c>
      <c r="H12" s="313">
        <f>+'Estado de Resultado '!G24</f>
        <v>0</v>
      </c>
      <c r="I12" s="313">
        <f>+'Estado de Resultado '!H24</f>
        <v>0</v>
      </c>
      <c r="J12" s="313">
        <f>+'Estado de Resultado '!I24</f>
        <v>0</v>
      </c>
      <c r="K12" s="313">
        <f>+'Estado de Resultado '!J24</f>
        <v>0</v>
      </c>
      <c r="L12" s="313">
        <f>+'Estado de Resultado '!K24</f>
        <v>0</v>
      </c>
      <c r="M12" s="313">
        <f>+'Estado de Resultado '!L24</f>
        <v>0</v>
      </c>
      <c r="N12" s="313">
        <f>+'Estado de Resultado '!M24</f>
        <v>0</v>
      </c>
      <c r="O12" s="313">
        <f>+'Estado de Resultado '!N24</f>
        <v>0</v>
      </c>
      <c r="P12" s="313">
        <f>+'Estado de Resultado '!O24</f>
        <v>0</v>
      </c>
      <c r="Q12" s="313">
        <f>+'Estado de Resultado '!P24</f>
        <v>0</v>
      </c>
    </row>
    <row r="13" spans="1:17" ht="13.5" thickBot="1" x14ac:dyDescent="0.25">
      <c r="A13" s="353" t="s">
        <v>3</v>
      </c>
      <c r="B13" s="360"/>
      <c r="C13" s="354">
        <f>+C7-C8-C9-C10-C11-C12</f>
        <v>316723.73215618229</v>
      </c>
      <c r="D13" s="253">
        <f>+D7-D8-D9-D10-D11-D12</f>
        <v>465281.84224942955</v>
      </c>
      <c r="E13" s="361">
        <f>+E7-E8-E9-E10-E11-E12</f>
        <v>562915.47255120811</v>
      </c>
      <c r="F13" s="253">
        <f>+F7-F8-F9-F10-F11-F12</f>
        <v>676414.67678678536</v>
      </c>
      <c r="G13" s="354">
        <f>+G7-G8-G9-G10-G11-G12</f>
        <v>808022.71965639736</v>
      </c>
      <c r="H13" s="354">
        <f t="shared" ref="H13:Q13" si="0">+H7-H8-H9-H10-H11-H12</f>
        <v>0</v>
      </c>
      <c r="I13" s="354">
        <f t="shared" si="0"/>
        <v>0</v>
      </c>
      <c r="J13" s="354">
        <f t="shared" si="0"/>
        <v>0</v>
      </c>
      <c r="K13" s="354">
        <f t="shared" si="0"/>
        <v>0</v>
      </c>
      <c r="L13" s="354">
        <f t="shared" si="0"/>
        <v>0</v>
      </c>
      <c r="M13" s="354">
        <f t="shared" si="0"/>
        <v>0</v>
      </c>
      <c r="N13" s="354">
        <f t="shared" si="0"/>
        <v>0</v>
      </c>
      <c r="O13" s="354">
        <f t="shared" si="0"/>
        <v>0</v>
      </c>
      <c r="P13" s="354">
        <f t="shared" si="0"/>
        <v>0</v>
      </c>
      <c r="Q13" s="354">
        <f t="shared" si="0"/>
        <v>0</v>
      </c>
    </row>
    <row r="14" spans="1:17" x14ac:dyDescent="0.2">
      <c r="A14" s="242"/>
      <c r="B14" s="234"/>
      <c r="C14" s="235"/>
      <c r="D14" s="234"/>
      <c r="E14" s="256"/>
      <c r="F14" s="234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</row>
    <row r="15" spans="1:17" x14ac:dyDescent="0.2">
      <c r="A15" s="242" t="s">
        <v>99</v>
      </c>
      <c r="B15" s="234"/>
      <c r="C15" s="313">
        <f>+'Estado de Resultado '!B20+'Estado de Resultado '!B31</f>
        <v>210600</v>
      </c>
      <c r="D15" s="313">
        <f>+'Estado de Resultado '!C20+'Estado de Resultado '!C31</f>
        <v>215865</v>
      </c>
      <c r="E15" s="313">
        <f>+'Estado de Resultado '!D20+'Estado de Resultado '!D31</f>
        <v>221261.625</v>
      </c>
      <c r="F15" s="313">
        <f>+'Estado de Resultado '!E20+'Estado de Resultado '!E31</f>
        <v>226793.16562500002</v>
      </c>
      <c r="G15" s="313">
        <f>+'Estado de Resultado '!F20+'Estado de Resultado '!F31</f>
        <v>232462.99476562502</v>
      </c>
      <c r="H15" s="313">
        <f>+'Estado de Resultado '!G20+'Estado de Resultado '!G31</f>
        <v>0</v>
      </c>
      <c r="I15" s="313">
        <f>+'Estado de Resultado '!H20+'Estado de Resultado '!H31</f>
        <v>0</v>
      </c>
      <c r="J15" s="313">
        <f>+'Estado de Resultado '!I20+'Estado de Resultado '!I31</f>
        <v>0</v>
      </c>
      <c r="K15" s="313">
        <f>+'Estado de Resultado '!J20+'Estado de Resultado '!J31</f>
        <v>0</v>
      </c>
      <c r="L15" s="313">
        <f>+'Estado de Resultado '!K20+'Estado de Resultado '!K31</f>
        <v>0</v>
      </c>
      <c r="M15" s="313">
        <f>+'Estado de Resultado '!L20+'Estado de Resultado '!L31</f>
        <v>0</v>
      </c>
      <c r="N15" s="313">
        <f>+'Estado de Resultado '!M20+'Estado de Resultado '!M31</f>
        <v>0</v>
      </c>
      <c r="O15" s="313">
        <f>+'Estado de Resultado '!N20+'Estado de Resultado '!N31</f>
        <v>0</v>
      </c>
      <c r="P15" s="313">
        <f>+'Estado de Resultado '!O20+'Estado de Resultado '!O31</f>
        <v>0</v>
      </c>
      <c r="Q15" s="313">
        <f>+'Estado de Resultado '!P20+'Estado de Resultado '!P31</f>
        <v>0</v>
      </c>
    </row>
    <row r="16" spans="1:17" ht="13.5" thickBot="1" x14ac:dyDescent="0.25">
      <c r="A16" s="242"/>
      <c r="B16" s="234"/>
      <c r="C16" s="313"/>
      <c r="D16" s="239"/>
      <c r="E16" s="297"/>
      <c r="F16" s="239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</row>
    <row r="17" spans="1:17" ht="13.5" thickBot="1" x14ac:dyDescent="0.25">
      <c r="A17" s="353" t="s">
        <v>112</v>
      </c>
      <c r="B17" s="360"/>
      <c r="C17" s="354">
        <f>+C13-C15</f>
        <v>106123.73215618229</v>
      </c>
      <c r="D17" s="253">
        <f>+D13-D15</f>
        <v>249416.84224942955</v>
      </c>
      <c r="E17" s="361">
        <f>+E13-E15</f>
        <v>341653.84755120811</v>
      </c>
      <c r="F17" s="253">
        <f>+F13-F15</f>
        <v>449621.51116178534</v>
      </c>
      <c r="G17" s="354">
        <f>+G13-G15</f>
        <v>575559.72489077237</v>
      </c>
      <c r="H17" s="354">
        <f t="shared" ref="H17:Q17" si="1">+H13-H15</f>
        <v>0</v>
      </c>
      <c r="I17" s="354">
        <f t="shared" si="1"/>
        <v>0</v>
      </c>
      <c r="J17" s="354">
        <f t="shared" si="1"/>
        <v>0</v>
      </c>
      <c r="K17" s="354">
        <f t="shared" si="1"/>
        <v>0</v>
      </c>
      <c r="L17" s="354">
        <f t="shared" si="1"/>
        <v>0</v>
      </c>
      <c r="M17" s="354">
        <f t="shared" si="1"/>
        <v>0</v>
      </c>
      <c r="N17" s="354">
        <f t="shared" si="1"/>
        <v>0</v>
      </c>
      <c r="O17" s="354">
        <f t="shared" si="1"/>
        <v>0</v>
      </c>
      <c r="P17" s="354">
        <f t="shared" si="1"/>
        <v>0</v>
      </c>
      <c r="Q17" s="354">
        <f t="shared" si="1"/>
        <v>0</v>
      </c>
    </row>
    <row r="18" spans="1:17" x14ac:dyDescent="0.2">
      <c r="A18" s="352"/>
      <c r="B18" s="362"/>
      <c r="C18" s="363"/>
      <c r="D18" s="364"/>
      <c r="E18" s="365"/>
      <c r="F18" s="364"/>
      <c r="G18" s="363"/>
      <c r="H18" s="363"/>
      <c r="I18" s="363"/>
      <c r="J18" s="363"/>
      <c r="K18" s="363"/>
      <c r="L18" s="363"/>
      <c r="M18" s="363"/>
      <c r="N18" s="363"/>
      <c r="O18" s="363"/>
      <c r="P18" s="363"/>
      <c r="Q18" s="363"/>
    </row>
    <row r="19" spans="1:17" x14ac:dyDescent="0.2">
      <c r="A19" s="242" t="s">
        <v>113</v>
      </c>
      <c r="B19" s="234"/>
      <c r="C19" s="313">
        <f>+'Estado de Resultado '!B42+'Estado de Resultado '!B21+'Estado de Resultado '!B43</f>
        <v>50218.134801596578</v>
      </c>
      <c r="D19" s="313">
        <f>+'Estado de Resultado '!C42+'Estado de Resultado '!C21+'Estado de Resultado '!C43</f>
        <v>111183.54132876039</v>
      </c>
      <c r="E19" s="313">
        <f>+'Estado de Resultado '!D42+'Estado de Resultado '!D21+'Estado de Resultado '!D43</f>
        <v>150469.50330014742</v>
      </c>
      <c r="F19" s="313">
        <f>+'Estado de Resultado '!E42+'Estado de Resultado '!E21+'Estado de Resultado '!E43</f>
        <v>196400.91256673387</v>
      </c>
      <c r="G19" s="313">
        <f>+'Estado de Resultado '!F42+'Estado de Resultado '!F21+'Estado de Resultado '!F43</f>
        <v>250003.70088404437</v>
      </c>
      <c r="H19" s="313">
        <f>+'Estado de Resultado '!G42+'Estado de Resultado '!G21+'Estado de Resultado '!G43</f>
        <v>0</v>
      </c>
      <c r="I19" s="313">
        <f>+'Estado de Resultado '!H42+'Estado de Resultado '!H21+'Estado de Resultado '!H43</f>
        <v>0</v>
      </c>
      <c r="J19" s="313">
        <f>+'Estado de Resultado '!I42+'Estado de Resultado '!I21+'Estado de Resultado '!I43</f>
        <v>0</v>
      </c>
      <c r="K19" s="313">
        <f>+'Estado de Resultado '!J42+'Estado de Resultado '!J21+'Estado de Resultado '!J43</f>
        <v>0</v>
      </c>
      <c r="L19" s="313">
        <f>+'Estado de Resultado '!K42+'Estado de Resultado '!K21+'Estado de Resultado '!K43</f>
        <v>0</v>
      </c>
      <c r="M19" s="313">
        <f>+'Estado de Resultado '!L42+'Estado de Resultado '!L21+'Estado de Resultado '!L43</f>
        <v>0</v>
      </c>
      <c r="N19" s="313">
        <f>+'Estado de Resultado '!M42+'Estado de Resultado '!M21+'Estado de Resultado '!M43</f>
        <v>0</v>
      </c>
      <c r="O19" s="313">
        <f>+'Estado de Resultado '!N42+'Estado de Resultado '!N21+'Estado de Resultado '!N43</f>
        <v>0</v>
      </c>
      <c r="P19" s="313">
        <f>+'Estado de Resultado '!O42+'Estado de Resultado '!O21+'Estado de Resultado '!O43</f>
        <v>0</v>
      </c>
      <c r="Q19" s="313">
        <f>+'Estado de Resultado '!P42+'Estado de Resultado '!P21+'Estado de Resultado '!P43</f>
        <v>0</v>
      </c>
    </row>
    <row r="20" spans="1:17" x14ac:dyDescent="0.2">
      <c r="A20" s="242" t="s">
        <v>114</v>
      </c>
      <c r="B20" s="234"/>
      <c r="C20" s="313">
        <v>0</v>
      </c>
      <c r="D20" s="239">
        <f>IF(D$5&lt;=Inicio!$E$49,+C19,0)</f>
        <v>50218.134801596578</v>
      </c>
      <c r="E20" s="239">
        <f>IF(E$5&lt;=Inicio!$E$49,+D19,0)</f>
        <v>111183.54132876039</v>
      </c>
      <c r="F20" s="239">
        <f>IF(F$5&lt;=Inicio!$E$49,+E19,0)</f>
        <v>150469.50330014742</v>
      </c>
      <c r="G20" s="239">
        <f>IF(G$5&lt;=Inicio!$E$49,+F19,0)</f>
        <v>196400.91256673387</v>
      </c>
      <c r="H20" s="239">
        <f>IF(H$5&lt;=Inicio!$E$49,+G19,0)</f>
        <v>0</v>
      </c>
      <c r="I20" s="239">
        <f>IF(I$5&lt;=Inicio!$E$49,+H19,0)</f>
        <v>0</v>
      </c>
      <c r="J20" s="239">
        <f>IF(J$5&lt;=Inicio!$E$49,+I19,0)</f>
        <v>0</v>
      </c>
      <c r="K20" s="239">
        <f>IF(K$5&lt;=Inicio!$E$49,+J19,0)</f>
        <v>0</v>
      </c>
      <c r="L20" s="239">
        <f>IF(L$5&lt;=Inicio!$E$49,+K19,0)</f>
        <v>0</v>
      </c>
      <c r="M20" s="239">
        <f>IF(M$5&lt;=Inicio!$E$49,+L19,0)</f>
        <v>0</v>
      </c>
      <c r="N20" s="239">
        <f>IF(N$5&lt;=Inicio!$E$49,+M19,0)</f>
        <v>0</v>
      </c>
      <c r="O20" s="239">
        <f>IF(O$5&lt;=Inicio!$E$49,+N19,0)</f>
        <v>0</v>
      </c>
      <c r="P20" s="239">
        <f>IF(P$5&lt;=Inicio!$E$49,+O19,0)</f>
        <v>0</v>
      </c>
      <c r="Q20" s="239">
        <f>IF(Q$5&lt;=Inicio!$E$49,+P19,0)</f>
        <v>0</v>
      </c>
    </row>
    <row r="21" spans="1:17" ht="13.5" thickBot="1" x14ac:dyDescent="0.25">
      <c r="A21" s="242"/>
      <c r="B21" s="234"/>
      <c r="C21" s="313"/>
      <c r="D21" s="239"/>
      <c r="E21" s="297"/>
      <c r="F21" s="239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</row>
    <row r="22" spans="1:17" ht="13.5" thickBot="1" x14ac:dyDescent="0.25">
      <c r="A22" s="353" t="s">
        <v>115</v>
      </c>
      <c r="B22" s="360"/>
      <c r="C22" s="354">
        <f>+C17-C19</f>
        <v>55905.597354585712</v>
      </c>
      <c r="D22" s="253">
        <f>+D17-D19</f>
        <v>138233.30092066916</v>
      </c>
      <c r="E22" s="361">
        <f>+E17-E19</f>
        <v>191184.34425106068</v>
      </c>
      <c r="F22" s="253">
        <f>+F17-F19</f>
        <v>253220.59859505147</v>
      </c>
      <c r="G22" s="354">
        <f>+G17-G19</f>
        <v>325556.02400672797</v>
      </c>
      <c r="H22" s="354">
        <f t="shared" ref="H22:Q22" si="2">+H17-H19</f>
        <v>0</v>
      </c>
      <c r="I22" s="354">
        <f t="shared" si="2"/>
        <v>0</v>
      </c>
      <c r="J22" s="354">
        <f t="shared" si="2"/>
        <v>0</v>
      </c>
      <c r="K22" s="354">
        <f t="shared" si="2"/>
        <v>0</v>
      </c>
      <c r="L22" s="354">
        <f t="shared" si="2"/>
        <v>0</v>
      </c>
      <c r="M22" s="354">
        <f t="shared" si="2"/>
        <v>0</v>
      </c>
      <c r="N22" s="354">
        <f t="shared" si="2"/>
        <v>0</v>
      </c>
      <c r="O22" s="354">
        <f t="shared" si="2"/>
        <v>0</v>
      </c>
      <c r="P22" s="354">
        <f t="shared" si="2"/>
        <v>0</v>
      </c>
      <c r="Q22" s="354">
        <f t="shared" si="2"/>
        <v>0</v>
      </c>
    </row>
    <row r="23" spans="1:17" x14ac:dyDescent="0.2">
      <c r="A23" s="242"/>
      <c r="B23" s="234"/>
      <c r="C23" s="235"/>
      <c r="D23" s="234"/>
      <c r="E23" s="256"/>
      <c r="F23" s="234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</row>
    <row r="24" spans="1:17" x14ac:dyDescent="0.2">
      <c r="A24" s="242" t="s">
        <v>131</v>
      </c>
      <c r="B24" s="234"/>
      <c r="C24" s="313">
        <f t="shared" ref="C24:G25" si="3">+C10</f>
        <v>44530</v>
      </c>
      <c r="D24" s="239">
        <f t="shared" si="3"/>
        <v>44530</v>
      </c>
      <c r="E24" s="297">
        <f t="shared" si="3"/>
        <v>44530</v>
      </c>
      <c r="F24" s="239">
        <f t="shared" si="3"/>
        <v>36530</v>
      </c>
      <c r="G24" s="313">
        <f t="shared" si="3"/>
        <v>36530</v>
      </c>
      <c r="H24" s="313">
        <f t="shared" ref="H24:Q24" si="4">+H10</f>
        <v>0</v>
      </c>
      <c r="I24" s="313">
        <f t="shared" si="4"/>
        <v>0</v>
      </c>
      <c r="J24" s="313">
        <f t="shared" si="4"/>
        <v>0</v>
      </c>
      <c r="K24" s="313">
        <f t="shared" si="4"/>
        <v>0</v>
      </c>
      <c r="L24" s="313">
        <f t="shared" si="4"/>
        <v>0</v>
      </c>
      <c r="M24" s="313">
        <f t="shared" si="4"/>
        <v>0</v>
      </c>
      <c r="N24" s="313">
        <f t="shared" si="4"/>
        <v>0</v>
      </c>
      <c r="O24" s="313">
        <f t="shared" si="4"/>
        <v>0</v>
      </c>
      <c r="P24" s="313">
        <f t="shared" si="4"/>
        <v>0</v>
      </c>
      <c r="Q24" s="313">
        <f t="shared" si="4"/>
        <v>0</v>
      </c>
    </row>
    <row r="25" spans="1:17" x14ac:dyDescent="0.2">
      <c r="A25" s="242" t="s">
        <v>132</v>
      </c>
      <c r="B25" s="234"/>
      <c r="C25" s="313">
        <f t="shared" si="3"/>
        <v>4300</v>
      </c>
      <c r="D25" s="239">
        <f t="shared" si="3"/>
        <v>4300</v>
      </c>
      <c r="E25" s="297">
        <f t="shared" si="3"/>
        <v>4300</v>
      </c>
      <c r="F25" s="239">
        <f t="shared" si="3"/>
        <v>4300</v>
      </c>
      <c r="G25" s="313">
        <f t="shared" si="3"/>
        <v>4300</v>
      </c>
      <c r="H25" s="313">
        <f t="shared" ref="H25:Q25" si="5">+H11</f>
        <v>0</v>
      </c>
      <c r="I25" s="313">
        <f t="shared" si="5"/>
        <v>0</v>
      </c>
      <c r="J25" s="313">
        <f t="shared" si="5"/>
        <v>0</v>
      </c>
      <c r="K25" s="313">
        <f t="shared" si="5"/>
        <v>0</v>
      </c>
      <c r="L25" s="313">
        <f t="shared" si="5"/>
        <v>0</v>
      </c>
      <c r="M25" s="313">
        <f t="shared" si="5"/>
        <v>0</v>
      </c>
      <c r="N25" s="313">
        <f t="shared" si="5"/>
        <v>0</v>
      </c>
      <c r="O25" s="313">
        <f t="shared" si="5"/>
        <v>0</v>
      </c>
      <c r="P25" s="313">
        <f t="shared" si="5"/>
        <v>0</v>
      </c>
      <c r="Q25" s="313">
        <f t="shared" si="5"/>
        <v>0</v>
      </c>
    </row>
    <row r="26" spans="1:17" x14ac:dyDescent="0.2">
      <c r="A26" s="242" t="s">
        <v>116</v>
      </c>
      <c r="B26" s="234"/>
      <c r="C26" s="313">
        <f>+C19-C20</f>
        <v>50218.134801596578</v>
      </c>
      <c r="D26" s="239">
        <f>+D19-D20</f>
        <v>60965.40652716381</v>
      </c>
      <c r="E26" s="297">
        <f>+E19-E20</f>
        <v>39285.961971387034</v>
      </c>
      <c r="F26" s="239">
        <f>+F19-F20</f>
        <v>45931.409266586445</v>
      </c>
      <c r="G26" s="313">
        <f>+G19-G20</f>
        <v>53602.788317310507</v>
      </c>
      <c r="H26" s="313">
        <f t="shared" ref="H26:Q26" si="6">+H19-H20</f>
        <v>0</v>
      </c>
      <c r="I26" s="313">
        <f t="shared" si="6"/>
        <v>0</v>
      </c>
      <c r="J26" s="313">
        <f t="shared" si="6"/>
        <v>0</v>
      </c>
      <c r="K26" s="313">
        <f t="shared" si="6"/>
        <v>0</v>
      </c>
      <c r="L26" s="313">
        <f t="shared" si="6"/>
        <v>0</v>
      </c>
      <c r="M26" s="313">
        <f t="shared" si="6"/>
        <v>0</v>
      </c>
      <c r="N26" s="313">
        <f t="shared" si="6"/>
        <v>0</v>
      </c>
      <c r="O26" s="313">
        <f t="shared" si="6"/>
        <v>0</v>
      </c>
      <c r="P26" s="313">
        <f t="shared" si="6"/>
        <v>0</v>
      </c>
      <c r="Q26" s="313">
        <f t="shared" si="6"/>
        <v>0</v>
      </c>
    </row>
    <row r="27" spans="1:17" x14ac:dyDescent="0.2">
      <c r="A27" s="242" t="s">
        <v>133</v>
      </c>
      <c r="B27" s="234"/>
      <c r="C27" s="313">
        <f>+C12</f>
        <v>9421.9058847775359</v>
      </c>
      <c r="D27" s="239">
        <f>+D12</f>
        <v>7587.1585025542772</v>
      </c>
      <c r="E27" s="297">
        <f>+E12</f>
        <v>5623.9788035753891</v>
      </c>
      <c r="F27" s="239">
        <f>+F12</f>
        <v>3523.3765256679794</v>
      </c>
      <c r="G27" s="313">
        <f>+G12</f>
        <v>1275.7320883070529</v>
      </c>
      <c r="H27" s="313">
        <f t="shared" ref="H27:Q27" si="7">+H12</f>
        <v>0</v>
      </c>
      <c r="I27" s="313">
        <f t="shared" si="7"/>
        <v>0</v>
      </c>
      <c r="J27" s="313">
        <f t="shared" si="7"/>
        <v>0</v>
      </c>
      <c r="K27" s="313">
        <f t="shared" si="7"/>
        <v>0</v>
      </c>
      <c r="L27" s="313">
        <f t="shared" si="7"/>
        <v>0</v>
      </c>
      <c r="M27" s="313">
        <f t="shared" si="7"/>
        <v>0</v>
      </c>
      <c r="N27" s="313">
        <f t="shared" si="7"/>
        <v>0</v>
      </c>
      <c r="O27" s="313">
        <f t="shared" si="7"/>
        <v>0</v>
      </c>
      <c r="P27" s="313">
        <f t="shared" si="7"/>
        <v>0</v>
      </c>
      <c r="Q27" s="313">
        <f t="shared" si="7"/>
        <v>0</v>
      </c>
    </row>
    <row r="28" spans="1:17" ht="13.5" thickBot="1" x14ac:dyDescent="0.25">
      <c r="A28" s="242"/>
      <c r="B28" s="234"/>
      <c r="C28" s="313"/>
      <c r="D28" s="239"/>
      <c r="E28" s="297"/>
      <c r="F28" s="239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</row>
    <row r="29" spans="1:17" ht="13.5" thickBot="1" x14ac:dyDescent="0.25">
      <c r="A29" s="353" t="s">
        <v>117</v>
      </c>
      <c r="B29" s="360"/>
      <c r="C29" s="354">
        <f>SUM(C22:C27)</f>
        <v>164375.63804095984</v>
      </c>
      <c r="D29" s="253">
        <f>SUM(D22:D27)</f>
        <v>255615.86595038726</v>
      </c>
      <c r="E29" s="361">
        <f>SUM(E22:E27)</f>
        <v>284924.28502602311</v>
      </c>
      <c r="F29" s="253">
        <f>SUM(F22:F27)</f>
        <v>343505.38438730582</v>
      </c>
      <c r="G29" s="366">
        <f>SUM(G22:G27)</f>
        <v>421264.54441234551</v>
      </c>
      <c r="H29" s="354">
        <f t="shared" ref="H29:Q29" si="8">SUM(H22:H27)</f>
        <v>0</v>
      </c>
      <c r="I29" s="354">
        <f t="shared" si="8"/>
        <v>0</v>
      </c>
      <c r="J29" s="354">
        <f t="shared" si="8"/>
        <v>0</v>
      </c>
      <c r="K29" s="354">
        <f t="shared" si="8"/>
        <v>0</v>
      </c>
      <c r="L29" s="354">
        <f t="shared" si="8"/>
        <v>0</v>
      </c>
      <c r="M29" s="354">
        <f t="shared" si="8"/>
        <v>0</v>
      </c>
      <c r="N29" s="354">
        <f t="shared" si="8"/>
        <v>0</v>
      </c>
      <c r="O29" s="354">
        <f t="shared" si="8"/>
        <v>0</v>
      </c>
      <c r="P29" s="354">
        <f t="shared" si="8"/>
        <v>0</v>
      </c>
      <c r="Q29" s="354">
        <f t="shared" si="8"/>
        <v>0</v>
      </c>
    </row>
    <row r="30" spans="1:17" x14ac:dyDescent="0.2">
      <c r="A30" s="352"/>
      <c r="B30" s="352"/>
      <c r="C30" s="367"/>
      <c r="D30" s="368"/>
      <c r="E30" s="367"/>
      <c r="F30" s="365"/>
      <c r="G30" s="367"/>
      <c r="H30" s="365"/>
      <c r="I30" s="367"/>
      <c r="J30" s="365"/>
      <c r="K30" s="367"/>
      <c r="L30" s="365"/>
      <c r="M30" s="367"/>
      <c r="N30" s="365"/>
      <c r="O30" s="367"/>
      <c r="P30" s="365"/>
      <c r="Q30" s="367"/>
    </row>
    <row r="31" spans="1:17" x14ac:dyDescent="0.2">
      <c r="A31" s="242" t="s">
        <v>134</v>
      </c>
      <c r="B31" s="242"/>
      <c r="C31" s="234"/>
      <c r="D31" s="256"/>
      <c r="E31" s="234"/>
      <c r="F31" s="256"/>
      <c r="G31" s="234"/>
      <c r="H31" s="256"/>
      <c r="I31" s="234"/>
      <c r="J31" s="256"/>
      <c r="K31" s="234"/>
      <c r="L31" s="256"/>
      <c r="M31" s="234"/>
      <c r="N31" s="256"/>
      <c r="O31" s="234"/>
      <c r="P31" s="256"/>
      <c r="Q31" s="234"/>
    </row>
    <row r="32" spans="1:17" x14ac:dyDescent="0.2">
      <c r="A32" s="242" t="s">
        <v>135</v>
      </c>
      <c r="B32" s="250">
        <f>+financiación!B18+financiación!B29+financiación!B7</f>
        <v>150730.76206352399</v>
      </c>
      <c r="C32" s="234"/>
      <c r="D32" s="256"/>
      <c r="E32" s="234"/>
      <c r="F32" s="256"/>
      <c r="G32" s="234"/>
      <c r="H32" s="256"/>
      <c r="I32" s="234"/>
      <c r="J32" s="256"/>
      <c r="K32" s="234"/>
      <c r="L32" s="256"/>
      <c r="M32" s="234"/>
      <c r="N32" s="256"/>
      <c r="O32" s="234"/>
      <c r="P32" s="256"/>
      <c r="Q32" s="234"/>
    </row>
    <row r="33" spans="1:18" x14ac:dyDescent="0.2">
      <c r="A33" s="242" t="s">
        <v>118</v>
      </c>
      <c r="B33" s="250">
        <f>-'inversión inicial'!B20</f>
        <v>-299300</v>
      </c>
      <c r="C33" s="239">
        <f>IF(C$5=Inicio!$E$49,+'inversión inicial'!$D$20,0)</f>
        <v>0</v>
      </c>
      <c r="D33" s="297">
        <f>IF(D$5=Inicio!$E$49,+'inversión inicial'!$D$20,0)</f>
        <v>0</v>
      </c>
      <c r="E33" s="239">
        <f>IF(E$5=Inicio!$E$49,+'inversión inicial'!$D$20,0)</f>
        <v>0</v>
      </c>
      <c r="F33" s="297">
        <f>IF(F$5=Inicio!$E$49,+'inversión inicial'!$D$20,0)</f>
        <v>0</v>
      </c>
      <c r="G33" s="239">
        <f>IF(G$5=Inicio!$E$49,+'inversión inicial'!$D$20,0)</f>
        <v>128699</v>
      </c>
      <c r="H33" s="297">
        <f>IF(H$5=Inicio!$E$49,+'inversión inicial'!$D$20,0)</f>
        <v>0</v>
      </c>
      <c r="I33" s="239">
        <f>IF(I$5=Inicio!$E$49,+'inversión inicial'!$D$20,0)</f>
        <v>0</v>
      </c>
      <c r="J33" s="297">
        <f>IF(J$5=Inicio!$E$49,+'inversión inicial'!$D$20,0)</f>
        <v>0</v>
      </c>
      <c r="K33" s="239">
        <f>IF(K$5=Inicio!$E$49,+'inversión inicial'!$D$20,0)</f>
        <v>0</v>
      </c>
      <c r="L33" s="297">
        <f>IF(L$5=Inicio!$E$49,+'inversión inicial'!$D$20,0)</f>
        <v>0</v>
      </c>
      <c r="M33" s="239">
        <f>IF(M$5=Inicio!$E$49,+'inversión inicial'!$D$20,0)</f>
        <v>0</v>
      </c>
      <c r="N33" s="297">
        <f>IF(N$5=Inicio!$E$49,+'inversión inicial'!$D$20,0)</f>
        <v>0</v>
      </c>
      <c r="O33" s="239">
        <f>IF(O$5=Inicio!$E$49,+'inversión inicial'!$D$20,0)</f>
        <v>0</v>
      </c>
      <c r="P33" s="297">
        <f>IF(P$5=Inicio!$E$49,+'inversión inicial'!$D$20,0)</f>
        <v>0</v>
      </c>
      <c r="Q33" s="239">
        <f>IF(Q$5=Inicio!$E$49,+'inversión inicial'!$D$20,0)</f>
        <v>0</v>
      </c>
      <c r="R33" s="1" t="s">
        <v>1</v>
      </c>
    </row>
    <row r="34" spans="1:18" x14ac:dyDescent="0.2">
      <c r="A34" s="242" t="s">
        <v>119</v>
      </c>
      <c r="B34" s="250">
        <f>-'inversión inicial'!B21</f>
        <v>-21500</v>
      </c>
      <c r="C34" s="239">
        <f>IF(C$5=Inicio!$E$49,+'inversión inicial'!$D$21,0)</f>
        <v>0</v>
      </c>
      <c r="D34" s="297">
        <f>IF(D$5=Inicio!$E$49,+'inversión inicial'!$D$21,0)</f>
        <v>0</v>
      </c>
      <c r="E34" s="239">
        <f>IF(E$5=Inicio!$E$49,+'inversión inicial'!$D$21,0)</f>
        <v>0</v>
      </c>
      <c r="F34" s="297">
        <f>IF(F$5=Inicio!$E$49,+'inversión inicial'!$D$21,0)</f>
        <v>0</v>
      </c>
      <c r="G34" s="239">
        <f>IF(G$5=Inicio!$E$49,+'inversión inicial'!$D$21,0)</f>
        <v>645</v>
      </c>
      <c r="H34" s="297">
        <f>IF(H$5=Inicio!$E$49,+'inversión inicial'!$D$21,0)</f>
        <v>0</v>
      </c>
      <c r="I34" s="239">
        <f>IF(I$5=Inicio!$E$49,+'inversión inicial'!$D$21,0)</f>
        <v>0</v>
      </c>
      <c r="J34" s="297">
        <f>IF(J$5=Inicio!$E$49,+'inversión inicial'!$D$21,0)</f>
        <v>0</v>
      </c>
      <c r="K34" s="239">
        <f>IF(K$5=Inicio!$E$49,+'inversión inicial'!$D$21,0)</f>
        <v>0</v>
      </c>
      <c r="L34" s="297">
        <f>IF(L$5=Inicio!$E$49,+'inversión inicial'!$D$21,0)</f>
        <v>0</v>
      </c>
      <c r="M34" s="239">
        <f>IF(M$5=Inicio!$E$49,+'inversión inicial'!$D$21,0)</f>
        <v>0</v>
      </c>
      <c r="N34" s="297">
        <f>IF(N$5=Inicio!$E$49,+'inversión inicial'!$D$21,0)</f>
        <v>0</v>
      </c>
      <c r="O34" s="239">
        <f>IF(O$5=Inicio!$E$49,+'inversión inicial'!$D$21,0)</f>
        <v>0</v>
      </c>
      <c r="P34" s="297">
        <f>IF(P$5=Inicio!$E$49,+'inversión inicial'!$D$21,0)</f>
        <v>0</v>
      </c>
      <c r="Q34" s="239">
        <f>IF(Q$5=Inicio!$E$49,+'inversión inicial'!$D$21,0)</f>
        <v>0</v>
      </c>
    </row>
    <row r="35" spans="1:18" x14ac:dyDescent="0.2">
      <c r="A35" s="242" t="s">
        <v>170</v>
      </c>
      <c r="B35" s="250">
        <f>-'inversión inicial'!B22</f>
        <v>-181635.87354507999</v>
      </c>
      <c r="C35" s="239">
        <f>IF(C$5=Inicio!$E$49,+'inversión inicial'!$D$22,)</f>
        <v>0</v>
      </c>
      <c r="D35" s="297">
        <f>IF(D$5=Inicio!$E$49,+'inversión inicial'!$D$22,)</f>
        <v>0</v>
      </c>
      <c r="E35" s="239">
        <f>IF(E$5=Inicio!$E$49,+'inversión inicial'!$D$22,)</f>
        <v>0</v>
      </c>
      <c r="F35" s="297">
        <f>IF(F$5=Inicio!$E$49,+'inversión inicial'!$D$22,)</f>
        <v>0</v>
      </c>
      <c r="G35" s="239">
        <f>IF(G$5=Inicio!$E$49,+'inversión inicial'!$D$22,)</f>
        <v>96267.012978892395</v>
      </c>
      <c r="H35" s="297">
        <f>IF(H$5=Inicio!$E$49,+'inversión inicial'!$D$22,)</f>
        <v>0</v>
      </c>
      <c r="I35" s="239">
        <f>IF(I$5=Inicio!$E$49,+'inversión inicial'!$D$22,)</f>
        <v>0</v>
      </c>
      <c r="J35" s="297">
        <f>IF(J$5=Inicio!$E$49,+'inversión inicial'!$D$22,)</f>
        <v>0</v>
      </c>
      <c r="K35" s="239">
        <f>IF(K$5=Inicio!$E$49,+'inversión inicial'!$D$22,)</f>
        <v>0</v>
      </c>
      <c r="L35" s="297">
        <f>IF(L$5=Inicio!$E$49,+'inversión inicial'!$D$22,)</f>
        <v>0</v>
      </c>
      <c r="M35" s="239">
        <f>IF(M$5=Inicio!$E$49,+'inversión inicial'!$D$22,)</f>
        <v>0</v>
      </c>
      <c r="N35" s="297">
        <f>IF(N$5=Inicio!$E$49,+'inversión inicial'!$D$22,)</f>
        <v>0</v>
      </c>
      <c r="O35" s="239">
        <f>IF(O$5=Inicio!$E$49,+'inversión inicial'!$D$22,)</f>
        <v>0</v>
      </c>
      <c r="P35" s="297">
        <f>IF(P$5=Inicio!$E$49,+'inversión inicial'!$D$22,)</f>
        <v>0</v>
      </c>
      <c r="Q35" s="239">
        <f>IF(Q$5=Inicio!$E$49,+'inversión inicial'!$D$22,)</f>
        <v>0</v>
      </c>
    </row>
    <row r="36" spans="1:18" x14ac:dyDescent="0.2">
      <c r="A36" s="242" t="s">
        <v>278</v>
      </c>
      <c r="B36" s="250">
        <f>-'inversión inicial'!B23</f>
        <v>0</v>
      </c>
      <c r="C36" s="239">
        <f>IF(C$5=Inicio!$E$49,+'inversión inicial'!$D$23,)</f>
        <v>0</v>
      </c>
      <c r="D36" s="239">
        <f>IF(D$5=Inicio!$E$49,+'inversión inicial'!$D$23,)</f>
        <v>0</v>
      </c>
      <c r="E36" s="239">
        <f>IF(E$5=Inicio!$E$49,+'inversión inicial'!$D$23,)</f>
        <v>0</v>
      </c>
      <c r="F36" s="239">
        <f>IF(F$5=Inicio!$E$49,+'inversión inicial'!$D$23,)</f>
        <v>0</v>
      </c>
      <c r="G36" s="239">
        <f>IF(G$5=Inicio!$E$49,+'inversión inicial'!$D$23,)</f>
        <v>0</v>
      </c>
      <c r="H36" s="239">
        <f>IF(H$5=Inicio!$E$49,+'inversión inicial'!$D$23,)</f>
        <v>0</v>
      </c>
      <c r="I36" s="239">
        <f>IF(I$5=Inicio!$E$49,+'inversión inicial'!$D$23,)</f>
        <v>0</v>
      </c>
      <c r="J36" s="239">
        <f>IF(J$5=Inicio!$E$49,+'inversión inicial'!$D$23,)</f>
        <v>0</v>
      </c>
      <c r="K36" s="239">
        <f>IF(K$5=Inicio!$E$49,+'inversión inicial'!$D$23,)</f>
        <v>0</v>
      </c>
      <c r="L36" s="239">
        <f>IF(L$5=Inicio!$E$49,+'inversión inicial'!$D$23,)</f>
        <v>0</v>
      </c>
      <c r="M36" s="239">
        <f>IF(M$5=Inicio!$E$49,+'inversión inicial'!$D$23,)</f>
        <v>0</v>
      </c>
      <c r="N36" s="239">
        <f>IF(N$5=Inicio!$E$49,+'inversión inicial'!$D$23,)</f>
        <v>0</v>
      </c>
      <c r="O36" s="239">
        <f>IF(O$5=Inicio!$E$49,+'inversión inicial'!$D$23,)</f>
        <v>0</v>
      </c>
      <c r="P36" s="239">
        <f>IF(P$5=Inicio!$E$49,+'inversión inicial'!$D$23,)</f>
        <v>0</v>
      </c>
      <c r="Q36" s="239">
        <f>IF(Q$5=Inicio!$E$49,+'inversión inicial'!$D$23,)</f>
        <v>0</v>
      </c>
    </row>
    <row r="37" spans="1:18" x14ac:dyDescent="0.2">
      <c r="A37" s="242" t="s">
        <v>120</v>
      </c>
      <c r="B37" s="250">
        <f>SUM(B33:B36)+B32</f>
        <v>-351705.11148155597</v>
      </c>
      <c r="C37" s="234"/>
      <c r="D37" s="256"/>
      <c r="E37" s="234"/>
      <c r="F37" s="256"/>
      <c r="G37" s="234">
        <v>0</v>
      </c>
      <c r="H37" s="256"/>
      <c r="I37" s="234"/>
      <c r="J37" s="256"/>
      <c r="K37" s="234"/>
      <c r="L37" s="256"/>
      <c r="M37" s="234"/>
      <c r="N37" s="256"/>
      <c r="O37" s="234"/>
      <c r="P37" s="256"/>
      <c r="Q37" s="234"/>
    </row>
    <row r="38" spans="1:18" x14ac:dyDescent="0.2">
      <c r="A38" s="242" t="s">
        <v>136</v>
      </c>
      <c r="B38" s="250">
        <v>0</v>
      </c>
      <c r="C38" s="239">
        <f>+financiación!C9+financiación!C20+financiación!C31</f>
        <v>26210.676888903716</v>
      </c>
      <c r="D38" s="297">
        <f>+financiación!D9+financiación!D20+financiación!D31</f>
        <v>28045.424271126969</v>
      </c>
      <c r="E38" s="239">
        <f>+financiación!E9+financiación!E20+financiación!E31</f>
        <v>30008.603970105854</v>
      </c>
      <c r="F38" s="297">
        <f>+financiación!F9+financiación!F20+financiación!F31</f>
        <v>32109.20624801327</v>
      </c>
      <c r="G38" s="239">
        <f>+financiación!G9+financiación!G20+financiación!G31</f>
        <v>34356.850685374193</v>
      </c>
      <c r="H38" s="297">
        <f>+financiación!H9+financiación!H20+financiación!H31</f>
        <v>0</v>
      </c>
      <c r="I38" s="239">
        <f>+financiación!I9+financiación!I20+financiación!I31</f>
        <v>0</v>
      </c>
      <c r="J38" s="297">
        <f>+financiación!J9+financiación!J20+financiación!J31</f>
        <v>0</v>
      </c>
      <c r="K38" s="239">
        <f>+financiación!K9+financiación!K20+financiación!K31</f>
        <v>0</v>
      </c>
      <c r="L38" s="297">
        <f>+financiación!L9+financiación!L20+financiación!L31</f>
        <v>0</v>
      </c>
      <c r="M38" s="239">
        <f>+financiación!M9+financiación!M20+financiación!M31</f>
        <v>0</v>
      </c>
      <c r="N38" s="297">
        <f>+financiación!N9+financiación!N20+financiación!N31</f>
        <v>0</v>
      </c>
      <c r="O38" s="239">
        <f>+financiación!O9+financiación!O20+financiación!O31</f>
        <v>0</v>
      </c>
      <c r="P38" s="297">
        <f>+financiación!P9+financiación!P20+financiación!P31</f>
        <v>0</v>
      </c>
      <c r="Q38" s="239">
        <f>+financiación!Q9+financiación!Q20+financiación!Q31</f>
        <v>0</v>
      </c>
      <c r="R38" s="1" t="s">
        <v>1</v>
      </c>
    </row>
    <row r="39" spans="1:18" ht="13.5" thickBot="1" x14ac:dyDescent="0.25">
      <c r="A39" s="242"/>
      <c r="B39" s="250"/>
      <c r="C39" s="251"/>
      <c r="D39" s="299"/>
      <c r="E39" s="251"/>
      <c r="F39" s="297"/>
      <c r="G39" s="251"/>
      <c r="H39" s="297"/>
      <c r="I39" s="251"/>
      <c r="J39" s="297"/>
      <c r="K39" s="251"/>
      <c r="L39" s="297"/>
      <c r="M39" s="251"/>
      <c r="N39" s="297"/>
      <c r="O39" s="251"/>
      <c r="P39" s="297"/>
      <c r="Q39" s="251"/>
    </row>
    <row r="40" spans="1:18" ht="13.5" thickBot="1" x14ac:dyDescent="0.25">
      <c r="A40" s="353" t="s">
        <v>121</v>
      </c>
      <c r="B40" s="253">
        <f>+B37</f>
        <v>-351705.11148155597</v>
      </c>
      <c r="C40" s="253">
        <f>+C29-C38+C33+C34+C35+C36</f>
        <v>138164.96115205612</v>
      </c>
      <c r="D40" s="253">
        <f t="shared" ref="D40:Q40" si="9">+D29-D38+D33+D34+D35+D36</f>
        <v>227570.44167926029</v>
      </c>
      <c r="E40" s="253">
        <f t="shared" si="9"/>
        <v>254915.68105591726</v>
      </c>
      <c r="F40" s="253">
        <f t="shared" si="9"/>
        <v>311396.17813929258</v>
      </c>
      <c r="G40" s="253">
        <f t="shared" si="9"/>
        <v>612518.7067058637</v>
      </c>
      <c r="H40" s="253">
        <f t="shared" si="9"/>
        <v>0</v>
      </c>
      <c r="I40" s="253">
        <f t="shared" si="9"/>
        <v>0</v>
      </c>
      <c r="J40" s="253">
        <f t="shared" si="9"/>
        <v>0</v>
      </c>
      <c r="K40" s="253">
        <f t="shared" si="9"/>
        <v>0</v>
      </c>
      <c r="L40" s="253">
        <f t="shared" si="9"/>
        <v>0</v>
      </c>
      <c r="M40" s="253">
        <f t="shared" si="9"/>
        <v>0</v>
      </c>
      <c r="N40" s="253">
        <f t="shared" si="9"/>
        <v>0</v>
      </c>
      <c r="O40" s="253">
        <f t="shared" si="9"/>
        <v>0</v>
      </c>
      <c r="P40" s="253">
        <f t="shared" si="9"/>
        <v>0</v>
      </c>
      <c r="Q40" s="253">
        <f t="shared" si="9"/>
        <v>0</v>
      </c>
    </row>
    <row r="41" spans="1:18" ht="13.5" thickBot="1" x14ac:dyDescent="0.25">
      <c r="A41" s="541" t="s">
        <v>421</v>
      </c>
      <c r="B41" s="542"/>
      <c r="C41" s="370">
        <f>IF(Inicio!$E$49&gt;=C5,(+C8/C7),0)</f>
        <v>0.71789756232740631</v>
      </c>
      <c r="D41" s="369">
        <f>IF(Inicio!$E$49&gt;=D5,(+D8/D7),0)</f>
        <v>0.69646465730163065</v>
      </c>
      <c r="E41" s="369">
        <f>IF(Inicio!$E$49&gt;=E5,(+E8/E7),0)</f>
        <v>0.68576615090707038</v>
      </c>
      <c r="F41" s="369">
        <f>IF(Inicio!$E$49&gt;=F5,(+F8/F7),0)</f>
        <v>0.67583912038905236</v>
      </c>
      <c r="G41" s="369">
        <f>IF(Inicio!$E$49&gt;=G5,(+G8/G7),0)</f>
        <v>0.66497494710745486</v>
      </c>
      <c r="H41" s="369">
        <f>IF(Inicio!$E$49&gt;=H5,(+H8/H7),0)</f>
        <v>0</v>
      </c>
      <c r="I41" s="369">
        <f>IF(Inicio!$E$49&gt;=I5,(+I8/I7),0)</f>
        <v>0</v>
      </c>
      <c r="J41" s="369">
        <f>IF(Inicio!$E$49&gt;=J5,(+J8/J7),0)</f>
        <v>0</v>
      </c>
      <c r="K41" s="369">
        <f>IF(Inicio!$E$49&gt;=K5,(+K8/K7),0)</f>
        <v>0</v>
      </c>
      <c r="L41" s="369">
        <f>IF(Inicio!$E$49&gt;=L5,(+L8/L7),0)</f>
        <v>0</v>
      </c>
      <c r="M41" s="369">
        <f>IF(Inicio!$E$49&gt;=M5,(+M8/M7),0)</f>
        <v>0</v>
      </c>
      <c r="N41" s="369">
        <f>IF(Inicio!$E$49&gt;=N5,(+N8/N7),0)</f>
        <v>0</v>
      </c>
      <c r="O41" s="369">
        <f>IF(Inicio!$E$49&gt;=O5,(+O8/O7),0)</f>
        <v>0</v>
      </c>
      <c r="P41" s="369">
        <f>IF(Inicio!$E$49&gt;=P5,(+P8/P7),0)</f>
        <v>0</v>
      </c>
      <c r="Q41" s="369">
        <f>IF(Inicio!$E$49&gt;=Q5,(+Q8/Q7),0)</f>
        <v>0</v>
      </c>
    </row>
    <row r="42" spans="1:18" ht="13.5" thickBot="1" x14ac:dyDescent="0.25">
      <c r="A42" s="293" t="s">
        <v>248</v>
      </c>
      <c r="B42" s="294"/>
      <c r="C42" s="371">
        <f>IF(Inicio!$E$49&gt;=C5,((+C9+C10+C11+C12+C15)/(1-(C8/'presupuesto compras y ventas'!B39))),0)</f>
        <v>2057504.1607534688</v>
      </c>
      <c r="D42" s="371">
        <f>IF(Inicio!$E$49&gt;=D5,((+D9+D10+D11+D12+D15)/(1-(D8/'presupuesto compras y ventas'!C39))),0)</f>
        <v>1949185.1013553974</v>
      </c>
      <c r="E42" s="371">
        <f>IF(Inicio!$E$49&gt;=E5,((+E9+E10+E11+E12+E15)/(1-(E8/'presupuesto compras y ventas'!D39))),0)</f>
        <v>1919157.1022497918</v>
      </c>
      <c r="F42" s="371">
        <f>IF(Inicio!$E$49&gt;=F5,((+F9+F10+F11+F12+F15)/(1-(F8/'presupuesto compras y ventas'!E39))),0)</f>
        <v>1871536.0573905883</v>
      </c>
      <c r="G42" s="371">
        <f>IF(Inicio!$E$49&gt;=G5,((+G9+G10+G11+G12+G15)/(1-(G8/'presupuesto compras y ventas'!F39))),0)</f>
        <v>1846098.5522174996</v>
      </c>
      <c r="H42" s="371">
        <f>IF(Inicio!$E$49&gt;=H5,((+H9+H10+H11+H12+H15)/(1-(H8/'presupuesto compras y ventas'!G39))),0)</f>
        <v>0</v>
      </c>
      <c r="I42" s="371">
        <f>IF(Inicio!$E$49&gt;=I5,((+I9+I10+I11+I12+I15)/(1-(I8/'presupuesto compras y ventas'!H39))),0)</f>
        <v>0</v>
      </c>
      <c r="J42" s="371">
        <f>IF(Inicio!$E$49&gt;=J5,((+J9+J10+J11+J12+J15)/(1-(J8/'presupuesto compras y ventas'!I39))),0)</f>
        <v>0</v>
      </c>
      <c r="K42" s="371">
        <f>IF(Inicio!$E$49&gt;=K5,((+K9+K10+K11+K12+K15)/(1-(K8/'presupuesto compras y ventas'!J39))),0)</f>
        <v>0</v>
      </c>
      <c r="L42" s="371">
        <f>IF(Inicio!$E$49&gt;=L5,((+L9+L10+L11+L12+L15)/(1-(L8/'presupuesto compras y ventas'!K39))),0)</f>
        <v>0</v>
      </c>
      <c r="M42" s="371">
        <f>IF(Inicio!$E$49&gt;=M5,((+M9+M10+M11+M12+M15)/(1-(M8/'presupuesto compras y ventas'!L39))),0)</f>
        <v>0</v>
      </c>
      <c r="N42" s="371">
        <f>IF(Inicio!$E$49&gt;=N5,((+N9+N10+N11+N12+N15)/(1-(N8/'presupuesto compras y ventas'!M39))),0)</f>
        <v>0</v>
      </c>
      <c r="O42" s="371">
        <f>IF(Inicio!$E$49&gt;=O5,((+O9+O10+O11+O12+O15)/(1-(O8/'presupuesto compras y ventas'!N39))),0)</f>
        <v>0</v>
      </c>
      <c r="P42" s="371">
        <f>IF(Inicio!$E$49&gt;=P5,((+P9+P10+P11+P12+P15)/(1-(P8/'presupuesto compras y ventas'!O39))),0)</f>
        <v>0</v>
      </c>
      <c r="Q42" s="371">
        <f>IF(Inicio!$E$49&gt;=Q5,((+Q9+Q10+Q11+Q12+Q15)/(1-(Q8/'presupuesto compras y ventas'!P39))),0)</f>
        <v>0</v>
      </c>
    </row>
    <row r="43" spans="1:18" ht="13.5" thickBot="1" x14ac:dyDescent="0.25">
      <c r="A43" s="293" t="s">
        <v>422</v>
      </c>
      <c r="B43" s="294"/>
      <c r="C43" s="540">
        <f>+Inicio!F58</f>
        <v>0.32</v>
      </c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</row>
    <row r="44" spans="1:18" ht="13.5" thickBot="1" x14ac:dyDescent="0.25">
      <c r="A44" s="293" t="s">
        <v>423</v>
      </c>
      <c r="B44" s="294"/>
      <c r="C44" s="371">
        <f>IF(Inicio!$E$49&gt;=C5,((+C9+C10+C11+C12+C15)/($C$43)),0)</f>
        <v>1813834.18521893</v>
      </c>
      <c r="D44" s="371">
        <f>IF(Inicio!$E$49&gt;=D5,((+D9+D10+D11+D12+D15)/($C$43)),0)</f>
        <v>1848895.5241327072</v>
      </c>
      <c r="E44" s="371">
        <f>IF(Inicio!$E$49&gt;=E5,((+E9+E10+E11+E12+E15)/($C$43)),0)</f>
        <v>1884575.3851687037</v>
      </c>
      <c r="F44" s="371">
        <f>IF(Inicio!$E$49&gt;=F5,((+F9+F10+F11+F12+F15)/($C$43)),0)</f>
        <v>1895871.1705854314</v>
      </c>
      <c r="G44" s="371">
        <f>IF(Inicio!$E$49&gt;=G5,((+G9+G10+G11+G12+G15)/($C$43)),0)</f>
        <v>1932778.9534422464</v>
      </c>
      <c r="H44" s="371">
        <f>IF(Inicio!$E$49&gt;=H5,((+H9+H10+H11+H12+H15)/($C$43)),0)</f>
        <v>0</v>
      </c>
      <c r="I44" s="371">
        <f>IF(Inicio!$E$49&gt;=I5,((+I9+I10+I11+I12+I15)/($C$43)),0)</f>
        <v>0</v>
      </c>
      <c r="J44" s="371">
        <f>IF(Inicio!$E$49&gt;=J5,((+J9+J10+J11+J12+J15)/($C$43)),0)</f>
        <v>0</v>
      </c>
      <c r="K44" s="371">
        <f>IF(Inicio!$E$49&gt;=K5,((+K9+K10+K11+K12+K15)/($C$43)),0)</f>
        <v>0</v>
      </c>
      <c r="L44" s="371">
        <f>IF(Inicio!$E$49&gt;=L5,((+L9+L10+L11+L12+L15)/($C$43)),0)</f>
        <v>0</v>
      </c>
      <c r="M44" s="371">
        <f>IF(Inicio!$E$49&gt;=M5,((+M9+M10+M11+M12+M15)/($C$43)),0)</f>
        <v>0</v>
      </c>
      <c r="N44" s="371">
        <f>IF(Inicio!$E$49&gt;=N5,((+N9+N10+N11+N12+N15)/($C$43)),0)</f>
        <v>0</v>
      </c>
      <c r="O44" s="371">
        <f>IF(Inicio!$E$49&gt;=O5,((+O9+O10+O11+O12+O15)/($C$43)),0)</f>
        <v>0</v>
      </c>
      <c r="P44" s="371">
        <f>IF(Inicio!$E$49&gt;=P5,((+P9+P10+P11+P12+P15)/($C$43)),0)</f>
        <v>0</v>
      </c>
      <c r="Q44" s="371">
        <f>IF(Inicio!$E$49&gt;=Q5,((+Q9+Q10+Q11+Q12+Q15)/($C$43)),0)</f>
        <v>0</v>
      </c>
    </row>
    <row r="45" spans="1:18" s="26" customFormat="1" ht="13.5" thickBot="1" x14ac:dyDescent="0.25">
      <c r="A45" s="550"/>
      <c r="B45" s="551"/>
      <c r="C45" s="552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</row>
    <row r="46" spans="1:18" ht="13.5" thickBot="1" x14ac:dyDescent="0.25">
      <c r="A46" s="682" t="s">
        <v>387</v>
      </c>
      <c r="B46" s="683"/>
      <c r="C46" s="530" t="s">
        <v>246</v>
      </c>
      <c r="D46" s="365"/>
      <c r="E46" s="365"/>
      <c r="F46" s="365"/>
      <c r="G46" s="365"/>
      <c r="H46" s="297"/>
      <c r="I46" s="256"/>
      <c r="J46" s="230"/>
      <c r="K46" s="230"/>
      <c r="L46" s="230"/>
      <c r="M46" s="230"/>
      <c r="N46" s="230"/>
      <c r="O46" s="230"/>
      <c r="P46" s="230"/>
      <c r="Q46" s="230"/>
    </row>
    <row r="47" spans="1:18" x14ac:dyDescent="0.2">
      <c r="A47" s="242" t="s">
        <v>388</v>
      </c>
      <c r="B47" s="528"/>
      <c r="C47" s="255">
        <f>IRR(B40:Q40,C49)</f>
        <v>0.58605445146374624</v>
      </c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</row>
    <row r="48" spans="1:18" x14ac:dyDescent="0.2">
      <c r="A48" s="242" t="s">
        <v>389</v>
      </c>
      <c r="B48" s="528"/>
      <c r="C48" s="372">
        <f>+B40+C40/(1+C49)+D40/POWER(1+C49,2)+E40/POWER(1+C49,3)+F40/POWER(1+C49,4)+G40/POWER(1+C49,5)+H40/POWER(1+C49,6)+I40/POWER(1+C49,7)+J40/POWER(1+C49,8)+K40/POWER(1+C49,9)+L40/POWER(1+C49,10)+M40/POWER(1+C49,11)+N40/POWER(1+C49,12)+O40/POWER(1+C49,13)+P40/POWER(1+C49,14)+Q40/POWER(1+C49,15)</f>
        <v>382069.17448765354</v>
      </c>
      <c r="E48" s="297" t="s">
        <v>1</v>
      </c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</row>
    <row r="49" spans="1:17" x14ac:dyDescent="0.2">
      <c r="A49" s="242" t="s">
        <v>390</v>
      </c>
      <c r="B49" s="528"/>
      <c r="C49" s="373">
        <f>Inicio!E48</f>
        <v>0.24</v>
      </c>
      <c r="E49" s="301" t="s">
        <v>1</v>
      </c>
      <c r="F49" s="301" t="s">
        <v>1</v>
      </c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</row>
    <row r="50" spans="1:17" x14ac:dyDescent="0.2">
      <c r="A50" s="242" t="s">
        <v>392</v>
      </c>
      <c r="B50" s="528"/>
      <c r="C50" s="374">
        <f>+B56/-B57</f>
        <v>2.0863338689568351</v>
      </c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</row>
    <row r="51" spans="1:17" ht="13.5" thickBot="1" x14ac:dyDescent="0.25">
      <c r="A51" s="263" t="s">
        <v>391</v>
      </c>
      <c r="B51" s="529"/>
      <c r="C51" s="375">
        <f>(+POWER(B58/-B57,1/B59))-1</f>
        <v>0.43647623959665305</v>
      </c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</row>
    <row r="52" spans="1:17" x14ac:dyDescent="0.2">
      <c r="A52" s="153"/>
      <c r="B52" s="153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</row>
    <row r="53" spans="1:17" ht="13.5" thickBot="1" x14ac:dyDescent="0.25">
      <c r="A53" s="357" t="s">
        <v>69</v>
      </c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</row>
    <row r="54" spans="1:17" ht="13.5" thickBot="1" x14ac:dyDescent="0.25">
      <c r="A54" s="357" t="s">
        <v>70</v>
      </c>
      <c r="B54" s="376">
        <f>IF(B40&gt;=0,B40,0)</f>
        <v>0</v>
      </c>
      <c r="C54" s="361">
        <f t="shared" ref="C54:Q54" si="10">IF(C40&gt;=0,C40,0)</f>
        <v>138164.96115205612</v>
      </c>
      <c r="D54" s="361">
        <f t="shared" si="10"/>
        <v>227570.44167926029</v>
      </c>
      <c r="E54" s="361">
        <f t="shared" si="10"/>
        <v>254915.68105591726</v>
      </c>
      <c r="F54" s="361">
        <f t="shared" si="10"/>
        <v>311396.17813929258</v>
      </c>
      <c r="G54" s="361">
        <f t="shared" si="10"/>
        <v>612518.7067058637</v>
      </c>
      <c r="H54" s="361">
        <f t="shared" si="10"/>
        <v>0</v>
      </c>
      <c r="I54" s="361">
        <f t="shared" si="10"/>
        <v>0</v>
      </c>
      <c r="J54" s="361">
        <f t="shared" si="10"/>
        <v>0</v>
      </c>
      <c r="K54" s="361">
        <f t="shared" si="10"/>
        <v>0</v>
      </c>
      <c r="L54" s="361">
        <f t="shared" si="10"/>
        <v>0</v>
      </c>
      <c r="M54" s="361">
        <f t="shared" si="10"/>
        <v>0</v>
      </c>
      <c r="N54" s="361">
        <f t="shared" si="10"/>
        <v>0</v>
      </c>
      <c r="O54" s="361">
        <f t="shared" si="10"/>
        <v>0</v>
      </c>
      <c r="P54" s="361">
        <f t="shared" si="10"/>
        <v>0</v>
      </c>
      <c r="Q54" s="354">
        <f t="shared" si="10"/>
        <v>0</v>
      </c>
    </row>
    <row r="55" spans="1:17" ht="13.5" thickBot="1" x14ac:dyDescent="0.25">
      <c r="A55" s="357" t="s">
        <v>73</v>
      </c>
      <c r="B55" s="376">
        <f>IF(B40&lt;0,B40,0)</f>
        <v>-351705.11148155597</v>
      </c>
      <c r="C55" s="361">
        <f t="shared" ref="C55:Q55" si="11">IF(C40&lt;0,C40,0)</f>
        <v>0</v>
      </c>
      <c r="D55" s="361">
        <f t="shared" si="11"/>
        <v>0</v>
      </c>
      <c r="E55" s="361">
        <f t="shared" si="11"/>
        <v>0</v>
      </c>
      <c r="F55" s="361">
        <f t="shared" si="11"/>
        <v>0</v>
      </c>
      <c r="G55" s="361">
        <f t="shared" si="11"/>
        <v>0</v>
      </c>
      <c r="H55" s="361">
        <f t="shared" si="11"/>
        <v>0</v>
      </c>
      <c r="I55" s="361">
        <f t="shared" si="11"/>
        <v>0</v>
      </c>
      <c r="J55" s="361">
        <f t="shared" si="11"/>
        <v>0</v>
      </c>
      <c r="K55" s="361">
        <f t="shared" si="11"/>
        <v>0</v>
      </c>
      <c r="L55" s="361">
        <f t="shared" si="11"/>
        <v>0</v>
      </c>
      <c r="M55" s="361">
        <f t="shared" si="11"/>
        <v>0</v>
      </c>
      <c r="N55" s="361">
        <f t="shared" si="11"/>
        <v>0</v>
      </c>
      <c r="O55" s="361">
        <f t="shared" si="11"/>
        <v>0</v>
      </c>
      <c r="P55" s="361">
        <f t="shared" si="11"/>
        <v>0</v>
      </c>
      <c r="Q55" s="354">
        <f t="shared" si="11"/>
        <v>0</v>
      </c>
    </row>
    <row r="56" spans="1:17" x14ac:dyDescent="0.2">
      <c r="A56" s="357" t="s">
        <v>71</v>
      </c>
      <c r="B56" s="377">
        <f>+B54+C54/(1+C49)+D54/POWER(1+C49,2)+E54/POWER(1+C49,3)+F54/POWER(1+C49,4)+G54/POWER(1+C49,5)+H54/POWER(1+C49,6)+I54/POWER(1+C49,7)+J54/POWER(1+C49,8)+K54/POWER(1+C49,9)+L54/POWER(1+C49,10)+M54/POWER(1+C49,11)+N54/POWER(1+C49,12)+O54/POWER(1+C49,13)+P54/POWER(1+C49,14)+Q54/POWER(1+C49,15)</f>
        <v>733774.28596920962</v>
      </c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</row>
    <row r="57" spans="1:17" x14ac:dyDescent="0.2">
      <c r="A57" s="357" t="s">
        <v>72</v>
      </c>
      <c r="B57" s="377">
        <f>+B55+C55/(1+C49)+D55/POWER(1+C49,2)+E55/POWER(1+C49,3)+F55/POWER(1+C49,4)+G55/POWER(1+C49,5)+H55/POWER(1+C49,6)+I55/POWER(1+C49,7)+J55/POWER(1+C49,8)+K55/POWER(1+C49,9)+L55/POWER(1+C49,10)+M55/POWER(1+C49,11)+N55/POWER(1+C49,12)+O55/POWER(1+C49,13)+P55/POWER(1+C49,14)+Q55/POWER(1+C49,15)</f>
        <v>-351705.11148155597</v>
      </c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</row>
    <row r="58" spans="1:17" x14ac:dyDescent="0.2">
      <c r="A58" s="357" t="s">
        <v>75</v>
      </c>
      <c r="B58" s="377">
        <f>+B54*POWER(1+C49,(B59-0))+C54*POWER(1+C49,(B59-1))+D54*POWER(1+C49,(B59-2))+E54*POWER(1+C49,(B59-3))+F54*POWER(1+C49,(B59-4))+G54*POWER(1+C49,(B59-5))+H54*POWER(1+C49,(B59-6))+I54*POWER(1+C49,(B59-7))+J54*POWER(1+C49,(B59-8))+K54*POWER(1+C49,(B59-9))+L54*POWER(1+C49,(B59-10))+M54*POWER(1+C49,(B59-11))+N54*POWER(1+C49,(B59-12))+O54*POWER(1+C49,(B59-13))+P54*POWER(1+C49,(B59-14))+Q54</f>
        <v>2151151.0868919995</v>
      </c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</row>
    <row r="59" spans="1:17" ht="13.5" thickBot="1" x14ac:dyDescent="0.25">
      <c r="A59" s="357" t="s">
        <v>76</v>
      </c>
      <c r="B59" s="378">
        <f>Inicio!E49</f>
        <v>5</v>
      </c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</row>
    <row r="60" spans="1:17" x14ac:dyDescent="0.2">
      <c r="A60" s="230"/>
      <c r="B60" s="230"/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1:17" x14ac:dyDescent="0.2">
      <c r="A61" s="230"/>
      <c r="B61" s="230"/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</row>
    <row r="62" spans="1:17" x14ac:dyDescent="0.2">
      <c r="A62" s="230"/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</row>
    <row r="63" spans="1:17" x14ac:dyDescent="0.2">
      <c r="A63" s="230"/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</row>
    <row r="64" spans="1:17" x14ac:dyDescent="0.2">
      <c r="A64" s="230"/>
      <c r="B64" s="230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</row>
    <row r="65" spans="1:17" x14ac:dyDescent="0.2">
      <c r="A65" s="230"/>
      <c r="B65" s="230"/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</row>
    <row r="66" spans="1:17" x14ac:dyDescent="0.2">
      <c r="A66" s="230"/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1:17" x14ac:dyDescent="0.2">
      <c r="A67" s="230"/>
      <c r="B67" s="230"/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</row>
    <row r="68" spans="1:17" x14ac:dyDescent="0.2">
      <c r="A68" s="230"/>
      <c r="B68" s="230"/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</row>
    <row r="69" spans="1:17" x14ac:dyDescent="0.2">
      <c r="A69" s="230"/>
      <c r="B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</row>
    <row r="70" spans="1:17" x14ac:dyDescent="0.2">
      <c r="A70" s="230"/>
      <c r="B70" s="230"/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</row>
    <row r="71" spans="1:17" x14ac:dyDescent="0.2">
      <c r="A71" s="230"/>
      <c r="B71" s="230"/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</row>
    <row r="72" spans="1:17" x14ac:dyDescent="0.2">
      <c r="A72" s="230"/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</row>
    <row r="73" spans="1:17" x14ac:dyDescent="0.2">
      <c r="A73" s="230"/>
      <c r="B73" s="230"/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</row>
    <row r="74" spans="1:17" x14ac:dyDescent="0.2">
      <c r="A74" s="230"/>
      <c r="B74" s="230"/>
      <c r="C74" s="230"/>
      <c r="D74" s="230"/>
      <c r="E74" s="230"/>
      <c r="F74" s="230"/>
      <c r="G74" s="230"/>
      <c r="H74" s="230"/>
      <c r="I74" s="230"/>
      <c r="J74" s="230"/>
      <c r="K74" s="230"/>
      <c r="L74" s="230"/>
      <c r="M74" s="230"/>
      <c r="N74" s="230"/>
      <c r="O74" s="230"/>
      <c r="P74" s="230"/>
      <c r="Q74" s="230"/>
    </row>
    <row r="75" spans="1:17" x14ac:dyDescent="0.2">
      <c r="A75" s="230"/>
      <c r="B75" s="230"/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</row>
    <row r="76" spans="1:17" x14ac:dyDescent="0.2">
      <c r="A76" s="230"/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</row>
    <row r="77" spans="1:17" x14ac:dyDescent="0.2">
      <c r="A77" s="230"/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</row>
    <row r="78" spans="1:17" x14ac:dyDescent="0.2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</row>
    <row r="79" spans="1:17" x14ac:dyDescent="0.2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</row>
    <row r="80" spans="1:17" x14ac:dyDescent="0.2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</row>
    <row r="81" spans="1:17" x14ac:dyDescent="0.2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</row>
    <row r="82" spans="1:17" x14ac:dyDescent="0.2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</row>
    <row r="83" spans="1:17" x14ac:dyDescent="0.2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</row>
    <row r="84" spans="1:17" x14ac:dyDescent="0.2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</row>
    <row r="85" spans="1:17" x14ac:dyDescent="0.2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</row>
  </sheetData>
  <sheetProtection password="F88E" sheet="1" formatColumns="0"/>
  <customSheetViews>
    <customSheetView guid="{4BF10618-D357-11D5-9338-EFF21189730A}" showGridLines="0" outlineSymbols="0" showRuler="0" topLeftCell="A36">
      <selection activeCell="B46" sqref="B46"/>
      <pageMargins left="0.59055118110236227" right="0.51181102362204722" top="0.98425196850393704" bottom="0.98425196850393704" header="0" footer="0"/>
      <printOptions horizontalCentered="1"/>
      <pageSetup scale="55" orientation="landscape" horizontalDpi="300" verticalDpi="300" r:id="rId1"/>
      <headerFooter alignWithMargins="0"/>
    </customSheetView>
  </customSheetViews>
  <mergeCells count="5">
    <mergeCell ref="A46:B46"/>
    <mergeCell ref="A1:G1"/>
    <mergeCell ref="A2:G2"/>
    <mergeCell ref="A3:G3"/>
    <mergeCell ref="A4:G4"/>
  </mergeCells>
  <phoneticPr fontId="11" type="noConversion"/>
  <printOptions horizontalCentered="1"/>
  <pageMargins left="0.19685039370078741" right="0.11811023622047245" top="0.98425196850393704" bottom="0.98425196850393704" header="0" footer="0"/>
  <pageSetup scale="55" orientation="landscape" horizontalDpi="300" verticalDpi="30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R102"/>
  <sheetViews>
    <sheetView showGridLines="0" showOutlineSymbols="0" topLeftCell="A23" zoomScaleNormal="100" workbookViewId="0">
      <selection activeCell="A2" sqref="A2:G37"/>
    </sheetView>
  </sheetViews>
  <sheetFormatPr baseColWidth="10" defaultRowHeight="12.75" x14ac:dyDescent="0.2"/>
  <cols>
    <col min="1" max="1" width="22.85546875" style="1" customWidth="1"/>
    <col min="2" max="17" width="12.7109375" style="1" customWidth="1"/>
    <col min="18" max="16384" width="11.42578125" style="1"/>
  </cols>
  <sheetData>
    <row r="1" spans="1:18" ht="18" x14ac:dyDescent="0.25">
      <c r="A1" s="662" t="str">
        <f>'análisis inversionista'!A1:G1</f>
        <v>PREFACTIBILIDAD PARA LA CREACIÓN DE UN PRODUCTO; PARA LA FABRICACION DE BLOQUE CON COMPONENTE DE MATERIAL PET</v>
      </c>
      <c r="B1" s="662"/>
      <c r="C1" s="662"/>
      <c r="D1" s="662"/>
      <c r="E1" s="662"/>
      <c r="F1" s="662"/>
      <c r="G1" s="662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8" x14ac:dyDescent="0.2">
      <c r="A2" s="666" t="s">
        <v>393</v>
      </c>
      <c r="B2" s="666"/>
      <c r="C2" s="666"/>
      <c r="D2" s="666"/>
      <c r="E2" s="666"/>
      <c r="F2" s="666"/>
      <c r="G2" s="666"/>
      <c r="H2" s="245"/>
      <c r="I2" s="245"/>
      <c r="J2" s="245"/>
      <c r="K2" s="245"/>
      <c r="L2" s="245"/>
      <c r="M2" s="245"/>
      <c r="N2" s="245"/>
      <c r="O2" s="245"/>
      <c r="P2" s="245"/>
      <c r="Q2" s="245"/>
    </row>
    <row r="3" spans="1:18" x14ac:dyDescent="0.2">
      <c r="A3" s="667" t="str">
        <f>IF(Inicio!$E$51="Años","En Años","En Meses")</f>
        <v>En Años</v>
      </c>
      <c r="B3" s="667"/>
      <c r="C3" s="667"/>
      <c r="D3" s="667"/>
      <c r="E3" s="667"/>
      <c r="F3" s="667"/>
      <c r="G3" s="667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"/>
    </row>
    <row r="4" spans="1:18" ht="13.5" thickBot="1" x14ac:dyDescent="0.25">
      <c r="A4" s="668" t="s">
        <v>276</v>
      </c>
      <c r="B4" s="668"/>
      <c r="C4" s="668"/>
      <c r="D4" s="668"/>
      <c r="E4" s="668"/>
      <c r="F4" s="668"/>
      <c r="G4" s="668"/>
      <c r="H4" s="248"/>
      <c r="I4" s="248"/>
      <c r="J4" s="248"/>
      <c r="K4" s="248"/>
      <c r="L4" s="248"/>
      <c r="M4" s="248"/>
      <c r="N4" s="248"/>
      <c r="O4" s="248"/>
      <c r="P4" s="248"/>
      <c r="Q4" s="248"/>
    </row>
    <row r="5" spans="1:18" ht="13.5" thickBot="1" x14ac:dyDescent="0.25">
      <c r="A5" s="240" t="s">
        <v>4</v>
      </c>
      <c r="B5" s="249">
        <v>0</v>
      </c>
      <c r="C5" s="315">
        <v>1</v>
      </c>
      <c r="D5" s="249">
        <v>2</v>
      </c>
      <c r="E5" s="315">
        <v>3</v>
      </c>
      <c r="F5" s="249">
        <v>4</v>
      </c>
      <c r="G5" s="315">
        <v>5</v>
      </c>
      <c r="H5" s="249">
        <v>6</v>
      </c>
      <c r="I5" s="315">
        <v>7</v>
      </c>
      <c r="J5" s="249">
        <v>8</v>
      </c>
      <c r="K5" s="315">
        <v>9</v>
      </c>
      <c r="L5" s="249">
        <v>10</v>
      </c>
      <c r="M5" s="315">
        <v>11</v>
      </c>
      <c r="N5" s="249">
        <v>12</v>
      </c>
      <c r="O5" s="315">
        <v>13</v>
      </c>
      <c r="P5" s="249">
        <v>14</v>
      </c>
      <c r="Q5" s="315">
        <v>15</v>
      </c>
    </row>
    <row r="6" spans="1:18" x14ac:dyDescent="0.2">
      <c r="A6" s="242"/>
      <c r="B6" s="234"/>
      <c r="C6" s="235"/>
      <c r="D6" s="234"/>
      <c r="E6" s="256"/>
      <c r="F6" s="234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</row>
    <row r="7" spans="1:18" x14ac:dyDescent="0.2">
      <c r="A7" s="242" t="s">
        <v>7</v>
      </c>
      <c r="B7" s="234"/>
      <c r="C7" s="313">
        <f>+'Estado de Resultado '!B9</f>
        <v>2433692.7999999998</v>
      </c>
      <c r="D7" s="313">
        <f>+'Estado de Resultado '!C9</f>
        <v>2770891.1999999997</v>
      </c>
      <c r="E7" s="313">
        <f>+'Estado de Resultado '!D9</f>
        <v>3006416.9519999996</v>
      </c>
      <c r="F7" s="313">
        <f>+'Estado de Resultado '!E9</f>
        <v>3258568.0511999996</v>
      </c>
      <c r="G7" s="313">
        <f>+'Estado de Resultado '!F9</f>
        <v>3564058.8059999994</v>
      </c>
      <c r="H7" s="313">
        <f>+'Estado de Resultado '!G9</f>
        <v>0</v>
      </c>
      <c r="I7" s="313">
        <f>+'Estado de Resultado '!H9</f>
        <v>0</v>
      </c>
      <c r="J7" s="313">
        <f>+'Estado de Resultado '!I9</f>
        <v>0</v>
      </c>
      <c r="K7" s="313">
        <f>+'Estado de Resultado '!J9</f>
        <v>0</v>
      </c>
      <c r="L7" s="313">
        <f>+'Estado de Resultado '!K9</f>
        <v>0</v>
      </c>
      <c r="M7" s="313">
        <f>+'Estado de Resultado '!L9</f>
        <v>0</v>
      </c>
      <c r="N7" s="313">
        <f>+'Estado de Resultado '!M9</f>
        <v>0</v>
      </c>
      <c r="O7" s="313">
        <f>+'Estado de Resultado '!N9</f>
        <v>0</v>
      </c>
      <c r="P7" s="313">
        <f>+'Estado de Resultado '!O9</f>
        <v>0</v>
      </c>
      <c r="Q7" s="313">
        <f>+'Estado de Resultado '!P9</f>
        <v>0</v>
      </c>
    </row>
    <row r="8" spans="1:18" x14ac:dyDescent="0.2">
      <c r="A8" s="242" t="s">
        <v>137</v>
      </c>
      <c r="B8" s="234"/>
      <c r="C8" s="313">
        <f>+'presupuesto compras y ventas'!B9</f>
        <v>1747142.1285737599</v>
      </c>
      <c r="D8" s="313">
        <f>+'presupuesto compras y ventas'!C9</f>
        <v>1929827.7900281039</v>
      </c>
      <c r="E8" s="313">
        <f>+'presupuesto compras y ventas'!D9</f>
        <v>2061698.9811948063</v>
      </c>
      <c r="F8" s="313">
        <f>+'presupuesto compras y ventas'!E9</f>
        <v>2202267.7654508762</v>
      </c>
      <c r="G8" s="313">
        <f>+'presupuesto compras y ventas'!F9</f>
        <v>2370009.8160077082</v>
      </c>
      <c r="H8" s="313">
        <f>+'presupuesto compras y ventas'!G9</f>
        <v>0</v>
      </c>
      <c r="I8" s="313">
        <f>+'presupuesto compras y ventas'!H9</f>
        <v>0</v>
      </c>
      <c r="J8" s="313">
        <f>+'presupuesto compras y ventas'!I9</f>
        <v>0</v>
      </c>
      <c r="K8" s="313">
        <f>+'presupuesto compras y ventas'!J9</f>
        <v>0</v>
      </c>
      <c r="L8" s="313">
        <f>+'presupuesto compras y ventas'!K9</f>
        <v>0</v>
      </c>
      <c r="M8" s="313">
        <f>+'presupuesto compras y ventas'!L9</f>
        <v>0</v>
      </c>
      <c r="N8" s="313">
        <f>+'presupuesto compras y ventas'!M9</f>
        <v>0</v>
      </c>
      <c r="O8" s="313">
        <f>+'presupuesto compras y ventas'!N9</f>
        <v>0</v>
      </c>
      <c r="P8" s="313">
        <f>+'presupuesto compras y ventas'!O9</f>
        <v>0</v>
      </c>
      <c r="Q8" s="313">
        <f>+'presupuesto compras y ventas'!P9</f>
        <v>0</v>
      </c>
    </row>
    <row r="9" spans="1:18" x14ac:dyDescent="0.2">
      <c r="A9" s="242" t="s">
        <v>111</v>
      </c>
      <c r="B9" s="234"/>
      <c r="C9" s="313">
        <f>+'Estado de Resultado '!B19+'Estado de Resultado '!B30</f>
        <v>311575.03338528005</v>
      </c>
      <c r="D9" s="313">
        <f>+'Estado de Resultado '!C19+'Estado de Resultado '!C30</f>
        <v>319364.40921991202</v>
      </c>
      <c r="E9" s="313">
        <f>+'Estado de Resultado '!D19+'Estado de Resultado '!D30</f>
        <v>327348.5194504098</v>
      </c>
      <c r="F9" s="313">
        <f>+'Estado de Resultado '!E19+'Estado de Resultado '!E30</f>
        <v>335532.23243667011</v>
      </c>
      <c r="G9" s="313">
        <f>+'Estado de Resultado '!F19+'Estado de Resultado '!F30</f>
        <v>343920.53824758681</v>
      </c>
      <c r="H9" s="313">
        <f>+'Estado de Resultado '!G19+'Estado de Resultado '!G30</f>
        <v>0</v>
      </c>
      <c r="I9" s="313">
        <f>+'Estado de Resultado '!H19+'Estado de Resultado '!H30</f>
        <v>0</v>
      </c>
      <c r="J9" s="313">
        <f>+'Estado de Resultado '!I19+'Estado de Resultado '!I30</f>
        <v>0</v>
      </c>
      <c r="K9" s="313">
        <f>+'Estado de Resultado '!J19+'Estado de Resultado '!J30</f>
        <v>0</v>
      </c>
      <c r="L9" s="313">
        <f>+'Estado de Resultado '!K19+'Estado de Resultado '!K30</f>
        <v>0</v>
      </c>
      <c r="M9" s="313">
        <f>+'Estado de Resultado '!L19+'Estado de Resultado '!L30</f>
        <v>0</v>
      </c>
      <c r="N9" s="313">
        <f>+'Estado de Resultado '!M19+'Estado de Resultado '!M30</f>
        <v>0</v>
      </c>
      <c r="O9" s="313">
        <f>+'Estado de Resultado '!N19+'Estado de Resultado '!N30</f>
        <v>0</v>
      </c>
      <c r="P9" s="313">
        <f>+'Estado de Resultado '!O19+'Estado de Resultado '!O30</f>
        <v>0</v>
      </c>
      <c r="Q9" s="313">
        <f>+'Estado de Resultado '!P19+'Estado de Resultado '!P30</f>
        <v>0</v>
      </c>
    </row>
    <row r="10" spans="1:18" x14ac:dyDescent="0.2">
      <c r="A10" s="242" t="s">
        <v>129</v>
      </c>
      <c r="B10" s="234"/>
      <c r="C10" s="313">
        <f>+'Estado de Resultado '!B22</f>
        <v>44530</v>
      </c>
      <c r="D10" s="313">
        <f>+'Estado de Resultado '!C22</f>
        <v>44530</v>
      </c>
      <c r="E10" s="313">
        <f>+'Estado de Resultado '!D22</f>
        <v>44530</v>
      </c>
      <c r="F10" s="313">
        <f>+'Estado de Resultado '!E22</f>
        <v>36530</v>
      </c>
      <c r="G10" s="313">
        <f>+'Estado de Resultado '!F22</f>
        <v>36530</v>
      </c>
      <c r="H10" s="313">
        <f>+'Estado de Resultado '!G22</f>
        <v>0</v>
      </c>
      <c r="I10" s="313">
        <f>+'Estado de Resultado '!H22</f>
        <v>0</v>
      </c>
      <c r="J10" s="313">
        <f>+'Estado de Resultado '!I22</f>
        <v>0</v>
      </c>
      <c r="K10" s="313">
        <f>+'Estado de Resultado '!J22</f>
        <v>0</v>
      </c>
      <c r="L10" s="313">
        <f>+'Estado de Resultado '!K22</f>
        <v>0</v>
      </c>
      <c r="M10" s="313">
        <f>+'Estado de Resultado '!L22</f>
        <v>0</v>
      </c>
      <c r="N10" s="313">
        <f>+'Estado de Resultado '!M22</f>
        <v>0</v>
      </c>
      <c r="O10" s="313">
        <f>+'Estado de Resultado '!N22</f>
        <v>0</v>
      </c>
      <c r="P10" s="313">
        <f>+'Estado de Resultado '!O22</f>
        <v>0</v>
      </c>
      <c r="Q10" s="313">
        <f>+'Estado de Resultado '!P22</f>
        <v>0</v>
      </c>
    </row>
    <row r="11" spans="1:18" x14ac:dyDescent="0.2">
      <c r="A11" s="242" t="s">
        <v>130</v>
      </c>
      <c r="B11" s="234"/>
      <c r="C11" s="313">
        <f>+'Estado de Resultado '!B23</f>
        <v>4300</v>
      </c>
      <c r="D11" s="313">
        <f>+'Estado de Resultado '!C23</f>
        <v>4300</v>
      </c>
      <c r="E11" s="313">
        <f>+'Estado de Resultado '!D23</f>
        <v>4300</v>
      </c>
      <c r="F11" s="313">
        <f>+'Estado de Resultado '!E23</f>
        <v>4300</v>
      </c>
      <c r="G11" s="313">
        <f>+'Estado de Resultado '!F23</f>
        <v>4300</v>
      </c>
      <c r="H11" s="313">
        <f>+'Estado de Resultado '!G23</f>
        <v>0</v>
      </c>
      <c r="I11" s="313">
        <f>+'Estado de Resultado '!H23</f>
        <v>0</v>
      </c>
      <c r="J11" s="313">
        <f>+'Estado de Resultado '!I23</f>
        <v>0</v>
      </c>
      <c r="K11" s="313">
        <f>+'Estado de Resultado '!J23</f>
        <v>0</v>
      </c>
      <c r="L11" s="313">
        <f>+'Estado de Resultado '!K23</f>
        <v>0</v>
      </c>
      <c r="M11" s="313">
        <f>+'Estado de Resultado '!L23</f>
        <v>0</v>
      </c>
      <c r="N11" s="313">
        <f>+'Estado de Resultado '!M23</f>
        <v>0</v>
      </c>
      <c r="O11" s="313">
        <f>+'Estado de Resultado '!N23</f>
        <v>0</v>
      </c>
      <c r="P11" s="313">
        <f>+'Estado de Resultado '!O23</f>
        <v>0</v>
      </c>
      <c r="Q11" s="313">
        <f>+'Estado de Resultado '!P23</f>
        <v>0</v>
      </c>
    </row>
    <row r="12" spans="1:18" ht="13.5" thickBot="1" x14ac:dyDescent="0.25">
      <c r="A12" s="242" t="s">
        <v>28</v>
      </c>
      <c r="B12" s="234"/>
      <c r="C12" s="313">
        <f>+'Estado de Resultado '!B24</f>
        <v>9421.9058847775359</v>
      </c>
      <c r="D12" s="313">
        <f>+'Estado de Resultado '!C24</f>
        <v>7587.1585025542772</v>
      </c>
      <c r="E12" s="313">
        <f>+'Estado de Resultado '!D24</f>
        <v>5623.9788035753891</v>
      </c>
      <c r="F12" s="313">
        <f>+'Estado de Resultado '!E24</f>
        <v>3523.3765256679794</v>
      </c>
      <c r="G12" s="313">
        <f>+'Estado de Resultado '!F24</f>
        <v>1275.7320883070529</v>
      </c>
      <c r="H12" s="313">
        <f>+'Estado de Resultado '!G24</f>
        <v>0</v>
      </c>
      <c r="I12" s="313">
        <f>+'Estado de Resultado '!H24</f>
        <v>0</v>
      </c>
      <c r="J12" s="313">
        <f>+'Estado de Resultado '!I24</f>
        <v>0</v>
      </c>
      <c r="K12" s="313">
        <f>+'Estado de Resultado '!J24</f>
        <v>0</v>
      </c>
      <c r="L12" s="313">
        <f>+'Estado de Resultado '!K24</f>
        <v>0</v>
      </c>
      <c r="M12" s="313">
        <f>+'Estado de Resultado '!L24</f>
        <v>0</v>
      </c>
      <c r="N12" s="313">
        <f>+'Estado de Resultado '!M24</f>
        <v>0</v>
      </c>
      <c r="O12" s="313">
        <f>+'Estado de Resultado '!N24</f>
        <v>0</v>
      </c>
      <c r="P12" s="313">
        <f>+'Estado de Resultado '!O24</f>
        <v>0</v>
      </c>
      <c r="Q12" s="313">
        <f>+'Estado de Resultado '!P24</f>
        <v>0</v>
      </c>
    </row>
    <row r="13" spans="1:18" ht="13.5" thickBot="1" x14ac:dyDescent="0.25">
      <c r="A13" s="353" t="s">
        <v>122</v>
      </c>
      <c r="B13" s="360"/>
      <c r="C13" s="354">
        <f>+C7-C8-C9-C10-C11-C12</f>
        <v>316723.73215618229</v>
      </c>
      <c r="D13" s="253">
        <f>+D7-D8-D9-D10-D11-D12</f>
        <v>465281.84224942955</v>
      </c>
      <c r="E13" s="361">
        <f>+E7-E8-E9-E10-E11-E12</f>
        <v>562915.47255120811</v>
      </c>
      <c r="F13" s="253">
        <f>+F7-F8-F9-F10-F11-F12</f>
        <v>676414.67678678536</v>
      </c>
      <c r="G13" s="354">
        <f>+G7-G8-G9-G10-G11-G12</f>
        <v>808022.71965639736</v>
      </c>
      <c r="H13" s="354">
        <f t="shared" ref="H13:Q13" si="0">+H7-H8-H9-H10-H11-H12</f>
        <v>0</v>
      </c>
      <c r="I13" s="354">
        <f t="shared" si="0"/>
        <v>0</v>
      </c>
      <c r="J13" s="354">
        <f t="shared" si="0"/>
        <v>0</v>
      </c>
      <c r="K13" s="354">
        <f t="shared" si="0"/>
        <v>0</v>
      </c>
      <c r="L13" s="354">
        <f t="shared" si="0"/>
        <v>0</v>
      </c>
      <c r="M13" s="354">
        <f t="shared" si="0"/>
        <v>0</v>
      </c>
      <c r="N13" s="354">
        <f t="shared" si="0"/>
        <v>0</v>
      </c>
      <c r="O13" s="354">
        <f t="shared" si="0"/>
        <v>0</v>
      </c>
      <c r="P13" s="354">
        <f t="shared" si="0"/>
        <v>0</v>
      </c>
      <c r="Q13" s="354">
        <f t="shared" si="0"/>
        <v>0</v>
      </c>
    </row>
    <row r="14" spans="1:18" x14ac:dyDescent="0.2">
      <c r="A14" s="242"/>
      <c r="B14" s="234"/>
      <c r="C14" s="235"/>
      <c r="D14" s="234"/>
      <c r="E14" s="256"/>
      <c r="F14" s="234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</row>
    <row r="15" spans="1:18" x14ac:dyDescent="0.2">
      <c r="A15" s="242" t="s">
        <v>99</v>
      </c>
      <c r="B15" s="234"/>
      <c r="C15" s="313">
        <f>+'Estado de Resultado '!B20+'Estado de Resultado '!B31</f>
        <v>210600</v>
      </c>
      <c r="D15" s="313">
        <f>+'Estado de Resultado '!C20+'Estado de Resultado '!C31</f>
        <v>215865</v>
      </c>
      <c r="E15" s="313">
        <f>+'Estado de Resultado '!D20+'Estado de Resultado '!D31</f>
        <v>221261.625</v>
      </c>
      <c r="F15" s="313">
        <f>+'Estado de Resultado '!E20+'Estado de Resultado '!E31</f>
        <v>226793.16562500002</v>
      </c>
      <c r="G15" s="313">
        <f>+'Estado de Resultado '!F20+'Estado de Resultado '!F31</f>
        <v>232462.99476562502</v>
      </c>
      <c r="H15" s="313">
        <f>+'Estado de Resultado '!G20+'Estado de Resultado '!G31</f>
        <v>0</v>
      </c>
      <c r="I15" s="313">
        <f>+'Estado de Resultado '!H20+'Estado de Resultado '!H31</f>
        <v>0</v>
      </c>
      <c r="J15" s="313">
        <f>+'Estado de Resultado '!I20+'Estado de Resultado '!I31</f>
        <v>0</v>
      </c>
      <c r="K15" s="313">
        <f>+'Estado de Resultado '!J20+'Estado de Resultado '!J31</f>
        <v>0</v>
      </c>
      <c r="L15" s="313">
        <f>+'Estado de Resultado '!K20+'Estado de Resultado '!K31</f>
        <v>0</v>
      </c>
      <c r="M15" s="313">
        <f>+'Estado de Resultado '!L20+'Estado de Resultado '!L31</f>
        <v>0</v>
      </c>
      <c r="N15" s="313">
        <f>+'Estado de Resultado '!M20+'Estado de Resultado '!M31</f>
        <v>0</v>
      </c>
      <c r="O15" s="313">
        <f>+'Estado de Resultado '!N20+'Estado de Resultado '!N31</f>
        <v>0</v>
      </c>
      <c r="P15" s="313">
        <f>+'Estado de Resultado '!O20+'Estado de Resultado '!O31</f>
        <v>0</v>
      </c>
      <c r="Q15" s="313">
        <f>+'Estado de Resultado '!P20+'Estado de Resultado '!P31</f>
        <v>0</v>
      </c>
    </row>
    <row r="16" spans="1:18" ht="13.5" thickBot="1" x14ac:dyDescent="0.25">
      <c r="A16" s="242"/>
      <c r="B16" s="234"/>
      <c r="C16" s="313"/>
      <c r="D16" s="239"/>
      <c r="E16" s="297"/>
      <c r="F16" s="239"/>
      <c r="G16" s="313"/>
      <c r="H16" s="313"/>
      <c r="I16" s="313"/>
      <c r="J16" s="313"/>
      <c r="K16" s="313"/>
      <c r="L16" s="313"/>
      <c r="M16" s="313"/>
      <c r="N16" s="313"/>
      <c r="O16" s="313"/>
      <c r="P16" s="313"/>
      <c r="Q16" s="313"/>
    </row>
    <row r="17" spans="1:17" ht="13.5" thickBot="1" x14ac:dyDescent="0.25">
      <c r="A17" s="353" t="s">
        <v>107</v>
      </c>
      <c r="B17" s="360"/>
      <c r="C17" s="354">
        <f>+C13-C15</f>
        <v>106123.73215618229</v>
      </c>
      <c r="D17" s="253">
        <f>+D13-D15</f>
        <v>249416.84224942955</v>
      </c>
      <c r="E17" s="361">
        <f>+E13-E15</f>
        <v>341653.84755120811</v>
      </c>
      <c r="F17" s="253">
        <f>+F13-F15</f>
        <v>449621.51116178534</v>
      </c>
      <c r="G17" s="354">
        <f>+G13-G15</f>
        <v>575559.72489077237</v>
      </c>
      <c r="H17" s="354">
        <f t="shared" ref="H17:Q17" si="1">+H13-H15</f>
        <v>0</v>
      </c>
      <c r="I17" s="354">
        <f t="shared" si="1"/>
        <v>0</v>
      </c>
      <c r="J17" s="354">
        <f t="shared" si="1"/>
        <v>0</v>
      </c>
      <c r="K17" s="354">
        <f t="shared" si="1"/>
        <v>0</v>
      </c>
      <c r="L17" s="354">
        <f t="shared" si="1"/>
        <v>0</v>
      </c>
      <c r="M17" s="354">
        <f t="shared" si="1"/>
        <v>0</v>
      </c>
      <c r="N17" s="354">
        <f t="shared" si="1"/>
        <v>0</v>
      </c>
      <c r="O17" s="354">
        <f t="shared" si="1"/>
        <v>0</v>
      </c>
      <c r="P17" s="354">
        <f t="shared" si="1"/>
        <v>0</v>
      </c>
      <c r="Q17" s="354">
        <f t="shared" si="1"/>
        <v>0</v>
      </c>
    </row>
    <row r="18" spans="1:17" x14ac:dyDescent="0.2">
      <c r="A18" s="352"/>
      <c r="B18" s="362"/>
      <c r="C18" s="363"/>
      <c r="D18" s="364"/>
      <c r="E18" s="365"/>
      <c r="F18" s="364"/>
      <c r="G18" s="363"/>
      <c r="H18" s="363"/>
      <c r="I18" s="363"/>
      <c r="J18" s="363"/>
      <c r="K18" s="363"/>
      <c r="L18" s="363"/>
      <c r="M18" s="363"/>
      <c r="N18" s="363"/>
      <c r="O18" s="363"/>
      <c r="P18" s="363"/>
      <c r="Q18" s="363"/>
    </row>
    <row r="19" spans="1:17" x14ac:dyDescent="0.2">
      <c r="A19" s="242" t="s">
        <v>113</v>
      </c>
      <c r="B19" s="234"/>
      <c r="C19" s="313">
        <f>+'Estado de Resultado '!B42+'Estado de Resultado '!B21+'Estado de Resultado '!B43</f>
        <v>50218.134801596578</v>
      </c>
      <c r="D19" s="313">
        <f>+'Estado de Resultado '!C42+'Estado de Resultado '!C21+'Estado de Resultado '!C43</f>
        <v>111183.54132876039</v>
      </c>
      <c r="E19" s="313">
        <f>+'Estado de Resultado '!D42+'Estado de Resultado '!D21+'Estado de Resultado '!D43</f>
        <v>150469.50330014742</v>
      </c>
      <c r="F19" s="313">
        <f>+'Estado de Resultado '!E42+'Estado de Resultado '!E21+'Estado de Resultado '!E43</f>
        <v>196400.91256673387</v>
      </c>
      <c r="G19" s="313">
        <f>+'Estado de Resultado '!F42+'Estado de Resultado '!F21+'Estado de Resultado '!F43</f>
        <v>250003.70088404437</v>
      </c>
      <c r="H19" s="313">
        <f>+'Estado de Resultado '!G42+'Estado de Resultado '!G21+'Estado de Resultado '!G43</f>
        <v>0</v>
      </c>
      <c r="I19" s="313">
        <f>+'Estado de Resultado '!H42+'Estado de Resultado '!H21+'Estado de Resultado '!H43</f>
        <v>0</v>
      </c>
      <c r="J19" s="313">
        <f>+'Estado de Resultado '!I42+'Estado de Resultado '!I21+'Estado de Resultado '!I43</f>
        <v>0</v>
      </c>
      <c r="K19" s="313">
        <f>+'Estado de Resultado '!J42+'Estado de Resultado '!J21+'Estado de Resultado '!J43</f>
        <v>0</v>
      </c>
      <c r="L19" s="313">
        <f>+'Estado de Resultado '!K42+'Estado de Resultado '!K21+'Estado de Resultado '!K43</f>
        <v>0</v>
      </c>
      <c r="M19" s="313">
        <f>+'Estado de Resultado '!L42+'Estado de Resultado '!L21+'Estado de Resultado '!L43</f>
        <v>0</v>
      </c>
      <c r="N19" s="313">
        <f>+'Estado de Resultado '!M42+'Estado de Resultado '!M21+'Estado de Resultado '!M43</f>
        <v>0</v>
      </c>
      <c r="O19" s="313">
        <f>+'Estado de Resultado '!N42+'Estado de Resultado '!N21+'Estado de Resultado '!N43</f>
        <v>0</v>
      </c>
      <c r="P19" s="313">
        <f>+'Estado de Resultado '!O42+'Estado de Resultado '!O21+'Estado de Resultado '!O43</f>
        <v>0</v>
      </c>
      <c r="Q19" s="313">
        <f>+'Estado de Resultado '!P42+'Estado de Resultado '!P21+'Estado de Resultado '!P43</f>
        <v>0</v>
      </c>
    </row>
    <row r="20" spans="1:17" ht="13.5" thickBot="1" x14ac:dyDescent="0.25">
      <c r="A20" s="242" t="s">
        <v>114</v>
      </c>
      <c r="B20" s="234"/>
      <c r="C20" s="313">
        <v>0</v>
      </c>
      <c r="D20" s="239">
        <f>IF(D$5&lt;=Inicio!$E$49,+C19,0)</f>
        <v>50218.134801596578</v>
      </c>
      <c r="E20" s="239">
        <f>IF(E$5&lt;=Inicio!$E$49,+D19,0)</f>
        <v>111183.54132876039</v>
      </c>
      <c r="F20" s="239">
        <f>IF(F$5&lt;=Inicio!$E$49,+E19,0)</f>
        <v>150469.50330014742</v>
      </c>
      <c r="G20" s="239">
        <f>IF(G$5&lt;=Inicio!$E$49,+F19,0)</f>
        <v>196400.91256673387</v>
      </c>
      <c r="H20" s="239">
        <f>IF(H$5&lt;=Inicio!$E$49,+G19,0)</f>
        <v>0</v>
      </c>
      <c r="I20" s="239">
        <f>IF(I$5&lt;=Inicio!$E$49,+H19,0)</f>
        <v>0</v>
      </c>
      <c r="J20" s="239">
        <f>IF(J$5&lt;=Inicio!$E$49,+I19,0)</f>
        <v>0</v>
      </c>
      <c r="K20" s="239">
        <f>IF(K$5&lt;=Inicio!$E$49,+J19,0)</f>
        <v>0</v>
      </c>
      <c r="L20" s="239">
        <f>IF(L$5&lt;=Inicio!$E$49,+K19,0)</f>
        <v>0</v>
      </c>
      <c r="M20" s="239">
        <f>IF(M$5&lt;=Inicio!$E$49,+L19,0)</f>
        <v>0</v>
      </c>
      <c r="N20" s="239">
        <f>IF(N$5&lt;=Inicio!$E$49,+M19,0)</f>
        <v>0</v>
      </c>
      <c r="O20" s="239">
        <f>IF(O$5&lt;=Inicio!$E$49,+N19,0)</f>
        <v>0</v>
      </c>
      <c r="P20" s="239">
        <f>IF(P$5&lt;=Inicio!$E$49,+O19,0)</f>
        <v>0</v>
      </c>
      <c r="Q20" s="239">
        <f>IF(Q$5&lt;=Inicio!$E$49,+P19,0)</f>
        <v>0</v>
      </c>
    </row>
    <row r="21" spans="1:17" ht="13.5" thickBot="1" x14ac:dyDescent="0.25">
      <c r="A21" s="353" t="s">
        <v>123</v>
      </c>
      <c r="B21" s="360"/>
      <c r="C21" s="354">
        <f>+C17-C19</f>
        <v>55905.597354585712</v>
      </c>
      <c r="D21" s="253">
        <f>+D17-D19</f>
        <v>138233.30092066916</v>
      </c>
      <c r="E21" s="361">
        <f>+E17-E19</f>
        <v>191184.34425106068</v>
      </c>
      <c r="F21" s="253">
        <f>+F17-F19</f>
        <v>253220.59859505147</v>
      </c>
      <c r="G21" s="354">
        <f>+G17-G19</f>
        <v>325556.02400672797</v>
      </c>
      <c r="H21" s="354">
        <f t="shared" ref="H21:Q21" si="2">+H17-H19</f>
        <v>0</v>
      </c>
      <c r="I21" s="354">
        <f t="shared" si="2"/>
        <v>0</v>
      </c>
      <c r="J21" s="354">
        <f t="shared" si="2"/>
        <v>0</v>
      </c>
      <c r="K21" s="354">
        <f t="shared" si="2"/>
        <v>0</v>
      </c>
      <c r="L21" s="354">
        <f t="shared" si="2"/>
        <v>0</v>
      </c>
      <c r="M21" s="354">
        <f t="shared" si="2"/>
        <v>0</v>
      </c>
      <c r="N21" s="354">
        <f t="shared" si="2"/>
        <v>0</v>
      </c>
      <c r="O21" s="354">
        <f t="shared" si="2"/>
        <v>0</v>
      </c>
      <c r="P21" s="354">
        <f t="shared" si="2"/>
        <v>0</v>
      </c>
      <c r="Q21" s="354">
        <f t="shared" si="2"/>
        <v>0</v>
      </c>
    </row>
    <row r="22" spans="1:17" x14ac:dyDescent="0.2">
      <c r="A22" s="242"/>
      <c r="B22" s="234"/>
      <c r="C22" s="235"/>
      <c r="D22" s="234"/>
      <c r="E22" s="256"/>
      <c r="F22" s="234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</row>
    <row r="23" spans="1:17" x14ac:dyDescent="0.2">
      <c r="A23" s="242" t="s">
        <v>131</v>
      </c>
      <c r="B23" s="234"/>
      <c r="C23" s="313">
        <f t="shared" ref="C23:Q24" si="3">+C10</f>
        <v>44530</v>
      </c>
      <c r="D23" s="239">
        <f t="shared" si="3"/>
        <v>44530</v>
      </c>
      <c r="E23" s="297">
        <f t="shared" si="3"/>
        <v>44530</v>
      </c>
      <c r="F23" s="239">
        <f t="shared" si="3"/>
        <v>36530</v>
      </c>
      <c r="G23" s="313">
        <f t="shared" si="3"/>
        <v>36530</v>
      </c>
      <c r="H23" s="313">
        <f t="shared" si="3"/>
        <v>0</v>
      </c>
      <c r="I23" s="313">
        <f t="shared" si="3"/>
        <v>0</v>
      </c>
      <c r="J23" s="313">
        <f t="shared" si="3"/>
        <v>0</v>
      </c>
      <c r="K23" s="313">
        <f t="shared" si="3"/>
        <v>0</v>
      </c>
      <c r="L23" s="313">
        <f t="shared" si="3"/>
        <v>0</v>
      </c>
      <c r="M23" s="313">
        <f t="shared" si="3"/>
        <v>0</v>
      </c>
      <c r="N23" s="313">
        <f t="shared" si="3"/>
        <v>0</v>
      </c>
      <c r="O23" s="313">
        <f t="shared" si="3"/>
        <v>0</v>
      </c>
      <c r="P23" s="313">
        <f t="shared" si="3"/>
        <v>0</v>
      </c>
      <c r="Q23" s="313">
        <f t="shared" si="3"/>
        <v>0</v>
      </c>
    </row>
    <row r="24" spans="1:17" x14ac:dyDescent="0.2">
      <c r="A24" s="242" t="s">
        <v>132</v>
      </c>
      <c r="B24" s="234"/>
      <c r="C24" s="313">
        <f t="shared" si="3"/>
        <v>4300</v>
      </c>
      <c r="D24" s="239">
        <f t="shared" si="3"/>
        <v>4300</v>
      </c>
      <c r="E24" s="297">
        <f t="shared" si="3"/>
        <v>4300</v>
      </c>
      <c r="F24" s="239">
        <f t="shared" si="3"/>
        <v>4300</v>
      </c>
      <c r="G24" s="313">
        <f t="shared" si="3"/>
        <v>4300</v>
      </c>
      <c r="H24" s="313">
        <f t="shared" si="3"/>
        <v>0</v>
      </c>
      <c r="I24" s="313">
        <f t="shared" si="3"/>
        <v>0</v>
      </c>
      <c r="J24" s="313">
        <f t="shared" si="3"/>
        <v>0</v>
      </c>
      <c r="K24" s="313">
        <f t="shared" si="3"/>
        <v>0</v>
      </c>
      <c r="L24" s="313">
        <f t="shared" si="3"/>
        <v>0</v>
      </c>
      <c r="M24" s="313">
        <f t="shared" si="3"/>
        <v>0</v>
      </c>
      <c r="N24" s="313">
        <f t="shared" si="3"/>
        <v>0</v>
      </c>
      <c r="O24" s="313">
        <f t="shared" si="3"/>
        <v>0</v>
      </c>
      <c r="P24" s="313">
        <f t="shared" si="3"/>
        <v>0</v>
      </c>
      <c r="Q24" s="313">
        <f t="shared" si="3"/>
        <v>0</v>
      </c>
    </row>
    <row r="25" spans="1:17" x14ac:dyDescent="0.2">
      <c r="A25" s="242" t="s">
        <v>116</v>
      </c>
      <c r="B25" s="234"/>
      <c r="C25" s="313">
        <f>+C19-C20</f>
        <v>50218.134801596578</v>
      </c>
      <c r="D25" s="239">
        <f>+D19-D20</f>
        <v>60965.40652716381</v>
      </c>
      <c r="E25" s="297">
        <f>+E19-E20</f>
        <v>39285.961971387034</v>
      </c>
      <c r="F25" s="239">
        <f>+F19-F20</f>
        <v>45931.409266586445</v>
      </c>
      <c r="G25" s="313">
        <f>+G19-G20</f>
        <v>53602.788317310507</v>
      </c>
      <c r="H25" s="313">
        <f t="shared" ref="H25:Q25" si="4">+H19-H20</f>
        <v>0</v>
      </c>
      <c r="I25" s="313">
        <f t="shared" si="4"/>
        <v>0</v>
      </c>
      <c r="J25" s="313">
        <f t="shared" si="4"/>
        <v>0</v>
      </c>
      <c r="K25" s="313">
        <f t="shared" si="4"/>
        <v>0</v>
      </c>
      <c r="L25" s="313">
        <f t="shared" si="4"/>
        <v>0</v>
      </c>
      <c r="M25" s="313">
        <f t="shared" si="4"/>
        <v>0</v>
      </c>
      <c r="N25" s="313">
        <f t="shared" si="4"/>
        <v>0</v>
      </c>
      <c r="O25" s="313">
        <f t="shared" si="4"/>
        <v>0</v>
      </c>
      <c r="P25" s="313">
        <f t="shared" si="4"/>
        <v>0</v>
      </c>
      <c r="Q25" s="313">
        <f t="shared" si="4"/>
        <v>0</v>
      </c>
    </row>
    <row r="26" spans="1:17" ht="13.5" thickBot="1" x14ac:dyDescent="0.25">
      <c r="A26" s="242" t="s">
        <v>133</v>
      </c>
      <c r="B26" s="234"/>
      <c r="C26" s="313">
        <f>+C12</f>
        <v>9421.9058847775359</v>
      </c>
      <c r="D26" s="239">
        <f>+D12</f>
        <v>7587.1585025542772</v>
      </c>
      <c r="E26" s="297">
        <f>+E12</f>
        <v>5623.9788035753891</v>
      </c>
      <c r="F26" s="239">
        <f>+F12</f>
        <v>3523.3765256679794</v>
      </c>
      <c r="G26" s="313">
        <f>+G12</f>
        <v>1275.7320883070529</v>
      </c>
      <c r="H26" s="313">
        <f t="shared" ref="H26:Q26" si="5">+H12</f>
        <v>0</v>
      </c>
      <c r="I26" s="313">
        <f t="shared" si="5"/>
        <v>0</v>
      </c>
      <c r="J26" s="313">
        <f t="shared" si="5"/>
        <v>0</v>
      </c>
      <c r="K26" s="313">
        <f t="shared" si="5"/>
        <v>0</v>
      </c>
      <c r="L26" s="313">
        <f t="shared" si="5"/>
        <v>0</v>
      </c>
      <c r="M26" s="313">
        <f t="shared" si="5"/>
        <v>0</v>
      </c>
      <c r="N26" s="313">
        <f t="shared" si="5"/>
        <v>0</v>
      </c>
      <c r="O26" s="313">
        <f t="shared" si="5"/>
        <v>0</v>
      </c>
      <c r="P26" s="313">
        <f t="shared" si="5"/>
        <v>0</v>
      </c>
      <c r="Q26" s="313">
        <f t="shared" si="5"/>
        <v>0</v>
      </c>
    </row>
    <row r="27" spans="1:17" ht="13.5" thickBot="1" x14ac:dyDescent="0.25">
      <c r="A27" s="353" t="s">
        <v>117</v>
      </c>
      <c r="B27" s="360"/>
      <c r="C27" s="354">
        <f>SUM(C21:C26)</f>
        <v>164375.63804095984</v>
      </c>
      <c r="D27" s="253">
        <f>SUM(D21:D26)</f>
        <v>255615.86595038726</v>
      </c>
      <c r="E27" s="361">
        <f>SUM(E21:E26)</f>
        <v>284924.28502602311</v>
      </c>
      <c r="F27" s="253">
        <f>SUM(F21:F26)</f>
        <v>343505.38438730582</v>
      </c>
      <c r="G27" s="354">
        <f>SUM(G21:G26)</f>
        <v>421264.54441234551</v>
      </c>
      <c r="H27" s="354">
        <f t="shared" ref="H27:Q27" si="6">SUM(H21:H26)</f>
        <v>0</v>
      </c>
      <c r="I27" s="354">
        <f t="shared" si="6"/>
        <v>0</v>
      </c>
      <c r="J27" s="354">
        <f t="shared" si="6"/>
        <v>0</v>
      </c>
      <c r="K27" s="354">
        <f t="shared" si="6"/>
        <v>0</v>
      </c>
      <c r="L27" s="354">
        <f t="shared" si="6"/>
        <v>0</v>
      </c>
      <c r="M27" s="354">
        <f t="shared" si="6"/>
        <v>0</v>
      </c>
      <c r="N27" s="354">
        <f t="shared" si="6"/>
        <v>0</v>
      </c>
      <c r="O27" s="354">
        <f t="shared" si="6"/>
        <v>0</v>
      </c>
      <c r="P27" s="354">
        <f t="shared" si="6"/>
        <v>0</v>
      </c>
      <c r="Q27" s="354">
        <f t="shared" si="6"/>
        <v>0</v>
      </c>
    </row>
    <row r="28" spans="1:17" x14ac:dyDescent="0.2">
      <c r="A28" s="242" t="s">
        <v>134</v>
      </c>
      <c r="B28" s="234"/>
      <c r="C28" s="256"/>
      <c r="D28" s="231"/>
      <c r="E28" s="256"/>
      <c r="F28" s="231"/>
      <c r="G28" s="256"/>
      <c r="H28" s="231"/>
      <c r="I28" s="256"/>
      <c r="J28" s="231"/>
      <c r="K28" s="256"/>
      <c r="L28" s="231"/>
      <c r="M28" s="256"/>
      <c r="N28" s="231"/>
      <c r="O28" s="256"/>
      <c r="P28" s="231"/>
      <c r="Q28" s="231"/>
    </row>
    <row r="29" spans="1:17" x14ac:dyDescent="0.2">
      <c r="A29" s="242" t="s">
        <v>135</v>
      </c>
      <c r="B29" s="239">
        <v>0</v>
      </c>
      <c r="C29" s="256"/>
      <c r="D29" s="234"/>
      <c r="E29" s="256"/>
      <c r="F29" s="234"/>
      <c r="G29" s="256"/>
      <c r="H29" s="234"/>
      <c r="I29" s="256"/>
      <c r="J29" s="234"/>
      <c r="K29" s="256"/>
      <c r="L29" s="234"/>
      <c r="M29" s="256"/>
      <c r="N29" s="234"/>
      <c r="O29" s="256"/>
      <c r="P29" s="234"/>
      <c r="Q29" s="234"/>
    </row>
    <row r="30" spans="1:17" x14ac:dyDescent="0.2">
      <c r="A30" s="242" t="s">
        <v>118</v>
      </c>
      <c r="B30" s="239">
        <f>-'inversión inicial'!B20</f>
        <v>-299300</v>
      </c>
      <c r="C30" s="239">
        <f>IF(C$5=Inicio!$E$49,+'inversión inicial'!$D$20,0)</f>
        <v>0</v>
      </c>
      <c r="D30" s="239">
        <f>IF(D$5=Inicio!$E$49,+'inversión inicial'!$D$20,0)</f>
        <v>0</v>
      </c>
      <c r="E30" s="239">
        <f>IF(E$5=Inicio!$E$49,+'inversión inicial'!$D$20,0)</f>
        <v>0</v>
      </c>
      <c r="F30" s="239">
        <f>IF(F$5=Inicio!$E$49,+'inversión inicial'!$D$20,0)</f>
        <v>0</v>
      </c>
      <c r="G30" s="239">
        <f>IF(G$5=Inicio!$E$49,+'inversión inicial'!$D$20,0)</f>
        <v>128699</v>
      </c>
      <c r="H30" s="239">
        <f>IF(H$5=Inicio!$E$49,+'inversión inicial'!$D$20,0)</f>
        <v>0</v>
      </c>
      <c r="I30" s="239">
        <f>IF(I$5=Inicio!$E$49,+'inversión inicial'!$D$20,0)</f>
        <v>0</v>
      </c>
      <c r="J30" s="239">
        <f>IF(J$5=Inicio!$E$49,+'inversión inicial'!$D$20,0)</f>
        <v>0</v>
      </c>
      <c r="K30" s="239">
        <f>IF(K$5=Inicio!$E$49,+'inversión inicial'!$D$20,0)</f>
        <v>0</v>
      </c>
      <c r="L30" s="239">
        <f>IF(L$5=Inicio!$E$49,+'inversión inicial'!$D$20,0)</f>
        <v>0</v>
      </c>
      <c r="M30" s="239">
        <f>IF(M$5=Inicio!$E$49,+'inversión inicial'!$D$20,0)</f>
        <v>0</v>
      </c>
      <c r="N30" s="239">
        <f>IF(N$5=Inicio!$E$49,+'inversión inicial'!$D$20,0)</f>
        <v>0</v>
      </c>
      <c r="O30" s="239">
        <f>IF(O$5=Inicio!$E$49,+'inversión inicial'!$D$20,0)</f>
        <v>0</v>
      </c>
      <c r="P30" s="239">
        <f>IF(P$5=Inicio!$E$49,+'inversión inicial'!$D$20,0)</f>
        <v>0</v>
      </c>
      <c r="Q30" s="239">
        <f>IF(Q$5=Inicio!$E$49,+'inversión inicial'!$D$20,0)</f>
        <v>0</v>
      </c>
    </row>
    <row r="31" spans="1:17" x14ac:dyDescent="0.2">
      <c r="A31" s="242" t="s">
        <v>119</v>
      </c>
      <c r="B31" s="239">
        <f>-'inversión inicial'!B21</f>
        <v>-21500</v>
      </c>
      <c r="C31" s="239">
        <f>IF(C$5=Inicio!$E$49,+'inversión inicial'!$D$21,0)</f>
        <v>0</v>
      </c>
      <c r="D31" s="239">
        <f>IF(D$5=Inicio!$E$49,+'inversión inicial'!$D$21,0)</f>
        <v>0</v>
      </c>
      <c r="E31" s="239">
        <f>IF(E$5=Inicio!$E$49,+'inversión inicial'!$D$21,0)</f>
        <v>0</v>
      </c>
      <c r="F31" s="239">
        <f>IF(F$5=Inicio!$E$49,+'inversión inicial'!$D$21,0)</f>
        <v>0</v>
      </c>
      <c r="G31" s="239">
        <f>IF(G$5=Inicio!$E$49,+'inversión inicial'!$D$21,0)</f>
        <v>645</v>
      </c>
      <c r="H31" s="239">
        <f>IF(H$5=Inicio!$E$49,+'inversión inicial'!$D$21,0)</f>
        <v>0</v>
      </c>
      <c r="I31" s="239">
        <f>IF(I$5=Inicio!$E$49,+'inversión inicial'!$D$21,0)</f>
        <v>0</v>
      </c>
      <c r="J31" s="239">
        <f>IF(J$5=Inicio!$E$49,+'inversión inicial'!$D$21,0)</f>
        <v>0</v>
      </c>
      <c r="K31" s="239">
        <f>IF(K$5=Inicio!$E$49,+'inversión inicial'!$D$21,0)</f>
        <v>0</v>
      </c>
      <c r="L31" s="239">
        <f>IF(L$5=Inicio!$E$49,+'inversión inicial'!$D$21,0)</f>
        <v>0</v>
      </c>
      <c r="M31" s="239">
        <f>IF(M$5=Inicio!$E$49,+'inversión inicial'!$D$21,0)</f>
        <v>0</v>
      </c>
      <c r="N31" s="239">
        <f>IF(N$5=Inicio!$E$49,+'inversión inicial'!$D$21,0)</f>
        <v>0</v>
      </c>
      <c r="O31" s="239">
        <f>IF(O$5=Inicio!$E$49,+'inversión inicial'!$D$21,0)</f>
        <v>0</v>
      </c>
      <c r="P31" s="239">
        <f>IF(P$5=Inicio!$E$49,+'inversión inicial'!$D$21,0)</f>
        <v>0</v>
      </c>
      <c r="Q31" s="239">
        <f>IF(Q$5=Inicio!$E$49,+'inversión inicial'!$D$21,0)</f>
        <v>0</v>
      </c>
    </row>
    <row r="32" spans="1:17" x14ac:dyDescent="0.2">
      <c r="A32" s="242" t="s">
        <v>170</v>
      </c>
      <c r="B32" s="239">
        <f>-'inversión inicial'!B22</f>
        <v>-181635.87354507999</v>
      </c>
      <c r="C32" s="239">
        <f>IF(C$5=Inicio!$E$49,+'inversión inicial'!$D$22,)</f>
        <v>0</v>
      </c>
      <c r="D32" s="239">
        <f>IF(D$5=Inicio!$E$49,+'inversión inicial'!$D$22,)</f>
        <v>0</v>
      </c>
      <c r="E32" s="239">
        <f>IF(E$5=Inicio!$E$49,+'inversión inicial'!$D$22,)</f>
        <v>0</v>
      </c>
      <c r="F32" s="239">
        <f>IF(F$5=Inicio!$E$49,+'inversión inicial'!$D$22,)</f>
        <v>0</v>
      </c>
      <c r="G32" s="239">
        <f>IF(G$5=Inicio!$E$49,+'inversión inicial'!$D$22,)</f>
        <v>96267.012978892395</v>
      </c>
      <c r="H32" s="239">
        <f>IF(H$5=Inicio!$E$49,+'inversión inicial'!$D$22,)</f>
        <v>0</v>
      </c>
      <c r="I32" s="239">
        <f>IF(I$5=Inicio!$E$49,+'inversión inicial'!$D$22,)</f>
        <v>0</v>
      </c>
      <c r="J32" s="239">
        <f>IF(J$5=Inicio!$E$49,+'inversión inicial'!$D$22,)</f>
        <v>0</v>
      </c>
      <c r="K32" s="239">
        <f>IF(K$5=Inicio!$E$49,+'inversión inicial'!$D$22,)</f>
        <v>0</v>
      </c>
      <c r="L32" s="239">
        <f>IF(L$5=Inicio!$E$49,+'inversión inicial'!$D$22,)</f>
        <v>0</v>
      </c>
      <c r="M32" s="239">
        <f>IF(M$5=Inicio!$E$49,+'inversión inicial'!$D$22,)</f>
        <v>0</v>
      </c>
      <c r="N32" s="239">
        <f>IF(N$5=Inicio!$E$49,+'inversión inicial'!$D$22,)</f>
        <v>0</v>
      </c>
      <c r="O32" s="239">
        <f>IF(O$5=Inicio!$E$49,+'inversión inicial'!$D$22,)</f>
        <v>0</v>
      </c>
      <c r="P32" s="239">
        <f>IF(P$5=Inicio!$E$49,+'inversión inicial'!$D$22,)</f>
        <v>0</v>
      </c>
      <c r="Q32" s="239">
        <f>IF(Q$5=Inicio!$E$49,+'inversión inicial'!$D$22,)</f>
        <v>0</v>
      </c>
    </row>
    <row r="33" spans="1:17" x14ac:dyDescent="0.2">
      <c r="A33" s="242" t="s">
        <v>278</v>
      </c>
      <c r="B33" s="239">
        <f>-'inversión inicial'!B23</f>
        <v>0</v>
      </c>
      <c r="C33" s="239">
        <f>IF(C$5=Inicio!$E$49,+'inversión inicial'!$D$23,)</f>
        <v>0</v>
      </c>
      <c r="D33" s="239">
        <f>IF(D$5=Inicio!$E$49,+'inversión inicial'!$D$23,)</f>
        <v>0</v>
      </c>
      <c r="E33" s="239">
        <f>IF(E$5=Inicio!$E$49,+'inversión inicial'!$D$23,)</f>
        <v>0</v>
      </c>
      <c r="F33" s="239">
        <f>IF(F$5=Inicio!$E$49,+'inversión inicial'!$D$23,)</f>
        <v>0</v>
      </c>
      <c r="G33" s="239">
        <f>IF(G$5=Inicio!$E$49,+'inversión inicial'!$D$23,)</f>
        <v>0</v>
      </c>
      <c r="H33" s="239">
        <f>IF(H$5=Inicio!$E$49,+'inversión inicial'!$D$23,)</f>
        <v>0</v>
      </c>
      <c r="I33" s="239">
        <f>IF(I$5=Inicio!$E$49,+'inversión inicial'!$D$23,)</f>
        <v>0</v>
      </c>
      <c r="J33" s="239">
        <f>IF(J$5=Inicio!$E$49,+'inversión inicial'!$D$23,)</f>
        <v>0</v>
      </c>
      <c r="K33" s="239">
        <f>IF(K$5=Inicio!$E$49,+'inversión inicial'!$D$23,)</f>
        <v>0</v>
      </c>
      <c r="L33" s="239">
        <f>IF(L$5=Inicio!$E$49,+'inversión inicial'!$D$23,)</f>
        <v>0</v>
      </c>
      <c r="M33" s="239">
        <f>IF(M$5=Inicio!$E$49,+'inversión inicial'!$D$23,)</f>
        <v>0</v>
      </c>
      <c r="N33" s="239">
        <f>IF(N$5=Inicio!$E$49,+'inversión inicial'!$D$23,)</f>
        <v>0</v>
      </c>
      <c r="O33" s="239">
        <f>IF(O$5=Inicio!$E$49,+'inversión inicial'!$D$23,)</f>
        <v>0</v>
      </c>
      <c r="P33" s="239">
        <f>IF(P$5=Inicio!$E$49,+'inversión inicial'!$D$23,)</f>
        <v>0</v>
      </c>
      <c r="Q33" s="239">
        <f>IF(Q$5=Inicio!$E$49,+'inversión inicial'!$D$23,)</f>
        <v>0</v>
      </c>
    </row>
    <row r="34" spans="1:17" x14ac:dyDescent="0.2">
      <c r="A34" s="242" t="s">
        <v>120</v>
      </c>
      <c r="B34" s="239">
        <f>SUM(B30:B33)+B29</f>
        <v>-502435.87354507996</v>
      </c>
      <c r="C34" s="256"/>
      <c r="D34" s="234"/>
      <c r="E34" s="256"/>
      <c r="F34" s="234"/>
      <c r="G34" s="256"/>
      <c r="H34" s="234"/>
      <c r="I34" s="256"/>
      <c r="J34" s="234"/>
      <c r="K34" s="256"/>
      <c r="L34" s="234"/>
      <c r="M34" s="256"/>
      <c r="N34" s="234"/>
      <c r="O34" s="256"/>
      <c r="P34" s="234"/>
      <c r="Q34" s="234"/>
    </row>
    <row r="35" spans="1:17" x14ac:dyDescent="0.2">
      <c r="A35" s="242" t="s">
        <v>136</v>
      </c>
      <c r="B35" s="239">
        <v>0</v>
      </c>
      <c r="C35" s="239">
        <v>0</v>
      </c>
      <c r="D35" s="239">
        <v>0</v>
      </c>
      <c r="E35" s="239">
        <v>0</v>
      </c>
      <c r="F35" s="239">
        <v>0</v>
      </c>
      <c r="G35" s="239">
        <v>0</v>
      </c>
      <c r="H35" s="239">
        <v>0</v>
      </c>
      <c r="I35" s="239">
        <v>0</v>
      </c>
      <c r="J35" s="239">
        <v>0</v>
      </c>
      <c r="K35" s="297">
        <v>0</v>
      </c>
      <c r="L35" s="239">
        <v>0</v>
      </c>
      <c r="M35" s="239">
        <v>0</v>
      </c>
      <c r="N35" s="239">
        <f>+financiación!N9+financiación!N20+financiación!N31</f>
        <v>0</v>
      </c>
      <c r="O35" s="239">
        <f>+financiación!O9+financiación!O20+financiación!O31</f>
        <v>0</v>
      </c>
      <c r="P35" s="239">
        <f>+financiación!P9+financiación!P20+financiación!P31</f>
        <v>0</v>
      </c>
      <c r="Q35" s="239">
        <f>+financiación!Q9+financiación!Q20+financiación!Q31</f>
        <v>0</v>
      </c>
    </row>
    <row r="36" spans="1:17" ht="13.5" thickBot="1" x14ac:dyDescent="0.25">
      <c r="A36" s="242"/>
      <c r="B36" s="239"/>
      <c r="C36" s="297"/>
      <c r="D36" s="251"/>
      <c r="E36" s="297"/>
      <c r="F36" s="251"/>
      <c r="G36" s="297"/>
      <c r="H36" s="251"/>
      <c r="I36" s="297"/>
      <c r="J36" s="251"/>
      <c r="K36" s="297"/>
      <c r="L36" s="251"/>
      <c r="M36" s="297"/>
      <c r="N36" s="251"/>
      <c r="O36" s="297"/>
      <c r="P36" s="251"/>
      <c r="Q36" s="251"/>
    </row>
    <row r="37" spans="1:17" ht="13.5" thickBot="1" x14ac:dyDescent="0.25">
      <c r="A37" s="353" t="s">
        <v>121</v>
      </c>
      <c r="B37" s="253">
        <f>+B34</f>
        <v>-502435.87354507996</v>
      </c>
      <c r="C37" s="253">
        <f>+C27-C35+C30+C31+C32+C33</f>
        <v>164375.63804095984</v>
      </c>
      <c r="D37" s="253">
        <f t="shared" ref="D37:Q37" si="7">+D27-D35+D30+D31+D32+D33</f>
        <v>255615.86595038726</v>
      </c>
      <c r="E37" s="253">
        <f t="shared" si="7"/>
        <v>284924.28502602311</v>
      </c>
      <c r="F37" s="253">
        <f t="shared" si="7"/>
        <v>343505.38438730582</v>
      </c>
      <c r="G37" s="253">
        <f t="shared" si="7"/>
        <v>646875.55739123793</v>
      </c>
      <c r="H37" s="253">
        <f t="shared" si="7"/>
        <v>0</v>
      </c>
      <c r="I37" s="253">
        <f t="shared" si="7"/>
        <v>0</v>
      </c>
      <c r="J37" s="253">
        <f t="shared" si="7"/>
        <v>0</v>
      </c>
      <c r="K37" s="253">
        <f t="shared" si="7"/>
        <v>0</v>
      </c>
      <c r="L37" s="253">
        <f t="shared" si="7"/>
        <v>0</v>
      </c>
      <c r="M37" s="253">
        <f t="shared" si="7"/>
        <v>0</v>
      </c>
      <c r="N37" s="253">
        <f t="shared" si="7"/>
        <v>0</v>
      </c>
      <c r="O37" s="253">
        <f t="shared" si="7"/>
        <v>0</v>
      </c>
      <c r="P37" s="253">
        <f t="shared" si="7"/>
        <v>0</v>
      </c>
      <c r="Q37" s="253">
        <f t="shared" si="7"/>
        <v>0</v>
      </c>
    </row>
    <row r="38" spans="1:17" ht="13.5" thickBot="1" x14ac:dyDescent="0.25">
      <c r="A38" s="541" t="s">
        <v>421</v>
      </c>
      <c r="B38" s="542"/>
      <c r="C38" s="369">
        <f>IF(Inicio!$E$49&gt;=C5,(+C8/C7),0)</f>
        <v>0.71789756232740631</v>
      </c>
      <c r="D38" s="369">
        <f>IF(Inicio!$E$49&gt;=D5,(+D8/D7),0)</f>
        <v>0.69646465730163065</v>
      </c>
      <c r="E38" s="369">
        <f>IF(Inicio!$E$49&gt;=E5,(+E8/E7),0)</f>
        <v>0.68576615090707038</v>
      </c>
      <c r="F38" s="369">
        <f>IF(Inicio!$E$49&gt;=F5,(+F8/F7),0)</f>
        <v>0.67583912038905236</v>
      </c>
      <c r="G38" s="369">
        <f>IF(Inicio!$E$49&gt;=G5,(+G8/G7),0)</f>
        <v>0.66497494710745486</v>
      </c>
      <c r="H38" s="369">
        <f>IF(Inicio!$E$49&gt;=H5,(+H8/H7),0)</f>
        <v>0</v>
      </c>
      <c r="I38" s="369">
        <f>IF(Inicio!$E$49&gt;=I5,(+I8/I7),0)</f>
        <v>0</v>
      </c>
      <c r="J38" s="369">
        <f>IF(Inicio!$E$49&gt;=J5,(+J8/J7),0)</f>
        <v>0</v>
      </c>
      <c r="K38" s="369">
        <f>IF(Inicio!$E$49&gt;=K5,(+K8/K7),0)</f>
        <v>0</v>
      </c>
      <c r="L38" s="369">
        <f>IF(Inicio!$E$49&gt;=L5,(+L8/L7),0)</f>
        <v>0</v>
      </c>
      <c r="M38" s="369">
        <f>IF(Inicio!$E$49&gt;=M5,(+M8/M7),0)</f>
        <v>0</v>
      </c>
      <c r="N38" s="369">
        <f>IF(Inicio!$E$49&gt;=N5,(+N8/N7),0)</f>
        <v>0</v>
      </c>
      <c r="O38" s="369">
        <f>IF(Inicio!$E$49&gt;=O5,(+O8/O7),0)</f>
        <v>0</v>
      </c>
      <c r="P38" s="369">
        <f>IF(Inicio!$E$49&gt;=P5,(+P8/P7),0)</f>
        <v>0</v>
      </c>
      <c r="Q38" s="369">
        <f>IF(Inicio!$E$49&gt;=Q5,(+Q8/Q7),0)</f>
        <v>0</v>
      </c>
    </row>
    <row r="39" spans="1:17" ht="13.5" thickBot="1" x14ac:dyDescent="0.25">
      <c r="A39" s="356" t="s">
        <v>248</v>
      </c>
      <c r="B39" s="355"/>
      <c r="C39" s="371">
        <f>IF(Inicio!$E$49&gt;=C5,((+C9+C10+C11+C12+C15)/(1-(C8/C7))),0)</f>
        <v>2057504.1607534688</v>
      </c>
      <c r="D39" s="371">
        <f>IF(Inicio!$E$49&gt;=D5,((+D9+D10+D11+D12+D15)/(1-(D8/D7))),0)</f>
        <v>1949185.1013553974</v>
      </c>
      <c r="E39" s="371">
        <f>IF(Inicio!$E$49&gt;=E5,((+E9+E10+E11+E12+E15)/(1-(E8/E7))),0)</f>
        <v>1919157.1022497918</v>
      </c>
      <c r="F39" s="371">
        <f>IF(Inicio!$E$49&gt;=F5,((+F9+F10+F11+F12+F15)/(1-(F8/F7))),0)</f>
        <v>1871536.0573905883</v>
      </c>
      <c r="G39" s="371">
        <f>IF(Inicio!$E$49&gt;=G5,((+G9+G10+G11+G12+G15)/(1-(G8/G7))),0)</f>
        <v>1846098.5522174996</v>
      </c>
      <c r="H39" s="371">
        <f>IF(Inicio!$E$49&gt;=H5,((+H9+H10+H11+H12+H15)/(1-(H8/H7))),0)</f>
        <v>0</v>
      </c>
      <c r="I39" s="371">
        <f>IF(Inicio!$E$49&gt;=I5,((+I9+I10+I11+I12+I15)/(1-(I8/I7))),0)</f>
        <v>0</v>
      </c>
      <c r="J39" s="371">
        <f>IF(Inicio!$E$49&gt;=J5,((+J9+J10+J11+J12+J15)/(1-(J8/J7))),0)</f>
        <v>0</v>
      </c>
      <c r="K39" s="371">
        <f>IF(Inicio!$E$49&gt;=K5,((+K9+K10+K11+K12+K15)/(1-(K8/K7))),0)</f>
        <v>0</v>
      </c>
      <c r="L39" s="371">
        <f>IF(Inicio!$E$49&gt;=L5,((+L9+L10+L11+L12+L15)/(1-(L8/L7))),0)</f>
        <v>0</v>
      </c>
      <c r="M39" s="371">
        <f>IF(Inicio!$E$49&gt;=M5,((+M9+M10+M11+M12+M15)/(1-(M8/M7))),0)</f>
        <v>0</v>
      </c>
      <c r="N39" s="371">
        <f>IF(Inicio!$E$49&gt;=N5,((+N9+N10+N11+N12+N15)/(1-(N8/N7))),0)</f>
        <v>0</v>
      </c>
      <c r="O39" s="371">
        <f>IF(Inicio!$E$49&gt;=O5,((+O9+O10+O11+O12+O15)/(1-(O8/O7))),0)</f>
        <v>0</v>
      </c>
      <c r="P39" s="371">
        <f>IF(Inicio!$E$49&gt;=P5,((+P9+P10+P11+P12+P15)/(1-(P8/P7))),0)</f>
        <v>0</v>
      </c>
      <c r="Q39" s="371">
        <f>IF(Inicio!$E$49&gt;=Q5,((+Q9+Q10+Q11+Q12+Q15)/(1-(Q8/Q7))),0)</f>
        <v>0</v>
      </c>
    </row>
    <row r="40" spans="1:17" ht="13.5" thickBot="1" x14ac:dyDescent="0.25">
      <c r="A40" s="293" t="s">
        <v>422</v>
      </c>
      <c r="B40" s="294"/>
      <c r="C40" s="540">
        <f>+Inicio!F58</f>
        <v>0.32</v>
      </c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</row>
    <row r="41" spans="1:17" ht="13.5" thickBot="1" x14ac:dyDescent="0.25">
      <c r="A41" s="293" t="s">
        <v>423</v>
      </c>
      <c r="B41" s="294"/>
      <c r="C41" s="371">
        <f>IF(Inicio!$E$49&gt;=C5,((+C9+C10+C11+C12+C15)/($C$40)),0)</f>
        <v>1813834.18521893</v>
      </c>
      <c r="D41" s="371">
        <f>IF(Inicio!$E$49&gt;=D5,((+D9+D10+D11+D12+D15)/($C$40)),0)</f>
        <v>1848895.5241327072</v>
      </c>
      <c r="E41" s="371">
        <f>IF(Inicio!$E$49&gt;=E5,((+E9+E10+E11+E12+E15)/($C$40)),0)</f>
        <v>1884575.3851687037</v>
      </c>
      <c r="F41" s="371">
        <f>IF(Inicio!$E$49&gt;=F5,((+F9+F10+F11+F12+F15)/($C$40)),0)</f>
        <v>1895871.1705854314</v>
      </c>
      <c r="G41" s="371">
        <f>IF(Inicio!$E$49&gt;=G5,((+G9+G10+G11+G12+G15)/($C$40)),0)</f>
        <v>1932778.9534422464</v>
      </c>
      <c r="H41" s="371">
        <f>IF(Inicio!$E$49&gt;=H5,((+H9+H10+H11+H12+H15)/($C$40)),0)</f>
        <v>0</v>
      </c>
      <c r="I41" s="371">
        <f>IF(Inicio!$E$49&gt;=I5,((+I9+I10+I11+I12+I15)/($C$40)),0)</f>
        <v>0</v>
      </c>
      <c r="J41" s="371">
        <f>IF(Inicio!$E$49&gt;=J5,((+J9+J10+J11+J12+J15)/($C$40)),0)</f>
        <v>0</v>
      </c>
      <c r="K41" s="371">
        <f>IF(Inicio!$E$49&gt;=K5,((+K9+K10+K11+K12+K15)/($C$40)),0)</f>
        <v>0</v>
      </c>
      <c r="L41" s="371">
        <f>IF(Inicio!$E$49&gt;=L5,((+L9+L10+L11+L12+L15)/($C$40)),0)</f>
        <v>0</v>
      </c>
      <c r="M41" s="371">
        <f>IF(Inicio!$E$49&gt;=M5,((+M9+M10+M11+M12+M15)/($C$40)),0)</f>
        <v>0</v>
      </c>
      <c r="N41" s="371">
        <f>IF(Inicio!$E$49&gt;=N5,((+N9+N10+N11+N12+N15)/($C$40)),0)</f>
        <v>0</v>
      </c>
      <c r="O41" s="371">
        <f>IF(Inicio!$E$49&gt;=O5,((+O9+O10+O11+O12+O15)/($C$40)),0)</f>
        <v>0</v>
      </c>
      <c r="P41" s="371">
        <f>IF(Inicio!$E$49&gt;=P5,((+P9+P10+P11+P12+P15)/($C$40)),0)</f>
        <v>0</v>
      </c>
      <c r="Q41" s="371">
        <f>IF(Inicio!$E$49&gt;=Q5,((+Q9+Q10+Q11+Q12+Q15)/($C$40)),0)</f>
        <v>0</v>
      </c>
    </row>
    <row r="42" spans="1:17" ht="13.5" thickBot="1" x14ac:dyDescent="0.25">
      <c r="A42" s="545"/>
      <c r="B42" s="548"/>
      <c r="C42" s="549"/>
      <c r="D42" s="297"/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</row>
    <row r="43" spans="1:17" ht="13.5" thickBot="1" x14ac:dyDescent="0.25">
      <c r="A43" s="682" t="s">
        <v>387</v>
      </c>
      <c r="B43" s="683"/>
      <c r="C43" s="531" t="s">
        <v>246</v>
      </c>
      <c r="D43" s="365"/>
      <c r="E43" s="365"/>
      <c r="F43" s="365"/>
      <c r="G43" s="365"/>
      <c r="H43" s="297"/>
      <c r="I43" s="256"/>
      <c r="J43" s="230"/>
      <c r="K43" s="230"/>
      <c r="L43" s="230"/>
      <c r="M43" s="230"/>
      <c r="N43" s="230"/>
      <c r="O43" s="230"/>
      <c r="P43" s="230"/>
      <c r="Q43" s="230"/>
    </row>
    <row r="44" spans="1:17" x14ac:dyDescent="0.2">
      <c r="A44" s="242" t="s">
        <v>388</v>
      </c>
      <c r="B44" s="528"/>
      <c r="C44" s="255">
        <f>IRR(B37:Q37,C46)</f>
        <v>0.45461787470988146</v>
      </c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</row>
    <row r="45" spans="1:17" x14ac:dyDescent="0.2">
      <c r="A45" s="242" t="s">
        <v>389</v>
      </c>
      <c r="B45" s="528"/>
      <c r="C45" s="372">
        <f>+B37+C37/(1+C46)+D37/POWER(1+C46,2)+E37/POWER(1+C46,3)+F37/POWER(1+C46,4)+G37/POWER(1+C46,5)+H37/POWER(1+C46,6)+I37/POWER(1+C46,7)+J37/POWER(1+C46,8)+K37/POWER(1+C46,9)+L37/POWER(1+C46,10)+M37/POWER(1+C46,11)+N37/POWER(1+C46,12)+O37/POWER(1+C46,13)+P37/POWER(1+C46,14)+Q37/POWER(1+C46,15)</f>
        <v>311755.65980211354</v>
      </c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</row>
    <row r="46" spans="1:17" x14ac:dyDescent="0.2">
      <c r="A46" s="242" t="s">
        <v>390</v>
      </c>
      <c r="B46" s="528"/>
      <c r="C46" s="373">
        <f>Inicio!E48</f>
        <v>0.24</v>
      </c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</row>
    <row r="47" spans="1:17" x14ac:dyDescent="0.2">
      <c r="A47" s="242" t="s">
        <v>392</v>
      </c>
      <c r="B47" s="528"/>
      <c r="C47" s="374">
        <f>+B54/-B55</f>
        <v>1.620488456770478</v>
      </c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</row>
    <row r="48" spans="1:17" ht="13.5" thickBot="1" x14ac:dyDescent="0.25">
      <c r="A48" s="263" t="s">
        <v>391</v>
      </c>
      <c r="B48" s="529"/>
      <c r="C48" s="375">
        <f>(+POWER(B56/-B55,1/B57))-1</f>
        <v>0.36568605078298466</v>
      </c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</row>
    <row r="49" spans="1:17" x14ac:dyDescent="0.2">
      <c r="A49" s="256" t="s">
        <v>1</v>
      </c>
      <c r="B49" s="153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</row>
    <row r="50" spans="1:17" x14ac:dyDescent="0.2">
      <c r="A50" s="230" t="s">
        <v>1</v>
      </c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</row>
    <row r="51" spans="1:17" ht="13.5" thickBot="1" x14ac:dyDescent="0.25">
      <c r="A51" s="357" t="s">
        <v>69</v>
      </c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</row>
    <row r="52" spans="1:17" ht="13.5" thickBot="1" x14ac:dyDescent="0.25">
      <c r="A52" s="357" t="s">
        <v>70</v>
      </c>
      <c r="B52" s="376">
        <f>IF(B37&gt;=0,B37,0)</f>
        <v>0</v>
      </c>
      <c r="C52" s="361">
        <f t="shared" ref="C52:Q52" si="8">IF(C37&gt;=0,C37,0)</f>
        <v>164375.63804095984</v>
      </c>
      <c r="D52" s="361">
        <f t="shared" si="8"/>
        <v>255615.86595038726</v>
      </c>
      <c r="E52" s="361">
        <f t="shared" si="8"/>
        <v>284924.28502602311</v>
      </c>
      <c r="F52" s="361">
        <f t="shared" si="8"/>
        <v>343505.38438730582</v>
      </c>
      <c r="G52" s="361">
        <f t="shared" si="8"/>
        <v>646875.55739123793</v>
      </c>
      <c r="H52" s="361">
        <f t="shared" si="8"/>
        <v>0</v>
      </c>
      <c r="I52" s="361">
        <f t="shared" si="8"/>
        <v>0</v>
      </c>
      <c r="J52" s="361">
        <f t="shared" si="8"/>
        <v>0</v>
      </c>
      <c r="K52" s="361">
        <f t="shared" si="8"/>
        <v>0</v>
      </c>
      <c r="L52" s="361">
        <f t="shared" si="8"/>
        <v>0</v>
      </c>
      <c r="M52" s="361">
        <f t="shared" si="8"/>
        <v>0</v>
      </c>
      <c r="N52" s="361">
        <f t="shared" si="8"/>
        <v>0</v>
      </c>
      <c r="O52" s="361">
        <f t="shared" si="8"/>
        <v>0</v>
      </c>
      <c r="P52" s="361">
        <f t="shared" si="8"/>
        <v>0</v>
      </c>
      <c r="Q52" s="354">
        <f t="shared" si="8"/>
        <v>0</v>
      </c>
    </row>
    <row r="53" spans="1:17" ht="13.5" thickBot="1" x14ac:dyDescent="0.25">
      <c r="A53" s="357" t="s">
        <v>73</v>
      </c>
      <c r="B53" s="376">
        <f>IF(B37&lt;0,B37,0)</f>
        <v>-502435.87354507996</v>
      </c>
      <c r="C53" s="361">
        <f t="shared" ref="C53:Q53" si="9">IF(C37&lt;0,C37,0)</f>
        <v>0</v>
      </c>
      <c r="D53" s="361">
        <f t="shared" si="9"/>
        <v>0</v>
      </c>
      <c r="E53" s="361">
        <f t="shared" si="9"/>
        <v>0</v>
      </c>
      <c r="F53" s="361">
        <f t="shared" si="9"/>
        <v>0</v>
      </c>
      <c r="G53" s="361">
        <f t="shared" si="9"/>
        <v>0</v>
      </c>
      <c r="H53" s="361">
        <f t="shared" si="9"/>
        <v>0</v>
      </c>
      <c r="I53" s="361">
        <f t="shared" si="9"/>
        <v>0</v>
      </c>
      <c r="J53" s="361">
        <f t="shared" si="9"/>
        <v>0</v>
      </c>
      <c r="K53" s="361">
        <f t="shared" si="9"/>
        <v>0</v>
      </c>
      <c r="L53" s="361">
        <f t="shared" si="9"/>
        <v>0</v>
      </c>
      <c r="M53" s="361">
        <f t="shared" si="9"/>
        <v>0</v>
      </c>
      <c r="N53" s="361">
        <f t="shared" si="9"/>
        <v>0</v>
      </c>
      <c r="O53" s="361">
        <f t="shared" si="9"/>
        <v>0</v>
      </c>
      <c r="P53" s="361">
        <f t="shared" si="9"/>
        <v>0</v>
      </c>
      <c r="Q53" s="354">
        <f t="shared" si="9"/>
        <v>0</v>
      </c>
    </row>
    <row r="54" spans="1:17" x14ac:dyDescent="0.2">
      <c r="A54" s="357" t="s">
        <v>71</v>
      </c>
      <c r="B54" s="379">
        <f>+B52+C52/(1+C46)+D52/POWER(1+C46,2)+E52/POWER(1+C46,3)+F52/POWER(1+C46,4)+G52/POWER(1+C46,5)+H52/POWER(1+C46,6)+I52/POWER(1+C46,7)+J52/POWER(1+C46,8)+K52/POWER(1+C46,9)+L52/POWER(1+C46,10)+M52/POWER(1+C46,11)+N52/POWER(1+C46,12)+O52/POWER(1+C46,13)+P52/POWER(1+C46,14)+Q52/POWER(1+C46,15)</f>
        <v>814191.53334719362</v>
      </c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</row>
    <row r="55" spans="1:17" x14ac:dyDescent="0.2">
      <c r="A55" s="357" t="s">
        <v>72</v>
      </c>
      <c r="B55" s="377">
        <f>+B53+C53/(1+C46)+D53/POWER(1+C46,2)+E53/POWER(1+C46,3)+F53/POWER(1+C46,4)+G53/POWER(1+C46,5)+H53/POWER(1+C46,6)+I53/POWER(1+C46,7)+J53/POWER(1+C46,8)+K53/POWER(1+C46,9)+L53/POWER(1+C46,10)+M53/POWER(1+C46,11)+N53/POWER(1+C46,12)+O53/POWER(1+C46,13)+P53/POWER(1+C46,14)+Q53/POWER(1+C46,15)</f>
        <v>-502435.87354507996</v>
      </c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</row>
    <row r="56" spans="1:17" x14ac:dyDescent="0.2">
      <c r="A56" s="357" t="s">
        <v>75</v>
      </c>
      <c r="B56" s="377">
        <f>+B52*POWER(1+C46,(B57-0))+C52*POWER(1+C46,(B57-1))+D52*POWER(1+C46,(B57-2))+E52*POWER(1+C46,(B57-3))+F52*POWER(1+C46,(B57-4))+G52*POWER(1+C46,(B57-5))+H52*POWER(1+C46,(B57-6))+I52*POWER(1+C46,(B57-7))+J52*POWER(1+C46,(B57-8))+K52*POWER(1+C46,(B57-9))+L52*POWER(1+C46,(B57-10))+M52*POWER(1+C46,(B57-11))+N52*POWER(1+C46,(B57-12))+O52*POWER(1+C46,(B57-13))+P52*POWER(1+C46,(B57-14))+Q52</f>
        <v>2386904.3047545184</v>
      </c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</row>
    <row r="57" spans="1:17" ht="13.5" thickBot="1" x14ac:dyDescent="0.25">
      <c r="A57" s="357" t="s">
        <v>76</v>
      </c>
      <c r="B57" s="378">
        <f>Inicio!E49</f>
        <v>5</v>
      </c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</row>
    <row r="58" spans="1:17" x14ac:dyDescent="0.2">
      <c r="A58" s="230"/>
      <c r="B58" s="230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</row>
    <row r="59" spans="1:17" x14ac:dyDescent="0.2">
      <c r="A59" s="230"/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</row>
    <row r="60" spans="1:17" x14ac:dyDescent="0.2">
      <c r="A60" s="230"/>
      <c r="B60" s="230"/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1:17" x14ac:dyDescent="0.2">
      <c r="A61" s="230"/>
      <c r="B61" s="230"/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</row>
    <row r="62" spans="1:17" x14ac:dyDescent="0.2">
      <c r="A62" s="230"/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</row>
    <row r="63" spans="1:17" x14ac:dyDescent="0.2">
      <c r="A63" s="230"/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</row>
    <row r="64" spans="1:17" x14ac:dyDescent="0.2">
      <c r="A64" s="230"/>
      <c r="B64" s="230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</row>
    <row r="65" spans="1:17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x14ac:dyDescent="0.2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x14ac:dyDescent="0.2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x14ac:dyDescent="0.2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x14ac:dyDescent="0.2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x14ac:dyDescent="0.2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x14ac:dyDescent="0.2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x14ac:dyDescent="0.2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x14ac:dyDescent="0.2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x14ac:dyDescent="0.2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x14ac:dyDescent="0.2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x14ac:dyDescent="0.2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</sheetData>
  <sheetProtection password="F88E" sheet="1" objects="1" scenarios="1" formatColumns="0"/>
  <customSheetViews>
    <customSheetView guid="{4BF10618-D357-11D5-9338-EFF21189730A}" showGridLines="0" outlineSymbols="0" showRuler="0" topLeftCell="A22">
      <selection activeCell="D32" sqref="D32"/>
      <pageMargins left="0.51181102362204722" right="0.51181102362204722" top="0.98425196850393704" bottom="0.98425196850393704" header="0" footer="0"/>
      <printOptions horizontalCentered="1"/>
      <pageSetup scale="55" orientation="landscape" horizontalDpi="180" verticalDpi="180" r:id="rId1"/>
      <headerFooter alignWithMargins="0"/>
    </customSheetView>
  </customSheetViews>
  <mergeCells count="5">
    <mergeCell ref="A43:B43"/>
    <mergeCell ref="A1:G1"/>
    <mergeCell ref="A2:G2"/>
    <mergeCell ref="A3:G3"/>
    <mergeCell ref="A4:G4"/>
  </mergeCells>
  <phoneticPr fontId="11" type="noConversion"/>
  <printOptions horizontalCentered="1"/>
  <pageMargins left="0.51181102362204722" right="0.51181102362204722" top="0.98425196850393704" bottom="0.98425196850393704" header="0" footer="0"/>
  <pageSetup scale="55" orientation="landscape" horizontalDpi="180" verticalDpi="18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R90"/>
  <sheetViews>
    <sheetView showGridLines="0" showOutlineSymbols="0" topLeftCell="A28" zoomScaleNormal="100" workbookViewId="0">
      <selection activeCell="C46" sqref="C46"/>
    </sheetView>
  </sheetViews>
  <sheetFormatPr baseColWidth="10" defaultRowHeight="12.75" x14ac:dyDescent="0.2"/>
  <cols>
    <col min="1" max="1" width="15.7109375" style="1" customWidth="1"/>
    <col min="2" max="17" width="13.7109375" style="1" customWidth="1"/>
    <col min="18" max="16384" width="11.42578125" style="1"/>
  </cols>
  <sheetData>
    <row r="1" spans="1:18" ht="18.75" thickBot="1" x14ac:dyDescent="0.3">
      <c r="A1" s="662" t="str">
        <f>'análisis proyecto'!A1:G1</f>
        <v>PREFACTIBILIDAD PARA LA CREACIÓN DE UN PRODUCTO; PARA LA FABRICACION DE BLOQUE CON COMPONENTE DE MATERIAL PET</v>
      </c>
      <c r="B1" s="662"/>
      <c r="C1" s="662"/>
      <c r="D1" s="662"/>
      <c r="E1" s="662"/>
      <c r="F1" s="662"/>
      <c r="G1" s="662"/>
      <c r="H1" s="218"/>
      <c r="I1" s="682" t="s">
        <v>290</v>
      </c>
      <c r="J1" s="683"/>
      <c r="K1" s="315" t="s">
        <v>66</v>
      </c>
      <c r="L1" s="218"/>
      <c r="M1" s="218"/>
      <c r="N1" s="218"/>
      <c r="O1" s="218"/>
      <c r="P1" s="218"/>
      <c r="Q1" s="218"/>
    </row>
    <row r="2" spans="1:18" x14ac:dyDescent="0.2">
      <c r="A2" s="666" t="s">
        <v>394</v>
      </c>
      <c r="B2" s="666"/>
      <c r="C2" s="666"/>
      <c r="D2" s="666"/>
      <c r="E2" s="666"/>
      <c r="F2" s="666"/>
      <c r="G2" s="666"/>
      <c r="H2" s="245"/>
      <c r="I2" s="237" t="str">
        <f>+Inicio!C257</f>
        <v>Ventas</v>
      </c>
      <c r="J2" s="528"/>
      <c r="K2" s="382">
        <f>Inicio!D257</f>
        <v>0.98</v>
      </c>
      <c r="L2" s="245"/>
      <c r="M2" s="245"/>
      <c r="N2" s="245"/>
      <c r="O2" s="245"/>
      <c r="P2" s="245"/>
      <c r="Q2" s="245"/>
    </row>
    <row r="3" spans="1:18" x14ac:dyDescent="0.2">
      <c r="A3" s="667" t="str">
        <f>IF(Inicio!$E$51="Años","En Años","En Meses")</f>
        <v>En Años</v>
      </c>
      <c r="B3" s="667"/>
      <c r="C3" s="667"/>
      <c r="D3" s="667"/>
      <c r="E3" s="667"/>
      <c r="F3" s="667"/>
      <c r="G3" s="667"/>
      <c r="H3" s="246"/>
      <c r="I3" s="237" t="str">
        <f>+Inicio!C258</f>
        <v>Costos Compras Materia Prima</v>
      </c>
      <c r="J3" s="528"/>
      <c r="K3" s="383">
        <f>Inicio!D258</f>
        <v>1.02</v>
      </c>
      <c r="L3" s="246"/>
      <c r="M3" s="246"/>
      <c r="N3" s="246"/>
      <c r="O3" s="246"/>
      <c r="P3" s="246"/>
      <c r="Q3" s="246"/>
      <c r="R3" s="2"/>
    </row>
    <row r="4" spans="1:18" x14ac:dyDescent="0.2">
      <c r="A4" s="667" t="s">
        <v>276</v>
      </c>
      <c r="B4" s="667"/>
      <c r="C4" s="667"/>
      <c r="D4" s="667"/>
      <c r="E4" s="667"/>
      <c r="F4" s="667"/>
      <c r="G4" s="667"/>
      <c r="H4" s="246"/>
      <c r="I4" s="237" t="str">
        <f>+Inicio!C259</f>
        <v>Gastos Administrativos y de Ventas</v>
      </c>
      <c r="J4" s="528"/>
      <c r="K4" s="383">
        <f>Inicio!D259</f>
        <v>1.01</v>
      </c>
      <c r="L4" s="246"/>
      <c r="M4" s="246"/>
      <c r="N4" s="246"/>
      <c r="O4" s="246"/>
      <c r="P4" s="246"/>
      <c r="Q4" s="246"/>
    </row>
    <row r="5" spans="1:18" ht="13.5" thickBot="1" x14ac:dyDescent="0.25">
      <c r="A5" s="246"/>
      <c r="B5" s="246"/>
      <c r="C5" s="246"/>
      <c r="D5" s="246"/>
      <c r="E5" s="246"/>
      <c r="F5" s="246"/>
      <c r="G5" s="246"/>
      <c r="H5" s="246"/>
      <c r="I5" s="265" t="str">
        <f>+Inicio!C260</f>
        <v>Costos  Indirectos Fabricación</v>
      </c>
      <c r="J5" s="529"/>
      <c r="K5" s="383">
        <f>+Inicio!D260</f>
        <v>1.02</v>
      </c>
      <c r="L5" s="246"/>
      <c r="M5" s="246"/>
      <c r="N5" s="246"/>
      <c r="O5" s="246"/>
      <c r="P5" s="246"/>
      <c r="Q5" s="246"/>
    </row>
    <row r="6" spans="1:18" ht="13.5" thickBot="1" x14ac:dyDescent="0.25">
      <c r="A6" s="240" t="s">
        <v>4</v>
      </c>
      <c r="B6" s="249">
        <v>0</v>
      </c>
      <c r="C6" s="315">
        <v>1</v>
      </c>
      <c r="D6" s="249">
        <v>2</v>
      </c>
      <c r="E6" s="315">
        <v>3</v>
      </c>
      <c r="F6" s="249">
        <v>4</v>
      </c>
      <c r="G6" s="315">
        <v>5</v>
      </c>
      <c r="H6" s="249">
        <v>6</v>
      </c>
      <c r="I6" s="315">
        <v>7</v>
      </c>
      <c r="J6" s="249">
        <v>8</v>
      </c>
      <c r="K6" s="315">
        <v>9</v>
      </c>
      <c r="L6" s="249">
        <v>10</v>
      </c>
      <c r="M6" s="315">
        <v>11</v>
      </c>
      <c r="N6" s="249">
        <v>12</v>
      </c>
      <c r="O6" s="315">
        <v>13</v>
      </c>
      <c r="P6" s="249">
        <v>14</v>
      </c>
      <c r="Q6" s="315">
        <v>15</v>
      </c>
    </row>
    <row r="7" spans="1:18" x14ac:dyDescent="0.2">
      <c r="A7" s="242"/>
      <c r="B7" s="234"/>
      <c r="C7" s="235"/>
      <c r="D7" s="234"/>
      <c r="E7" s="256"/>
      <c r="F7" s="234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</row>
    <row r="8" spans="1:18" x14ac:dyDescent="0.2">
      <c r="A8" s="242" t="s">
        <v>7</v>
      </c>
      <c r="B8" s="234"/>
      <c r="C8" s="313">
        <f>(+'Estado de Resultado '!B9)*$K$2</f>
        <v>2385018.9439999997</v>
      </c>
      <c r="D8" s="313">
        <f>(+'Estado de Resultado '!C9)*$K$2</f>
        <v>2715473.3759999997</v>
      </c>
      <c r="E8" s="313">
        <f>(+'Estado de Resultado '!D9)*$K$2</f>
        <v>2946288.6129599996</v>
      </c>
      <c r="F8" s="313">
        <f>(+'Estado de Resultado '!E9)*$K$2</f>
        <v>3193396.6901759994</v>
      </c>
      <c r="G8" s="313">
        <f>(+'Estado de Resultado '!F9)*$K$2</f>
        <v>3492777.6298799994</v>
      </c>
      <c r="H8" s="313">
        <f>(+'Estado de Resultado '!G9)*$K$2</f>
        <v>0</v>
      </c>
      <c r="I8" s="313">
        <f>(+'Estado de Resultado '!H9)*$K$2</f>
        <v>0</v>
      </c>
      <c r="J8" s="313">
        <f>(+'Estado de Resultado '!I9)*$K$2</f>
        <v>0</v>
      </c>
      <c r="K8" s="313">
        <f>(+'Estado de Resultado '!J9)*$K$2</f>
        <v>0</v>
      </c>
      <c r="L8" s="313">
        <f>(+'Estado de Resultado '!K9)*$K$2</f>
        <v>0</v>
      </c>
      <c r="M8" s="313">
        <f>(+'Estado de Resultado '!L9)*$K$2</f>
        <v>0</v>
      </c>
      <c r="N8" s="313">
        <f>(+'Estado de Resultado '!M9)*$K$2</f>
        <v>0</v>
      </c>
      <c r="O8" s="313">
        <f>(+'Estado de Resultado '!N9)*$K$2</f>
        <v>0</v>
      </c>
      <c r="P8" s="313">
        <f>(+'Estado de Resultado '!O9)*$K$2</f>
        <v>0</v>
      </c>
      <c r="Q8" s="313">
        <f>(+'Estado de Resultado '!P9)*$K$2</f>
        <v>0</v>
      </c>
    </row>
    <row r="9" spans="1:18" x14ac:dyDescent="0.2">
      <c r="A9" s="242" t="s">
        <v>137</v>
      </c>
      <c r="B9" s="380">
        <f>+C9/C8</f>
        <v>0.73672889140199438</v>
      </c>
      <c r="C9" s="313">
        <f>('presupuesto compras y ventas'!B127+'gastos personal'!C90+'gastos generales'!B75)</f>
        <v>1757112.362585875</v>
      </c>
      <c r="D9" s="313">
        <f>('presupuesto compras y ventas'!C127+'gastos personal'!D90+'gastos generales'!C75)</f>
        <v>1939991.6770472259</v>
      </c>
      <c r="E9" s="313">
        <f>('presupuesto compras y ventas'!D127+'gastos personal'!E90+'gastos generales'!D75)</f>
        <v>2072083.5151908402</v>
      </c>
      <c r="F9" s="313">
        <f>('presupuesto compras y ventas'!E127+'gastos personal'!F90+'gastos generales'!E75)</f>
        <v>2212876.3022729205</v>
      </c>
      <c r="G9" s="313">
        <f>('presupuesto compras y ventas'!F127+'gastos personal'!G90+'gastos generales'!F75)</f>
        <v>2380838.4921077355</v>
      </c>
      <c r="H9" s="313">
        <f>('presupuesto compras y ventas'!G127+'gastos personal'!H90+'gastos generales'!G75)</f>
        <v>0</v>
      </c>
      <c r="I9" s="313">
        <f>('presupuesto compras y ventas'!H127+'gastos personal'!I90+'gastos generales'!H75)</f>
        <v>0</v>
      </c>
      <c r="J9" s="313">
        <f>('presupuesto compras y ventas'!I127+'gastos personal'!J90+'gastos generales'!I75)</f>
        <v>0</v>
      </c>
      <c r="K9" s="313">
        <f>('presupuesto compras y ventas'!J127+'gastos personal'!K90+'gastos generales'!J75)</f>
        <v>0</v>
      </c>
      <c r="L9" s="313">
        <f>('presupuesto compras y ventas'!K127+'gastos personal'!L90+'gastos generales'!K75)</f>
        <v>0</v>
      </c>
      <c r="M9" s="313">
        <f>('presupuesto compras y ventas'!L127+'gastos personal'!M90+'gastos generales'!L75)</f>
        <v>0</v>
      </c>
      <c r="N9" s="313">
        <f>('presupuesto compras y ventas'!M127+'gastos personal'!N90+'gastos generales'!M75)</f>
        <v>0</v>
      </c>
      <c r="O9" s="313">
        <f>('presupuesto compras y ventas'!N127+'gastos personal'!O90+'gastos generales'!N75)</f>
        <v>0</v>
      </c>
      <c r="P9" s="313">
        <f>('presupuesto compras y ventas'!O127+'gastos personal'!P90+'gastos generales'!O75)</f>
        <v>0</v>
      </c>
      <c r="Q9" s="313">
        <f>('presupuesto compras y ventas'!P127+'gastos personal'!Q90+'gastos generales'!P75)</f>
        <v>0</v>
      </c>
    </row>
    <row r="10" spans="1:18" x14ac:dyDescent="0.2">
      <c r="A10" s="242" t="s">
        <v>111</v>
      </c>
      <c r="B10" s="234"/>
      <c r="C10" s="313">
        <f>(+'Estado de Resultado '!B19+'Estado de Resultado '!B30)*$K$4</f>
        <v>314690.78371913283</v>
      </c>
      <c r="D10" s="313">
        <f>(+'Estado de Resultado '!C19+'Estado de Resultado '!C30)*$K$4</f>
        <v>322558.05331211112</v>
      </c>
      <c r="E10" s="313">
        <f>(+'Estado de Resultado '!D19+'Estado de Resultado '!D30)*$K$4</f>
        <v>330622.00464491389</v>
      </c>
      <c r="F10" s="313">
        <f>(+'Estado de Resultado '!E19+'Estado de Resultado '!E30)*$K$4</f>
        <v>338887.55476103682</v>
      </c>
      <c r="G10" s="313">
        <f>(+'Estado de Resultado '!F19+'Estado de Resultado '!F30)*$K$4</f>
        <v>347359.74363006267</v>
      </c>
      <c r="H10" s="313">
        <f>(+'Estado de Resultado '!G19+'Estado de Resultado '!G30)*$K$4</f>
        <v>0</v>
      </c>
      <c r="I10" s="313">
        <f>(+'Estado de Resultado '!H19+'Estado de Resultado '!H30)*$K$4</f>
        <v>0</v>
      </c>
      <c r="J10" s="313">
        <f>(+'Estado de Resultado '!I19+'Estado de Resultado '!I30)*$K$4</f>
        <v>0</v>
      </c>
      <c r="K10" s="313">
        <f>(+'Estado de Resultado '!J19+'Estado de Resultado '!J30)*$K$4</f>
        <v>0</v>
      </c>
      <c r="L10" s="313">
        <f>(+'Estado de Resultado '!K19+'Estado de Resultado '!K30)*$K$4</f>
        <v>0</v>
      </c>
      <c r="M10" s="313">
        <f>(+'Estado de Resultado '!L19+'Estado de Resultado '!L30)*$K$4</f>
        <v>0</v>
      </c>
      <c r="N10" s="313">
        <f>(+'Estado de Resultado '!M19+'Estado de Resultado '!M30)*$K$4</f>
        <v>0</v>
      </c>
      <c r="O10" s="313">
        <f>(+'Estado de Resultado '!N19+'Estado de Resultado '!N30)*$K$4</f>
        <v>0</v>
      </c>
      <c r="P10" s="313">
        <f>(+'Estado de Resultado '!O19+'Estado de Resultado '!O30)*$K$4</f>
        <v>0</v>
      </c>
      <c r="Q10" s="313">
        <f>(+'Estado de Resultado '!P19+'Estado de Resultado '!P30)*$K$4</f>
        <v>0</v>
      </c>
    </row>
    <row r="11" spans="1:18" x14ac:dyDescent="0.2">
      <c r="A11" s="242" t="s">
        <v>129</v>
      </c>
      <c r="B11" s="234"/>
      <c r="C11" s="313">
        <f>+'Estado de Resultado '!B22</f>
        <v>44530</v>
      </c>
      <c r="D11" s="313">
        <f>+'Estado de Resultado '!C22</f>
        <v>44530</v>
      </c>
      <c r="E11" s="313">
        <f>+'Estado de Resultado '!D22</f>
        <v>44530</v>
      </c>
      <c r="F11" s="313">
        <f>+'Estado de Resultado '!E22</f>
        <v>36530</v>
      </c>
      <c r="G11" s="313">
        <f>+'Estado de Resultado '!F22</f>
        <v>36530</v>
      </c>
      <c r="H11" s="313">
        <f>+'Estado de Resultado '!G22</f>
        <v>0</v>
      </c>
      <c r="I11" s="313">
        <f>+'Estado de Resultado '!H22</f>
        <v>0</v>
      </c>
      <c r="J11" s="313">
        <f>+'Estado de Resultado '!I22</f>
        <v>0</v>
      </c>
      <c r="K11" s="313">
        <f>+'Estado de Resultado '!J22</f>
        <v>0</v>
      </c>
      <c r="L11" s="313">
        <f>+'Estado de Resultado '!K22</f>
        <v>0</v>
      </c>
      <c r="M11" s="313">
        <f>+'Estado de Resultado '!L22</f>
        <v>0</v>
      </c>
      <c r="N11" s="313">
        <f>+'Estado de Resultado '!M22</f>
        <v>0</v>
      </c>
      <c r="O11" s="313">
        <f>+'Estado de Resultado '!N22</f>
        <v>0</v>
      </c>
      <c r="P11" s="313">
        <f>+'Estado de Resultado '!O22</f>
        <v>0</v>
      </c>
      <c r="Q11" s="313">
        <f>+'Estado de Resultado '!P22</f>
        <v>0</v>
      </c>
    </row>
    <row r="12" spans="1:18" x14ac:dyDescent="0.2">
      <c r="A12" s="242" t="s">
        <v>130</v>
      </c>
      <c r="B12" s="234"/>
      <c r="C12" s="313">
        <f>+'Estado de Resultado '!B23</f>
        <v>4300</v>
      </c>
      <c r="D12" s="313">
        <f>+'Estado de Resultado '!C23</f>
        <v>4300</v>
      </c>
      <c r="E12" s="313">
        <f>+'Estado de Resultado '!D23</f>
        <v>4300</v>
      </c>
      <c r="F12" s="313">
        <f>+'Estado de Resultado '!E23</f>
        <v>4300</v>
      </c>
      <c r="G12" s="313">
        <f>+'Estado de Resultado '!F23</f>
        <v>4300</v>
      </c>
      <c r="H12" s="313">
        <f>+'Estado de Resultado '!G23</f>
        <v>0</v>
      </c>
      <c r="I12" s="313">
        <f>+'Estado de Resultado '!H23</f>
        <v>0</v>
      </c>
      <c r="J12" s="313">
        <f>+'Estado de Resultado '!I23</f>
        <v>0</v>
      </c>
      <c r="K12" s="313">
        <f>+'Estado de Resultado '!J23</f>
        <v>0</v>
      </c>
      <c r="L12" s="313">
        <f>+'Estado de Resultado '!K23</f>
        <v>0</v>
      </c>
      <c r="M12" s="313">
        <f>+'Estado de Resultado '!L23</f>
        <v>0</v>
      </c>
      <c r="N12" s="313">
        <f>+'Estado de Resultado '!M23</f>
        <v>0</v>
      </c>
      <c r="O12" s="313">
        <f>+'Estado de Resultado '!N23</f>
        <v>0</v>
      </c>
      <c r="P12" s="313">
        <f>+'Estado de Resultado '!O23</f>
        <v>0</v>
      </c>
      <c r="Q12" s="313">
        <f>+'Estado de Resultado '!P23</f>
        <v>0</v>
      </c>
    </row>
    <row r="13" spans="1:18" ht="13.5" thickBot="1" x14ac:dyDescent="0.25">
      <c r="A13" s="242" t="s">
        <v>28</v>
      </c>
      <c r="B13" s="234"/>
      <c r="C13" s="313">
        <f>+'Estado de Resultado '!B24</f>
        <v>9421.9058847775359</v>
      </c>
      <c r="D13" s="313">
        <f>+'Estado de Resultado '!C24</f>
        <v>7587.1585025542772</v>
      </c>
      <c r="E13" s="313">
        <f>+'Estado de Resultado '!D24</f>
        <v>5623.9788035753891</v>
      </c>
      <c r="F13" s="313">
        <f>+'Estado de Resultado '!E24</f>
        <v>3523.3765256679794</v>
      </c>
      <c r="G13" s="313">
        <f>+'Estado de Resultado '!F24</f>
        <v>1275.7320883070529</v>
      </c>
      <c r="H13" s="313">
        <f>+'Estado de Resultado '!G24</f>
        <v>0</v>
      </c>
      <c r="I13" s="313">
        <f>+'Estado de Resultado '!H24</f>
        <v>0</v>
      </c>
      <c r="J13" s="313">
        <f>+'Estado de Resultado '!I24</f>
        <v>0</v>
      </c>
      <c r="K13" s="313">
        <f>+'Estado de Resultado '!J24</f>
        <v>0</v>
      </c>
      <c r="L13" s="313">
        <f>+'Estado de Resultado '!K24</f>
        <v>0</v>
      </c>
      <c r="M13" s="313">
        <f>+'Estado de Resultado '!L24</f>
        <v>0</v>
      </c>
      <c r="N13" s="313">
        <f>+'Estado de Resultado '!M24</f>
        <v>0</v>
      </c>
      <c r="O13" s="313">
        <f>+'Estado de Resultado '!N24</f>
        <v>0</v>
      </c>
      <c r="P13" s="313">
        <f>+'Estado de Resultado '!O24</f>
        <v>0</v>
      </c>
      <c r="Q13" s="313">
        <f>+'Estado de Resultado '!P24</f>
        <v>0</v>
      </c>
    </row>
    <row r="14" spans="1:18" ht="13.5" thickBot="1" x14ac:dyDescent="0.25">
      <c r="A14" s="353" t="s">
        <v>122</v>
      </c>
      <c r="B14" s="360"/>
      <c r="C14" s="354">
        <f>+C8-C9-C10-C11-C12-C13</f>
        <v>254963.89181021432</v>
      </c>
      <c r="D14" s="253">
        <f>+D8-D9-D10-D11-D12-D13</f>
        <v>396506.48713810841</v>
      </c>
      <c r="E14" s="361">
        <f>+E8-E9-E10-E11-E12-E13</f>
        <v>489129.11432067014</v>
      </c>
      <c r="F14" s="253">
        <f>+F8-F9-F10-F11-F12-F13</f>
        <v>597279.4566163742</v>
      </c>
      <c r="G14" s="354">
        <f>+G8-G9-G10-G11-G12-G13</f>
        <v>722473.66205389425</v>
      </c>
      <c r="H14" s="354">
        <f t="shared" ref="H14:Q14" si="0">+H8-H9-H10-H11-H12-H13</f>
        <v>0</v>
      </c>
      <c r="I14" s="354">
        <f t="shared" si="0"/>
        <v>0</v>
      </c>
      <c r="J14" s="354">
        <f t="shared" si="0"/>
        <v>0</v>
      </c>
      <c r="K14" s="354">
        <f t="shared" si="0"/>
        <v>0</v>
      </c>
      <c r="L14" s="354">
        <f t="shared" si="0"/>
        <v>0</v>
      </c>
      <c r="M14" s="354">
        <f t="shared" si="0"/>
        <v>0</v>
      </c>
      <c r="N14" s="354">
        <f t="shared" si="0"/>
        <v>0</v>
      </c>
      <c r="O14" s="354">
        <f t="shared" si="0"/>
        <v>0</v>
      </c>
      <c r="P14" s="354">
        <f t="shared" si="0"/>
        <v>0</v>
      </c>
      <c r="Q14" s="354">
        <f t="shared" si="0"/>
        <v>0</v>
      </c>
    </row>
    <row r="15" spans="1:18" x14ac:dyDescent="0.2">
      <c r="A15" s="242"/>
      <c r="B15" s="234"/>
      <c r="C15" s="235"/>
      <c r="D15" s="234"/>
      <c r="E15" s="256"/>
      <c r="F15" s="234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</row>
    <row r="16" spans="1:18" x14ac:dyDescent="0.2">
      <c r="A16" s="242" t="s">
        <v>99</v>
      </c>
      <c r="B16" s="234"/>
      <c r="C16" s="313">
        <f>(+'Estado de Resultado '!B20+'Estado de Resultado '!B31)*$K$4</f>
        <v>212706</v>
      </c>
      <c r="D16" s="313">
        <f>(+'Estado de Resultado '!C20+'Estado de Resultado '!C31)*$K$4</f>
        <v>218023.65</v>
      </c>
      <c r="E16" s="313">
        <f>(+'Estado de Resultado '!D20+'Estado de Resultado '!D31)*$K$4</f>
        <v>223474.24124999999</v>
      </c>
      <c r="F16" s="313">
        <f>(+'Estado de Resultado '!E20+'Estado de Resultado '!E31)*$K$4</f>
        <v>229061.09728125003</v>
      </c>
      <c r="G16" s="313">
        <f>(+'Estado de Resultado '!F20+'Estado de Resultado '!F31)*$K$4</f>
        <v>234787.62471328126</v>
      </c>
      <c r="H16" s="313">
        <f>(+'Estado de Resultado '!G20+'Estado de Resultado '!G31)*$K$4</f>
        <v>0</v>
      </c>
      <c r="I16" s="313">
        <f>(+'Estado de Resultado '!H20+'Estado de Resultado '!H31)*$K$4</f>
        <v>0</v>
      </c>
      <c r="J16" s="313">
        <f>(+'Estado de Resultado '!I20+'Estado de Resultado '!I31)*$K$4</f>
        <v>0</v>
      </c>
      <c r="K16" s="313">
        <f>(+'Estado de Resultado '!J20+'Estado de Resultado '!J31)*$K$4</f>
        <v>0</v>
      </c>
      <c r="L16" s="313">
        <f>(+'Estado de Resultado '!K20+'Estado de Resultado '!K31)*$K$4</f>
        <v>0</v>
      </c>
      <c r="M16" s="313">
        <f>(+'Estado de Resultado '!L20+'Estado de Resultado '!L31)*$K$4</f>
        <v>0</v>
      </c>
      <c r="N16" s="313">
        <f>(+'Estado de Resultado '!M20+'Estado de Resultado '!M31)*$K$4</f>
        <v>0</v>
      </c>
      <c r="O16" s="313">
        <f>(+'Estado de Resultado '!N20+'Estado de Resultado '!N31)*$K$4</f>
        <v>0</v>
      </c>
      <c r="P16" s="313">
        <f>(+'Estado de Resultado '!O20+'Estado de Resultado '!O31)*$K$4</f>
        <v>0</v>
      </c>
      <c r="Q16" s="313">
        <f>(+'Estado de Resultado '!P20+'Estado de Resultado '!P31)*$K$4</f>
        <v>0</v>
      </c>
    </row>
    <row r="17" spans="1:18" ht="13.5" thickBot="1" x14ac:dyDescent="0.25">
      <c r="A17" s="242"/>
      <c r="B17" s="234"/>
      <c r="C17" s="313"/>
      <c r="D17" s="239"/>
      <c r="E17" s="297"/>
      <c r="F17" s="239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</row>
    <row r="18" spans="1:18" ht="13.5" thickBot="1" x14ac:dyDescent="0.25">
      <c r="A18" s="353" t="s">
        <v>107</v>
      </c>
      <c r="B18" s="360"/>
      <c r="C18" s="354">
        <f>+C14-C16</f>
        <v>42257.891810214322</v>
      </c>
      <c r="D18" s="253">
        <f>+D14-D16</f>
        <v>178482.83713810841</v>
      </c>
      <c r="E18" s="361">
        <f>+E14-E16</f>
        <v>265654.87307067018</v>
      </c>
      <c r="F18" s="253">
        <f>+F14-F16</f>
        <v>368218.35933512414</v>
      </c>
      <c r="G18" s="354">
        <f>+G14-G16</f>
        <v>487686.03734061297</v>
      </c>
      <c r="H18" s="354">
        <f t="shared" ref="H18:Q18" si="1">+H14-H16</f>
        <v>0</v>
      </c>
      <c r="I18" s="354">
        <f t="shared" si="1"/>
        <v>0</v>
      </c>
      <c r="J18" s="354">
        <f t="shared" si="1"/>
        <v>0</v>
      </c>
      <c r="K18" s="354">
        <f t="shared" si="1"/>
        <v>0</v>
      </c>
      <c r="L18" s="354">
        <f t="shared" si="1"/>
        <v>0</v>
      </c>
      <c r="M18" s="354">
        <f t="shared" si="1"/>
        <v>0</v>
      </c>
      <c r="N18" s="354">
        <f t="shared" si="1"/>
        <v>0</v>
      </c>
      <c r="O18" s="354">
        <f t="shared" si="1"/>
        <v>0</v>
      </c>
      <c r="P18" s="354">
        <f t="shared" si="1"/>
        <v>0</v>
      </c>
      <c r="Q18" s="354">
        <f t="shared" si="1"/>
        <v>0</v>
      </c>
    </row>
    <row r="19" spans="1:18" x14ac:dyDescent="0.2">
      <c r="A19" s="352"/>
      <c r="B19" s="362"/>
      <c r="C19" s="363"/>
      <c r="D19" s="364"/>
      <c r="E19" s="365"/>
      <c r="F19" s="364"/>
      <c r="G19" s="363"/>
      <c r="H19" s="363"/>
      <c r="I19" s="363"/>
      <c r="J19" s="363"/>
      <c r="K19" s="363"/>
      <c r="L19" s="363"/>
      <c r="M19" s="363"/>
      <c r="N19" s="363"/>
      <c r="O19" s="363"/>
      <c r="P19" s="363"/>
      <c r="Q19" s="363"/>
    </row>
    <row r="20" spans="1:18" x14ac:dyDescent="0.2">
      <c r="A20" s="242" t="s">
        <v>113</v>
      </c>
      <c r="B20" s="234" t="s">
        <v>1</v>
      </c>
      <c r="C20" s="313">
        <f>+'Estado de Resultado '!B42+'Estado de Resultado '!B21+'Estado de Resultado '!B43</f>
        <v>50218.134801596578</v>
      </c>
      <c r="D20" s="313">
        <f>+'Estado de Resultado '!C42+'Estado de Resultado '!C21+'Estado de Resultado '!C43</f>
        <v>111183.54132876039</v>
      </c>
      <c r="E20" s="313">
        <f>+'Estado de Resultado '!D42+'Estado de Resultado '!D21+'Estado de Resultado '!D43</f>
        <v>150469.50330014742</v>
      </c>
      <c r="F20" s="313">
        <f>+'Estado de Resultado '!E42+'Estado de Resultado '!E21+'Estado de Resultado '!E43</f>
        <v>196400.91256673387</v>
      </c>
      <c r="G20" s="313">
        <f>+'Estado de Resultado '!F42+'Estado de Resultado '!F21+'Estado de Resultado '!F43</f>
        <v>250003.70088404437</v>
      </c>
      <c r="H20" s="313">
        <f>+'Estado de Resultado '!G42+'Estado de Resultado '!G21+'Estado de Resultado '!G43</f>
        <v>0</v>
      </c>
      <c r="I20" s="313">
        <f>+'Estado de Resultado '!H42+'Estado de Resultado '!H21+'Estado de Resultado '!H43</f>
        <v>0</v>
      </c>
      <c r="J20" s="313">
        <f>+'Estado de Resultado '!I42+'Estado de Resultado '!I21+'Estado de Resultado '!I43</f>
        <v>0</v>
      </c>
      <c r="K20" s="313">
        <f>+'Estado de Resultado '!J42+'Estado de Resultado '!J21+'Estado de Resultado '!J43</f>
        <v>0</v>
      </c>
      <c r="L20" s="313">
        <f>+'Estado de Resultado '!K42+'Estado de Resultado '!K21+'Estado de Resultado '!K43</f>
        <v>0</v>
      </c>
      <c r="M20" s="313">
        <f>+'Estado de Resultado '!L42+'Estado de Resultado '!L21+'Estado de Resultado '!L43</f>
        <v>0</v>
      </c>
      <c r="N20" s="313">
        <f>+'Estado de Resultado '!M42+'Estado de Resultado '!M21+'Estado de Resultado '!M43</f>
        <v>0</v>
      </c>
      <c r="O20" s="313">
        <f>+'Estado de Resultado '!N42+'Estado de Resultado '!N21+'Estado de Resultado '!N43</f>
        <v>0</v>
      </c>
      <c r="P20" s="313">
        <f>+'Estado de Resultado '!O42+'Estado de Resultado '!O21+'Estado de Resultado '!O43</f>
        <v>0</v>
      </c>
      <c r="Q20" s="313">
        <f>+'Estado de Resultado '!P42+'Estado de Resultado '!P21+'Estado de Resultado '!P43</f>
        <v>0</v>
      </c>
    </row>
    <row r="21" spans="1:18" ht="13.5" thickBot="1" x14ac:dyDescent="0.25">
      <c r="A21" s="242" t="s">
        <v>114</v>
      </c>
      <c r="B21" s="234"/>
      <c r="C21" s="313">
        <v>0</v>
      </c>
      <c r="D21" s="239">
        <f>IF(D$6&lt;=Inicio!$E$49,+C20,0)</f>
        <v>50218.134801596578</v>
      </c>
      <c r="E21" s="239">
        <f>IF(E$6&lt;=Inicio!$E$49,+D20,0)</f>
        <v>111183.54132876039</v>
      </c>
      <c r="F21" s="239">
        <f>IF(F$6&lt;=Inicio!$E$49,+E20,0)</f>
        <v>150469.50330014742</v>
      </c>
      <c r="G21" s="239">
        <f>IF(G$6&lt;=Inicio!$E$49,+F20,0)</f>
        <v>196400.91256673387</v>
      </c>
      <c r="H21" s="239">
        <f>IF(H$6&lt;=Inicio!$E$49,+G20,0)</f>
        <v>0</v>
      </c>
      <c r="I21" s="239">
        <f>IF(I$6&lt;=Inicio!$E$49,+H20,0)</f>
        <v>0</v>
      </c>
      <c r="J21" s="239">
        <f>IF(J$6&lt;=Inicio!$E$49,+I20,0)</f>
        <v>0</v>
      </c>
      <c r="K21" s="239">
        <f>IF(K$6&lt;=Inicio!$E$49,+J20,0)</f>
        <v>0</v>
      </c>
      <c r="L21" s="239">
        <f>IF(L$6&lt;=Inicio!$E$49,+K20,0)</f>
        <v>0</v>
      </c>
      <c r="M21" s="239">
        <f>IF(M$6&lt;=Inicio!$E$49,+L20,0)</f>
        <v>0</v>
      </c>
      <c r="N21" s="239">
        <f>IF(N$6&lt;=Inicio!$E$49,+M20,0)</f>
        <v>0</v>
      </c>
      <c r="O21" s="239">
        <f>IF(O$6&lt;=Inicio!$E$49,+N20,0)</f>
        <v>0</v>
      </c>
      <c r="P21" s="239">
        <f>IF(P$6&lt;=Inicio!$E$49,+O20,0)</f>
        <v>0</v>
      </c>
      <c r="Q21" s="239">
        <f>IF(Q$6&lt;=Inicio!$E$49,+P20,0)</f>
        <v>0</v>
      </c>
    </row>
    <row r="22" spans="1:18" ht="13.5" thickBot="1" x14ac:dyDescent="0.25">
      <c r="A22" s="353" t="s">
        <v>123</v>
      </c>
      <c r="B22" s="360"/>
      <c r="C22" s="354">
        <f>+C18-C20</f>
        <v>-7960.2429913822562</v>
      </c>
      <c r="D22" s="253">
        <f>+D18-D20</f>
        <v>67299.295809348027</v>
      </c>
      <c r="E22" s="361">
        <f>+E18-E20</f>
        <v>115185.36977052275</v>
      </c>
      <c r="F22" s="253">
        <f>+F18-F20</f>
        <v>171817.44676839028</v>
      </c>
      <c r="G22" s="354">
        <f>+G18-G20</f>
        <v>237682.33645656859</v>
      </c>
      <c r="H22" s="354">
        <f t="shared" ref="H22:Q22" si="2">+H18-H20</f>
        <v>0</v>
      </c>
      <c r="I22" s="354">
        <f t="shared" si="2"/>
        <v>0</v>
      </c>
      <c r="J22" s="354">
        <f t="shared" si="2"/>
        <v>0</v>
      </c>
      <c r="K22" s="354">
        <f t="shared" si="2"/>
        <v>0</v>
      </c>
      <c r="L22" s="354">
        <f t="shared" si="2"/>
        <v>0</v>
      </c>
      <c r="M22" s="354">
        <f t="shared" si="2"/>
        <v>0</v>
      </c>
      <c r="N22" s="354">
        <f t="shared" si="2"/>
        <v>0</v>
      </c>
      <c r="O22" s="354">
        <f t="shared" si="2"/>
        <v>0</v>
      </c>
      <c r="P22" s="354">
        <f t="shared" si="2"/>
        <v>0</v>
      </c>
      <c r="Q22" s="354">
        <f t="shared" si="2"/>
        <v>0</v>
      </c>
    </row>
    <row r="23" spans="1:18" x14ac:dyDescent="0.2">
      <c r="A23" s="242"/>
      <c r="B23" s="234"/>
      <c r="C23" s="235"/>
      <c r="D23" s="234"/>
      <c r="E23" s="256"/>
      <c r="F23" s="234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</row>
    <row r="24" spans="1:18" x14ac:dyDescent="0.2">
      <c r="A24" s="242" t="s">
        <v>131</v>
      </c>
      <c r="B24" s="234"/>
      <c r="C24" s="313">
        <f t="shared" ref="C24:Q25" si="3">+C11</f>
        <v>44530</v>
      </c>
      <c r="D24" s="239">
        <f t="shared" si="3"/>
        <v>44530</v>
      </c>
      <c r="E24" s="297">
        <f t="shared" si="3"/>
        <v>44530</v>
      </c>
      <c r="F24" s="239">
        <f t="shared" si="3"/>
        <v>36530</v>
      </c>
      <c r="G24" s="313">
        <f t="shared" si="3"/>
        <v>36530</v>
      </c>
      <c r="H24" s="313">
        <f t="shared" si="3"/>
        <v>0</v>
      </c>
      <c r="I24" s="313">
        <f t="shared" si="3"/>
        <v>0</v>
      </c>
      <c r="J24" s="313">
        <f t="shared" si="3"/>
        <v>0</v>
      </c>
      <c r="K24" s="313">
        <f t="shared" si="3"/>
        <v>0</v>
      </c>
      <c r="L24" s="313">
        <f t="shared" si="3"/>
        <v>0</v>
      </c>
      <c r="M24" s="313">
        <f t="shared" si="3"/>
        <v>0</v>
      </c>
      <c r="N24" s="313">
        <f t="shared" si="3"/>
        <v>0</v>
      </c>
      <c r="O24" s="313">
        <f t="shared" si="3"/>
        <v>0</v>
      </c>
      <c r="P24" s="313">
        <f t="shared" si="3"/>
        <v>0</v>
      </c>
      <c r="Q24" s="313">
        <f t="shared" si="3"/>
        <v>0</v>
      </c>
    </row>
    <row r="25" spans="1:18" x14ac:dyDescent="0.2">
      <c r="A25" s="242" t="s">
        <v>132</v>
      </c>
      <c r="B25" s="234"/>
      <c r="C25" s="313">
        <f t="shared" si="3"/>
        <v>4300</v>
      </c>
      <c r="D25" s="239">
        <f t="shared" si="3"/>
        <v>4300</v>
      </c>
      <c r="E25" s="297">
        <f t="shared" si="3"/>
        <v>4300</v>
      </c>
      <c r="F25" s="239">
        <f t="shared" si="3"/>
        <v>4300</v>
      </c>
      <c r="G25" s="313">
        <f t="shared" si="3"/>
        <v>4300</v>
      </c>
      <c r="H25" s="313">
        <f t="shared" si="3"/>
        <v>0</v>
      </c>
      <c r="I25" s="313">
        <f t="shared" si="3"/>
        <v>0</v>
      </c>
      <c r="J25" s="313">
        <f t="shared" si="3"/>
        <v>0</v>
      </c>
      <c r="K25" s="313">
        <f t="shared" si="3"/>
        <v>0</v>
      </c>
      <c r="L25" s="313">
        <f t="shared" si="3"/>
        <v>0</v>
      </c>
      <c r="M25" s="313">
        <f t="shared" si="3"/>
        <v>0</v>
      </c>
      <c r="N25" s="313">
        <f t="shared" si="3"/>
        <v>0</v>
      </c>
      <c r="O25" s="313">
        <f t="shared" si="3"/>
        <v>0</v>
      </c>
      <c r="P25" s="313">
        <f t="shared" si="3"/>
        <v>0</v>
      </c>
      <c r="Q25" s="313">
        <f t="shared" si="3"/>
        <v>0</v>
      </c>
    </row>
    <row r="26" spans="1:18" x14ac:dyDescent="0.2">
      <c r="A26" s="242" t="s">
        <v>116</v>
      </c>
      <c r="B26" s="234"/>
      <c r="C26" s="313">
        <f>+C20-C21</f>
        <v>50218.134801596578</v>
      </c>
      <c r="D26" s="239">
        <f>+D20-D21</f>
        <v>60965.40652716381</v>
      </c>
      <c r="E26" s="297">
        <f>+E20-E21</f>
        <v>39285.961971387034</v>
      </c>
      <c r="F26" s="239">
        <f>+F20-F21</f>
        <v>45931.409266586445</v>
      </c>
      <c r="G26" s="313">
        <f>+G20-G21</f>
        <v>53602.788317310507</v>
      </c>
      <c r="H26" s="313">
        <f t="shared" ref="H26:Q26" si="4">+H20-H21</f>
        <v>0</v>
      </c>
      <c r="I26" s="313">
        <f t="shared" si="4"/>
        <v>0</v>
      </c>
      <c r="J26" s="313">
        <f t="shared" si="4"/>
        <v>0</v>
      </c>
      <c r="K26" s="313">
        <f t="shared" si="4"/>
        <v>0</v>
      </c>
      <c r="L26" s="313">
        <f t="shared" si="4"/>
        <v>0</v>
      </c>
      <c r="M26" s="313">
        <f t="shared" si="4"/>
        <v>0</v>
      </c>
      <c r="N26" s="313">
        <f t="shared" si="4"/>
        <v>0</v>
      </c>
      <c r="O26" s="313">
        <f t="shared" si="4"/>
        <v>0</v>
      </c>
      <c r="P26" s="313">
        <f t="shared" si="4"/>
        <v>0</v>
      </c>
      <c r="Q26" s="313">
        <f t="shared" si="4"/>
        <v>0</v>
      </c>
    </row>
    <row r="27" spans="1:18" ht="13.5" thickBot="1" x14ac:dyDescent="0.25">
      <c r="A27" s="242" t="s">
        <v>133</v>
      </c>
      <c r="B27" s="234"/>
      <c r="C27" s="313">
        <f>+C13</f>
        <v>9421.9058847775359</v>
      </c>
      <c r="D27" s="239">
        <f>+D13</f>
        <v>7587.1585025542772</v>
      </c>
      <c r="E27" s="297">
        <f>+E13</f>
        <v>5623.9788035753891</v>
      </c>
      <c r="F27" s="239">
        <f>+F13</f>
        <v>3523.3765256679794</v>
      </c>
      <c r="G27" s="313">
        <f>+G13</f>
        <v>1275.7320883070529</v>
      </c>
      <c r="H27" s="313">
        <f t="shared" ref="H27:Q27" si="5">+H13</f>
        <v>0</v>
      </c>
      <c r="I27" s="313">
        <f t="shared" si="5"/>
        <v>0</v>
      </c>
      <c r="J27" s="313">
        <f t="shared" si="5"/>
        <v>0</v>
      </c>
      <c r="K27" s="313">
        <f t="shared" si="5"/>
        <v>0</v>
      </c>
      <c r="L27" s="313">
        <f t="shared" si="5"/>
        <v>0</v>
      </c>
      <c r="M27" s="313">
        <f t="shared" si="5"/>
        <v>0</v>
      </c>
      <c r="N27" s="313">
        <f t="shared" si="5"/>
        <v>0</v>
      </c>
      <c r="O27" s="313">
        <f t="shared" si="5"/>
        <v>0</v>
      </c>
      <c r="P27" s="313">
        <f t="shared" si="5"/>
        <v>0</v>
      </c>
      <c r="Q27" s="313">
        <f t="shared" si="5"/>
        <v>0</v>
      </c>
    </row>
    <row r="28" spans="1:18" ht="13.5" thickBot="1" x14ac:dyDescent="0.25">
      <c r="A28" s="353" t="s">
        <v>117</v>
      </c>
      <c r="B28" s="360"/>
      <c r="C28" s="354">
        <f>SUM(C22:C27)</f>
        <v>100509.79769499185</v>
      </c>
      <c r="D28" s="253">
        <f>SUM(D22:D27)</f>
        <v>184681.86083906612</v>
      </c>
      <c r="E28" s="361">
        <f>SUM(E22:E27)</f>
        <v>208925.31054548518</v>
      </c>
      <c r="F28" s="253">
        <f>SUM(F22:F27)</f>
        <v>262102.23256064471</v>
      </c>
      <c r="G28" s="354">
        <f>SUM(G22:G27)</f>
        <v>333390.8568621861</v>
      </c>
      <c r="H28" s="354">
        <f t="shared" ref="H28:Q28" si="6">SUM(H22:H27)</f>
        <v>0</v>
      </c>
      <c r="I28" s="354">
        <f t="shared" si="6"/>
        <v>0</v>
      </c>
      <c r="J28" s="354">
        <f t="shared" si="6"/>
        <v>0</v>
      </c>
      <c r="K28" s="354">
        <f t="shared" si="6"/>
        <v>0</v>
      </c>
      <c r="L28" s="354">
        <f t="shared" si="6"/>
        <v>0</v>
      </c>
      <c r="M28" s="354">
        <f t="shared" si="6"/>
        <v>0</v>
      </c>
      <c r="N28" s="354">
        <f t="shared" si="6"/>
        <v>0</v>
      </c>
      <c r="O28" s="354">
        <f t="shared" si="6"/>
        <v>0</v>
      </c>
      <c r="P28" s="354">
        <f t="shared" si="6"/>
        <v>0</v>
      </c>
      <c r="Q28" s="354">
        <f t="shared" si="6"/>
        <v>0</v>
      </c>
    </row>
    <row r="29" spans="1:18" x14ac:dyDescent="0.2">
      <c r="A29" s="242" t="s">
        <v>134</v>
      </c>
      <c r="B29" s="234"/>
      <c r="C29" s="256"/>
      <c r="D29" s="231"/>
      <c r="E29" s="256"/>
      <c r="F29" s="231"/>
      <c r="G29" s="256"/>
      <c r="H29" s="231"/>
      <c r="I29" s="256"/>
      <c r="J29" s="231"/>
      <c r="K29" s="256"/>
      <c r="L29" s="231"/>
      <c r="M29" s="256"/>
      <c r="N29" s="231"/>
      <c r="O29" s="256"/>
      <c r="P29" s="231"/>
      <c r="Q29" s="231"/>
    </row>
    <row r="30" spans="1:18" x14ac:dyDescent="0.2">
      <c r="A30" s="242" t="s">
        <v>135</v>
      </c>
      <c r="B30" s="239">
        <f>+financiación!B18+financiación!B29+financiación!B7</f>
        <v>150730.76206352399</v>
      </c>
      <c r="C30" s="256"/>
      <c r="D30" s="234"/>
      <c r="E30" s="256"/>
      <c r="F30" s="234"/>
      <c r="G30" s="256"/>
      <c r="H30" s="234"/>
      <c r="I30" s="256"/>
      <c r="J30" s="234"/>
      <c r="K30" s="256"/>
      <c r="L30" s="234"/>
      <c r="M30" s="256"/>
      <c r="N30" s="234"/>
      <c r="O30" s="256"/>
      <c r="P30" s="234"/>
      <c r="Q30" s="234"/>
    </row>
    <row r="31" spans="1:18" x14ac:dyDescent="0.2">
      <c r="A31" s="242" t="s">
        <v>118</v>
      </c>
      <c r="B31" s="239">
        <f>-'inversión inicial'!B20</f>
        <v>-299300</v>
      </c>
      <c r="C31" s="239">
        <f>IF(C$6=Inicio!$E$49,+'inversión inicial'!$D$20,0)</f>
        <v>0</v>
      </c>
      <c r="D31" s="239">
        <f>IF(D$6=Inicio!$E$49,+'inversión inicial'!$D$20,0)</f>
        <v>0</v>
      </c>
      <c r="E31" s="239">
        <f>IF(E$6=Inicio!$E$49,+'inversión inicial'!$D$20,0)</f>
        <v>0</v>
      </c>
      <c r="F31" s="239">
        <f>IF(F$6=Inicio!$E$49,+'inversión inicial'!$D$20,0)</f>
        <v>0</v>
      </c>
      <c r="G31" s="239">
        <f>IF(G$6=Inicio!$E$49,+'inversión inicial'!$D$20,0)</f>
        <v>128699</v>
      </c>
      <c r="H31" s="239">
        <f>IF(H$6=Inicio!$E$49,+'inversión inicial'!$D$20,0)</f>
        <v>0</v>
      </c>
      <c r="I31" s="239">
        <f>IF(I$6=Inicio!$E$49,+'inversión inicial'!$D$20,0)</f>
        <v>0</v>
      </c>
      <c r="J31" s="239">
        <f>IF(J$6=Inicio!$E$49,+'inversión inicial'!$D$20,0)</f>
        <v>0</v>
      </c>
      <c r="K31" s="239">
        <f>IF(K$6=Inicio!$E$49,+'inversión inicial'!$D$20,0)</f>
        <v>0</v>
      </c>
      <c r="L31" s="239">
        <f>IF(L$6=Inicio!$E$49,+'inversión inicial'!$D$20,0)</f>
        <v>0</v>
      </c>
      <c r="M31" s="239">
        <f>IF(M$6=Inicio!$E$49,+'inversión inicial'!$D$20,0)</f>
        <v>0</v>
      </c>
      <c r="N31" s="239">
        <f>IF(N$6=Inicio!$E$49,+'inversión inicial'!$D$20,0)</f>
        <v>0</v>
      </c>
      <c r="O31" s="239">
        <f>IF(O$6=Inicio!$E$49,+'inversión inicial'!$D$20,0)</f>
        <v>0</v>
      </c>
      <c r="P31" s="239">
        <f>IF(P$6=Inicio!$E$49,+'inversión inicial'!$D$20,0)</f>
        <v>0</v>
      </c>
      <c r="Q31" s="239">
        <f>IF(Q$6=Inicio!$E$49,+'inversión inicial'!$D$20,0)</f>
        <v>0</v>
      </c>
      <c r="R31" s="1" t="s">
        <v>1</v>
      </c>
    </row>
    <row r="32" spans="1:18" x14ac:dyDescent="0.2">
      <c r="A32" s="242" t="s">
        <v>119</v>
      </c>
      <c r="B32" s="239">
        <f>-'inversión inicial'!B21</f>
        <v>-21500</v>
      </c>
      <c r="C32" s="239">
        <f>IF(C$6=Inicio!$E$49,+'inversión inicial'!$D$21,0)</f>
        <v>0</v>
      </c>
      <c r="D32" s="239">
        <f>IF(D$6=Inicio!$E$49,+'inversión inicial'!$D$21,0)</f>
        <v>0</v>
      </c>
      <c r="E32" s="239">
        <f>IF(E$6=Inicio!$E$49,+'inversión inicial'!$D$21,0)</f>
        <v>0</v>
      </c>
      <c r="F32" s="239">
        <f>IF(F$6=Inicio!$E$49,+'inversión inicial'!$D$21,0)</f>
        <v>0</v>
      </c>
      <c r="G32" s="239">
        <f>IF(G$6=Inicio!$E$49,+'inversión inicial'!$D$21,0)</f>
        <v>645</v>
      </c>
      <c r="H32" s="239">
        <f>IF(H$6=Inicio!$E$49,+'inversión inicial'!$D$21,0)</f>
        <v>0</v>
      </c>
      <c r="I32" s="239">
        <f>IF(I$6=Inicio!$E$49,+'inversión inicial'!$D$21,0)</f>
        <v>0</v>
      </c>
      <c r="J32" s="239">
        <f>IF(J$6=Inicio!$E$49,+'inversión inicial'!$D$21,0)</f>
        <v>0</v>
      </c>
      <c r="K32" s="239">
        <f>IF(K$6=Inicio!$E$49,+'inversión inicial'!$D$21,0)</f>
        <v>0</v>
      </c>
      <c r="L32" s="239">
        <f>IF(L$6=Inicio!$E$49,+'inversión inicial'!$D$21,0)</f>
        <v>0</v>
      </c>
      <c r="M32" s="239">
        <f>IF(M$6=Inicio!$E$49,+'inversión inicial'!$D$21,0)</f>
        <v>0</v>
      </c>
      <c r="N32" s="239">
        <f>IF(N$6=Inicio!$E$49,+'inversión inicial'!$D$21,0)</f>
        <v>0</v>
      </c>
      <c r="O32" s="239">
        <f>IF(O$6=Inicio!$E$49,+'inversión inicial'!$D$21,0)</f>
        <v>0</v>
      </c>
      <c r="P32" s="239">
        <f>IF(P$6=Inicio!$E$49,+'inversión inicial'!$D$21,0)</f>
        <v>0</v>
      </c>
      <c r="Q32" s="239">
        <f>IF(Q$6=Inicio!$E$49,+'inversión inicial'!$D$21,0)</f>
        <v>0</v>
      </c>
    </row>
    <row r="33" spans="1:18" x14ac:dyDescent="0.2">
      <c r="A33" s="242" t="s">
        <v>170</v>
      </c>
      <c r="B33" s="239">
        <f>-'inversión inicial'!B22</f>
        <v>-181635.87354507999</v>
      </c>
      <c r="C33" s="239">
        <f>IF(C$6=Inicio!$E$49,+'inversión inicial'!$D$22,)</f>
        <v>0</v>
      </c>
      <c r="D33" s="239">
        <f>IF(D$6=Inicio!$E$49,+'inversión inicial'!$D$22,)</f>
        <v>0</v>
      </c>
      <c r="E33" s="239">
        <f>IF(E$6=Inicio!$E$49,+'inversión inicial'!$D$22,)</f>
        <v>0</v>
      </c>
      <c r="F33" s="239">
        <f>IF(F$6=Inicio!$E$49,+'inversión inicial'!$D$22,)</f>
        <v>0</v>
      </c>
      <c r="G33" s="239">
        <f>IF(G$6=Inicio!$E$49,+'inversión inicial'!$D$22,)</f>
        <v>96267.012978892395</v>
      </c>
      <c r="H33" s="239">
        <f>IF(H$6=Inicio!$E$49,+'inversión inicial'!$D$22,)</f>
        <v>0</v>
      </c>
      <c r="I33" s="239">
        <f>IF(I$6=Inicio!$E$49,+'inversión inicial'!$D$22,)</f>
        <v>0</v>
      </c>
      <c r="J33" s="239">
        <f>IF(J$6=Inicio!$E$49,+'inversión inicial'!$D$22,)</f>
        <v>0</v>
      </c>
      <c r="K33" s="239">
        <f>IF(K$6=Inicio!$E$49,+'inversión inicial'!$D$22,)</f>
        <v>0</v>
      </c>
      <c r="L33" s="239">
        <f>IF(L$6=Inicio!$E$49,+'inversión inicial'!$D$22,)</f>
        <v>0</v>
      </c>
      <c r="M33" s="239">
        <f>IF(M$6=Inicio!$E$49,+'inversión inicial'!$D$22,)</f>
        <v>0</v>
      </c>
      <c r="N33" s="239">
        <f>IF(N$6=Inicio!$E$49,+'inversión inicial'!$D$22,)</f>
        <v>0</v>
      </c>
      <c r="O33" s="239">
        <f>IF(O$6=Inicio!$E$49,+'inversión inicial'!$D$22,)</f>
        <v>0</v>
      </c>
      <c r="P33" s="239">
        <f>IF(P$6=Inicio!$E$49,+'inversión inicial'!$D$22,)</f>
        <v>0</v>
      </c>
      <c r="Q33" s="239">
        <f>IF(Q$6=Inicio!$E$49,+'inversión inicial'!$D$22,)</f>
        <v>0</v>
      </c>
    </row>
    <row r="34" spans="1:18" x14ac:dyDescent="0.2">
      <c r="A34" s="242" t="s">
        <v>278</v>
      </c>
      <c r="B34" s="239">
        <f>-'inversión inicial'!B23</f>
        <v>0</v>
      </c>
      <c r="C34" s="239">
        <f>IF(C$6=Inicio!$E$49,+'inversión inicial'!$D$23,)</f>
        <v>0</v>
      </c>
      <c r="D34" s="239">
        <f>IF(D$6=Inicio!$E$49,+'inversión inicial'!$D$23,)</f>
        <v>0</v>
      </c>
      <c r="E34" s="239">
        <f>IF(E$6=Inicio!$E$49,+'inversión inicial'!$D$23,)</f>
        <v>0</v>
      </c>
      <c r="F34" s="239">
        <f>IF(F$6=Inicio!$E$49,+'inversión inicial'!$D$23,)</f>
        <v>0</v>
      </c>
      <c r="G34" s="239">
        <f>IF(G$6=Inicio!$E$49,+'inversión inicial'!$D$23,)</f>
        <v>0</v>
      </c>
      <c r="H34" s="239">
        <f>IF(H$6=Inicio!$E$49,+'inversión inicial'!$D$23,)</f>
        <v>0</v>
      </c>
      <c r="I34" s="239">
        <f>IF(I$6=Inicio!$E$49,+'inversión inicial'!$D$23,)</f>
        <v>0</v>
      </c>
      <c r="J34" s="239">
        <f>IF(J$6=Inicio!$E$49,+'inversión inicial'!$D$23,)</f>
        <v>0</v>
      </c>
      <c r="K34" s="239">
        <f>IF(K$6=Inicio!$E$49,+'inversión inicial'!$D$23,)</f>
        <v>0</v>
      </c>
      <c r="L34" s="239">
        <f>IF(L$6=Inicio!$E$49,+'inversión inicial'!$D$23,)</f>
        <v>0</v>
      </c>
      <c r="M34" s="239">
        <f>IF(M$6=Inicio!$E$49,+'inversión inicial'!$D$23,)</f>
        <v>0</v>
      </c>
      <c r="N34" s="239">
        <f>IF(N$6=Inicio!$E$49,+'inversión inicial'!$D$23,)</f>
        <v>0</v>
      </c>
      <c r="O34" s="239">
        <f>IF(O$6=Inicio!$E$49,+'inversión inicial'!$D$23,)</f>
        <v>0</v>
      </c>
      <c r="P34" s="239">
        <f>IF(P$6=Inicio!$E$49,+'inversión inicial'!$D$23,)</f>
        <v>0</v>
      </c>
      <c r="Q34" s="239">
        <f>IF(Q$6=Inicio!$E$49,+'inversión inicial'!$D$23,)</f>
        <v>0</v>
      </c>
    </row>
    <row r="35" spans="1:18" x14ac:dyDescent="0.2">
      <c r="A35" s="242" t="s">
        <v>120</v>
      </c>
      <c r="B35" s="239">
        <f>SUM(B30:B34)</f>
        <v>-351705.11148155597</v>
      </c>
      <c r="C35" s="256"/>
      <c r="D35" s="234"/>
      <c r="E35" s="256"/>
      <c r="F35" s="234"/>
      <c r="G35" s="256">
        <v>0</v>
      </c>
      <c r="H35" s="234"/>
      <c r="I35" s="256"/>
      <c r="J35" s="234"/>
      <c r="K35" s="256"/>
      <c r="L35" s="234"/>
      <c r="M35" s="256"/>
      <c r="N35" s="234"/>
      <c r="O35" s="256"/>
      <c r="P35" s="234"/>
      <c r="Q35" s="234"/>
    </row>
    <row r="36" spans="1:18" x14ac:dyDescent="0.2">
      <c r="A36" s="242" t="s">
        <v>136</v>
      </c>
      <c r="B36" s="239">
        <v>0</v>
      </c>
      <c r="C36" s="297">
        <f>+financiación!C9+financiación!C20+financiación!C31</f>
        <v>26210.676888903716</v>
      </c>
      <c r="D36" s="239">
        <f>+financiación!D9+financiación!D20+financiación!D31</f>
        <v>28045.424271126969</v>
      </c>
      <c r="E36" s="297">
        <f>+financiación!E9+financiación!E20+financiación!E31</f>
        <v>30008.603970105854</v>
      </c>
      <c r="F36" s="239">
        <f>+financiación!F9+financiación!F20+financiación!F31</f>
        <v>32109.20624801327</v>
      </c>
      <c r="G36" s="297">
        <f>+financiación!G9+financiación!G20+financiación!G31</f>
        <v>34356.850685374193</v>
      </c>
      <c r="H36" s="239">
        <f>+financiación!H9+financiación!H20+financiación!H31</f>
        <v>0</v>
      </c>
      <c r="I36" s="297">
        <f>+financiación!I9+financiación!I20+financiación!I31</f>
        <v>0</v>
      </c>
      <c r="J36" s="239">
        <f>+financiación!J9+financiación!J20+financiación!J31</f>
        <v>0</v>
      </c>
      <c r="K36" s="297">
        <f>+financiación!K9+financiación!K20+financiación!K31</f>
        <v>0</v>
      </c>
      <c r="L36" s="239">
        <f>+financiación!L9+financiación!L20+financiación!L31</f>
        <v>0</v>
      </c>
      <c r="M36" s="297">
        <f>+financiación!M9+financiación!M20+financiación!M31</f>
        <v>0</v>
      </c>
      <c r="N36" s="239">
        <f>+financiación!N9+financiación!N20+financiación!N31</f>
        <v>0</v>
      </c>
      <c r="O36" s="297">
        <f>+financiación!O9+financiación!O20+financiación!O31</f>
        <v>0</v>
      </c>
      <c r="P36" s="239">
        <f>+financiación!P9+financiación!P20+financiación!P31</f>
        <v>0</v>
      </c>
      <c r="Q36" s="239">
        <f>+financiación!Q9+financiación!Q20+financiación!Q31</f>
        <v>0</v>
      </c>
      <c r="R36" s="1" t="s">
        <v>1</v>
      </c>
    </row>
    <row r="37" spans="1:18" ht="13.5" thickBot="1" x14ac:dyDescent="0.25">
      <c r="A37" s="242"/>
      <c r="B37" s="239"/>
      <c r="C37" s="297"/>
      <c r="D37" s="251"/>
      <c r="E37" s="297"/>
      <c r="F37" s="251"/>
      <c r="G37" s="297"/>
      <c r="H37" s="251"/>
      <c r="I37" s="297"/>
      <c r="J37" s="251"/>
      <c r="K37" s="297"/>
      <c r="L37" s="251"/>
      <c r="M37" s="297"/>
      <c r="N37" s="251"/>
      <c r="O37" s="297"/>
      <c r="P37" s="251"/>
      <c r="Q37" s="251"/>
    </row>
    <row r="38" spans="1:18" ht="13.5" thickBot="1" x14ac:dyDescent="0.25">
      <c r="A38" s="353" t="s">
        <v>121</v>
      </c>
      <c r="B38" s="354">
        <f>+B35</f>
        <v>-351705.11148155597</v>
      </c>
      <c r="C38" s="354">
        <f t="shared" ref="C38:L38" si="7">+C28-C36+C33+C31+C34+C32</f>
        <v>74299.120806088133</v>
      </c>
      <c r="D38" s="354">
        <f t="shared" si="7"/>
        <v>156636.43656793915</v>
      </c>
      <c r="E38" s="354">
        <f t="shared" si="7"/>
        <v>178916.70657537933</v>
      </c>
      <c r="F38" s="354">
        <f t="shared" si="7"/>
        <v>229993.02631263144</v>
      </c>
      <c r="G38" s="354">
        <f t="shared" si="7"/>
        <v>524645.0191557043</v>
      </c>
      <c r="H38" s="354">
        <f t="shared" si="7"/>
        <v>0</v>
      </c>
      <c r="I38" s="354">
        <f t="shared" si="7"/>
        <v>0</v>
      </c>
      <c r="J38" s="354">
        <f t="shared" si="7"/>
        <v>0</v>
      </c>
      <c r="K38" s="354">
        <f t="shared" si="7"/>
        <v>0</v>
      </c>
      <c r="L38" s="354">
        <f t="shared" si="7"/>
        <v>0</v>
      </c>
      <c r="M38" s="354">
        <f>+M28-M36+M33+M31+M34+M32</f>
        <v>0</v>
      </c>
      <c r="N38" s="354">
        <f>+N28-N36+N33+N31+N34+N32</f>
        <v>0</v>
      </c>
      <c r="O38" s="354">
        <f>+O28-O36+O33+O31+O34+O32</f>
        <v>0</v>
      </c>
      <c r="P38" s="354">
        <f>+P28-P36+P33+P31+P34+P32</f>
        <v>0</v>
      </c>
      <c r="Q38" s="354">
        <f>+Q28-Q36+Q33+Q31+Q34+Q32</f>
        <v>0</v>
      </c>
    </row>
    <row r="39" spans="1:18" ht="13.5" thickBot="1" x14ac:dyDescent="0.25">
      <c r="A39" s="541" t="s">
        <v>421</v>
      </c>
      <c r="B39" s="542"/>
      <c r="C39" s="381">
        <f>IF(Inicio!$E$49&gt;=C6,(+C9/C8),0)</f>
        <v>0.73672889140199438</v>
      </c>
      <c r="D39" s="381">
        <f>IF(Inicio!$E$49&gt;=D6,(+D9/D8),0)</f>
        <v>0.71442117392618698</v>
      </c>
      <c r="E39" s="381">
        <f>IF(Inicio!$E$49&gt;=E6,(+E9/E8),0)</f>
        <v>0.70328599380123658</v>
      </c>
      <c r="F39" s="381">
        <f>IF(Inicio!$E$49&gt;=F6,(+F9/F8),0)</f>
        <v>0.69295377836411576</v>
      </c>
      <c r="G39" s="381">
        <f>IF(Inicio!$E$49&gt;=G6,(+G9/G8),0)</f>
        <v>0.68164616943837142</v>
      </c>
      <c r="H39" s="381">
        <f>IF(Inicio!$E$49&gt;=H6,(+H9/H8),0)</f>
        <v>0</v>
      </c>
      <c r="I39" s="381">
        <f>IF(Inicio!$E$49&gt;=I6,(+I9/I8),0)</f>
        <v>0</v>
      </c>
      <c r="J39" s="381">
        <f>IF(Inicio!$E$49&gt;=J6,(+J9/J8),0)</f>
        <v>0</v>
      </c>
      <c r="K39" s="381">
        <f>IF(Inicio!$E$49&gt;=K6,(+K9/K8),0)</f>
        <v>0</v>
      </c>
      <c r="L39" s="381">
        <f>IF(Inicio!$E$49&gt;=L6,(+L9/L8),0)</f>
        <v>0</v>
      </c>
      <c r="M39" s="381">
        <f>IF(Inicio!$E$49&gt;=M6,(+M9/M8),0)</f>
        <v>0</v>
      </c>
      <c r="N39" s="381">
        <f>IF(Inicio!$E$49&gt;=N6,(+N9/N8),0)</f>
        <v>0</v>
      </c>
      <c r="O39" s="381">
        <f>IF(Inicio!$E$49&gt;=O6,(+O9/O8),0)</f>
        <v>0</v>
      </c>
      <c r="P39" s="381">
        <f>IF(Inicio!$E$49&gt;=P6,(+P9/P8),0)</f>
        <v>0</v>
      </c>
      <c r="Q39" s="381">
        <f>IF(Inicio!$E$49&gt;=Q6,(+Q9/Q8),0)</f>
        <v>0</v>
      </c>
      <c r="R39"/>
    </row>
    <row r="40" spans="1:18" ht="13.5" thickBot="1" x14ac:dyDescent="0.25">
      <c r="A40" s="356" t="s">
        <v>248</v>
      </c>
      <c r="B40" s="244"/>
      <c r="C40" s="505">
        <f>IF(Inicio!$E$49&gt;=C6,((+C10+C11+C12+C13+C16)/(1-(C9/C8))),0)</f>
        <v>2224508.008959502</v>
      </c>
      <c r="D40" s="505">
        <f>IF(Inicio!$E$49&gt;=D6,((+D10+D11+D12+D13+D16)/(1-(D9/D8))),0)</f>
        <v>2090487.1345761474</v>
      </c>
      <c r="E40" s="505">
        <f>IF(Inicio!$E$49&gt;=E6,((+E10+E11+E12+E13+E16)/(1-(E9/E8))),0)</f>
        <v>2050965.6166714029</v>
      </c>
      <c r="F40" s="505">
        <f>IF(Inicio!$E$49&gt;=F6,((+F10+F11+F12+F13+F16)/(1-(F9/F8))),0)</f>
        <v>1994168.9082045215</v>
      </c>
      <c r="G40" s="505">
        <f>IF(Inicio!$E$49&gt;=G6,((+G10+G11+G12+G13+G16)/(1-(G9/G8))),0)</f>
        <v>1960878.2445945938</v>
      </c>
      <c r="H40" s="505">
        <f>IF(Inicio!$E$49&gt;=H6,((+H10+H11+H12+H13+H16)/(1-(H9/H8))),0)</f>
        <v>0</v>
      </c>
      <c r="I40" s="505">
        <f>IF(Inicio!$E$49&gt;=I6,((+I10+I11+I12+I13+I16)/(1-(I9/I8))),0)</f>
        <v>0</v>
      </c>
      <c r="J40" s="505">
        <f>IF(Inicio!$E$49&gt;=J6,((+J10+J11+J12+J13+J16)/(1-(J9/J8))),0)</f>
        <v>0</v>
      </c>
      <c r="K40" s="505">
        <f>IF(Inicio!$E$49&gt;=K6,((+K10+K11+K12+K13+K16)/(1-(K9/K8))),0)</f>
        <v>0</v>
      </c>
      <c r="L40" s="505">
        <f>IF(Inicio!$E$49&gt;=L6,((+L10+L11+L12+L13+L16)/(1-(L9/L8))),0)</f>
        <v>0</v>
      </c>
      <c r="M40" s="505">
        <f>IF(Inicio!$E$49&gt;=M6,((+M10+M11+M12+M13+M16)/(1-(M9/M8))),0)</f>
        <v>0</v>
      </c>
      <c r="N40" s="505">
        <f>IF(Inicio!$E$49&gt;=N6,((+N10+N11+N12+N13+N16)/(1-(N9/N8))),0)</f>
        <v>0</v>
      </c>
      <c r="O40" s="505">
        <f>IF(Inicio!$E$49&gt;=O6,((+O10+O11+O12+O13+O16)/(1-(O9/O8))),0)</f>
        <v>0</v>
      </c>
      <c r="P40" s="505">
        <f>IF(Inicio!$E$49&gt;=P6,((+P10+P11+P12+P13+P16)/(1-(P9/P8))),0)</f>
        <v>0</v>
      </c>
      <c r="Q40" s="505">
        <f>IF(Inicio!$E$49&gt;=Q6,((+Q10+Q11+Q12+Q13+Q16)/(1-(Q9/Q8))),0)</f>
        <v>0</v>
      </c>
    </row>
    <row r="41" spans="1:18" ht="13.5" thickBot="1" x14ac:dyDescent="0.25">
      <c r="A41" s="293" t="s">
        <v>422</v>
      </c>
      <c r="B41" s="294"/>
      <c r="C41" s="540">
        <f>+Inicio!F58</f>
        <v>0.32</v>
      </c>
      <c r="D41" s="297"/>
      <c r="E41" s="297"/>
      <c r="F41" s="297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97"/>
    </row>
    <row r="42" spans="1:18" ht="13.5" thickBot="1" x14ac:dyDescent="0.25">
      <c r="A42" s="293" t="s">
        <v>423</v>
      </c>
      <c r="B42" s="294"/>
      <c r="C42" s="371">
        <f>IF(Inicio!$E$49&gt;=C6,((+C10+C11+C12+C13+C16)/($C$41)),0)</f>
        <v>1830152.1550122197</v>
      </c>
      <c r="D42" s="371">
        <f>IF(Inicio!$E$49&gt;=D6,((+D10+D11+D12+D13+D16)/($C$41)),0)</f>
        <v>1865621.4431708292</v>
      </c>
      <c r="E42" s="371">
        <f>IF(Inicio!$E$49&gt;=E6,((+E10+E11+E12+E13+E16)/($C$41)),0)</f>
        <v>1901719.4521827791</v>
      </c>
      <c r="F42" s="371">
        <f>IF(Inicio!$E$49&gt;=F6,((+F10+F11+F12+F13+F16)/($C$41)),0)</f>
        <v>1913443.8392748586</v>
      </c>
      <c r="G42" s="371">
        <f>IF(Inicio!$E$49&gt;=G6,((+G10+G11+G12+G13+G16)/($C$41)),0)</f>
        <v>1950790.9388489092</v>
      </c>
      <c r="H42" s="371">
        <f>IF(Inicio!$E$49&gt;=H6,((+H10+H11+H12+H13+H16)/($C$41)),0)</f>
        <v>0</v>
      </c>
      <c r="I42" s="371">
        <f>IF(Inicio!$E$49&gt;=I6,((+I10+I11+I12+I13+I16)/($C$41)),0)</f>
        <v>0</v>
      </c>
      <c r="J42" s="371">
        <f>IF(Inicio!$E$49&gt;=J6,((+J10+J11+J12+J13+J16)/($C$41)),0)</f>
        <v>0</v>
      </c>
      <c r="K42" s="371">
        <f>IF(Inicio!$E$49&gt;=K6,((+K10+K11+K12+K13+K16)/($C$41)),0)</f>
        <v>0</v>
      </c>
      <c r="L42" s="371">
        <f>IF(Inicio!$E$49&gt;=L6,((+L10+L11+L12+L13+L16)/($C$41)),0)</f>
        <v>0</v>
      </c>
      <c r="M42" s="371">
        <f>IF(Inicio!$E$49&gt;=M6,((+M10+M11+M12+M13+M16)/($C$41)),0)</f>
        <v>0</v>
      </c>
      <c r="N42" s="371">
        <f>IF(Inicio!$E$49&gt;=N6,((+N10+N11+N12+N13+N16)/($C$41)),0)</f>
        <v>0</v>
      </c>
      <c r="O42" s="371">
        <f>IF(Inicio!$E$49&gt;=O6,((+O10+O11+O12+O13+O16)/($C$41)),0)</f>
        <v>0</v>
      </c>
      <c r="P42" s="371">
        <f>IF(Inicio!$E$49&gt;=P6,((+P10+P11+P12+P13+P16)/($C$41)),0)</f>
        <v>0</v>
      </c>
      <c r="Q42" s="371">
        <f>IF(Inicio!$E$49&gt;=Q6,((+Q10+Q11+Q12+Q13+Q16)/($C$41)),0)</f>
        <v>0</v>
      </c>
    </row>
    <row r="43" spans="1:18" ht="13.5" thickBot="1" x14ac:dyDescent="0.25">
      <c r="A43" s="545"/>
      <c r="B43" s="546"/>
      <c r="C43" s="547"/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</row>
    <row r="44" spans="1:18" ht="13.5" customHeight="1" thickBot="1" x14ac:dyDescent="0.25">
      <c r="A44" s="543" t="s">
        <v>387</v>
      </c>
      <c r="B44" s="544"/>
      <c r="C44" s="531" t="s">
        <v>246</v>
      </c>
      <c r="F44" s="365"/>
      <c r="G44" s="365"/>
      <c r="H44" s="297"/>
      <c r="I44" s="256"/>
      <c r="J44" s="230"/>
      <c r="K44" s="230"/>
      <c r="L44" s="230"/>
      <c r="M44" s="230"/>
      <c r="N44" s="230"/>
      <c r="O44" s="230"/>
      <c r="P44" s="230"/>
      <c r="Q44" s="230"/>
    </row>
    <row r="45" spans="1:18" x14ac:dyDescent="0.2">
      <c r="A45" s="242" t="s">
        <v>388</v>
      </c>
      <c r="B45" s="528"/>
      <c r="C45" s="255">
        <f>IRR(B38:Q38,C47)</f>
        <v>0.40485247077609809</v>
      </c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</row>
    <row r="46" spans="1:18" x14ac:dyDescent="0.2">
      <c r="A46" s="242" t="s">
        <v>389</v>
      </c>
      <c r="B46" s="528"/>
      <c r="C46" s="372">
        <f>+B38+C38/(1+C47)+D38/POWER(1+C47,2)+E38/POWER(1+C47,3)+F38/POWER(1+C47,4)+G38/POWER(1+C47,5)+H38/POWER(1+C47,6)+I38/POWER(1+C47,7)+J38/POWER(1+C47,8)+K38/POWER(1+C47,9)+L38/POWER(1+C47,10)+M38/POWER(1+C47,11)+N38/POWER(1+C47,12)+O38/POWER(1+C47,13)+P38/POWER(1+C47,14)+Q38/POWER(1+C47,15)</f>
        <v>180165.25380238242</v>
      </c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</row>
    <row r="47" spans="1:18" x14ac:dyDescent="0.2">
      <c r="A47" s="242" t="s">
        <v>390</v>
      </c>
      <c r="B47" s="528"/>
      <c r="C47" s="373">
        <f>Inicio!E48</f>
        <v>0.24</v>
      </c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</row>
    <row r="48" spans="1:18" x14ac:dyDescent="0.2">
      <c r="A48" s="242" t="s">
        <v>392</v>
      </c>
      <c r="B48" s="528"/>
      <c r="C48" s="374">
        <f>+B55/-B56</f>
        <v>1.5122622558524588</v>
      </c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</row>
    <row r="49" spans="1:17" ht="13.5" thickBot="1" x14ac:dyDescent="0.25">
      <c r="A49" s="263" t="s">
        <v>391</v>
      </c>
      <c r="B49" s="529"/>
      <c r="C49" s="375">
        <f>(+POWER(B57/-B56,1/B58))-1</f>
        <v>0.34693645631538206</v>
      </c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</row>
    <row r="50" spans="1:17" x14ac:dyDescent="0.2">
      <c r="A50" s="256" t="s">
        <v>1</v>
      </c>
      <c r="B50" s="153"/>
      <c r="C50" s="256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</row>
    <row r="51" spans="1:17" x14ac:dyDescent="0.2">
      <c r="A51" s="230" t="s">
        <v>1</v>
      </c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</row>
    <row r="52" spans="1:17" ht="13.5" thickBot="1" x14ac:dyDescent="0.25">
      <c r="A52" s="357" t="s">
        <v>69</v>
      </c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</row>
    <row r="53" spans="1:17" ht="13.5" thickBot="1" x14ac:dyDescent="0.25">
      <c r="A53" s="357" t="s">
        <v>70</v>
      </c>
      <c r="B53" s="376">
        <f>IF(B38&gt;=0,B38,0)</f>
        <v>0</v>
      </c>
      <c r="C53" s="361">
        <f t="shared" ref="C53:Q53" si="8">IF(C38&gt;=0,C38,0)</f>
        <v>74299.120806088133</v>
      </c>
      <c r="D53" s="361">
        <f t="shared" si="8"/>
        <v>156636.43656793915</v>
      </c>
      <c r="E53" s="361">
        <f t="shared" si="8"/>
        <v>178916.70657537933</v>
      </c>
      <c r="F53" s="361">
        <f t="shared" si="8"/>
        <v>229993.02631263144</v>
      </c>
      <c r="G53" s="361">
        <f t="shared" si="8"/>
        <v>524645.0191557043</v>
      </c>
      <c r="H53" s="361">
        <f t="shared" si="8"/>
        <v>0</v>
      </c>
      <c r="I53" s="361">
        <f t="shared" si="8"/>
        <v>0</v>
      </c>
      <c r="J53" s="361">
        <f t="shared" si="8"/>
        <v>0</v>
      </c>
      <c r="K53" s="361">
        <f t="shared" si="8"/>
        <v>0</v>
      </c>
      <c r="L53" s="361">
        <f t="shared" si="8"/>
        <v>0</v>
      </c>
      <c r="M53" s="361">
        <f t="shared" si="8"/>
        <v>0</v>
      </c>
      <c r="N53" s="361">
        <f t="shared" si="8"/>
        <v>0</v>
      </c>
      <c r="O53" s="361">
        <f t="shared" si="8"/>
        <v>0</v>
      </c>
      <c r="P53" s="361">
        <f t="shared" si="8"/>
        <v>0</v>
      </c>
      <c r="Q53" s="354">
        <f t="shared" si="8"/>
        <v>0</v>
      </c>
    </row>
    <row r="54" spans="1:17" ht="13.5" thickBot="1" x14ac:dyDescent="0.25">
      <c r="A54" s="357" t="s">
        <v>73</v>
      </c>
      <c r="B54" s="376">
        <f>IF(B38&lt;0,B38,0)</f>
        <v>-351705.11148155597</v>
      </c>
      <c r="C54" s="361">
        <f t="shared" ref="C54:Q54" si="9">IF(C38&lt;0,C38,0)</f>
        <v>0</v>
      </c>
      <c r="D54" s="361">
        <f t="shared" si="9"/>
        <v>0</v>
      </c>
      <c r="E54" s="361">
        <f t="shared" si="9"/>
        <v>0</v>
      </c>
      <c r="F54" s="361">
        <f t="shared" si="9"/>
        <v>0</v>
      </c>
      <c r="G54" s="361">
        <f t="shared" si="9"/>
        <v>0</v>
      </c>
      <c r="H54" s="361">
        <f t="shared" si="9"/>
        <v>0</v>
      </c>
      <c r="I54" s="361">
        <f t="shared" si="9"/>
        <v>0</v>
      </c>
      <c r="J54" s="361">
        <f t="shared" si="9"/>
        <v>0</v>
      </c>
      <c r="K54" s="361">
        <f t="shared" si="9"/>
        <v>0</v>
      </c>
      <c r="L54" s="361">
        <f t="shared" si="9"/>
        <v>0</v>
      </c>
      <c r="M54" s="361">
        <f t="shared" si="9"/>
        <v>0</v>
      </c>
      <c r="N54" s="361">
        <f t="shared" si="9"/>
        <v>0</v>
      </c>
      <c r="O54" s="361">
        <f t="shared" si="9"/>
        <v>0</v>
      </c>
      <c r="P54" s="361">
        <f t="shared" si="9"/>
        <v>0</v>
      </c>
      <c r="Q54" s="354">
        <f t="shared" si="9"/>
        <v>0</v>
      </c>
    </row>
    <row r="55" spans="1:17" x14ac:dyDescent="0.2">
      <c r="A55" s="357" t="s">
        <v>71</v>
      </c>
      <c r="B55" s="379">
        <f>+B53+C53/(1+C47)+D53/POWER(1+C47,2)+E53/POWER(1+C47,3)+F53/POWER(1+C47,4)+G53/POWER(1+C47,5)+H53/POWER(1+C47,6)+I53/POWER(1+C47,7)+J53/POWER(1+C47,8)+K53/POWER(1+C47,9)+L53/POWER(1+C47,10)+M53/POWER(1+C47,11)+N53/POWER(1+C47,12)+O53/POWER(1+C47,13)+P53/POWER(1+C47,14)+Q53/POWER(1+C47,15)</f>
        <v>531870.36528393836</v>
      </c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</row>
    <row r="56" spans="1:17" x14ac:dyDescent="0.2">
      <c r="A56" s="357" t="s">
        <v>72</v>
      </c>
      <c r="B56" s="377">
        <f>+B54+C54/(1+C47)+D54/POWER(1+C47,2)+E54/POWER(1+C47,3)+F54/POWER(1+C47,4)+G54/POWER(1+C47,5)+H54/POWER(1+C47,6)+I54/POWER(1+C47,7)+J54/POWER(1+C47,8)+K54/POWER(1+C47,9)+L54/POWER(1+C47,10)+M54/POWER(1+C47,11)+N54/POWER(1+C47,12)+O54/POWER(1+C47,13)+P54/POWER(1+C47,14)+Q54/POWER(1+C47,15)</f>
        <v>-351705.11148155597</v>
      </c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</row>
    <row r="57" spans="1:17" x14ac:dyDescent="0.2">
      <c r="A57" s="357" t="s">
        <v>75</v>
      </c>
      <c r="B57" s="377">
        <f>+B53*POWER(1+C47,(B58-0))+C53*POWER(1+C47,(B58-1))+D53*POWER(1+C47,(B58-2))+E53*POWER(1+C47,(B58-3))+F53*POWER(1+C47,(B58-4))+G53*POWER(1+C47,(B58-5))+H53*POWER(1+C47,(B58-6))+I53*POWER(1+C47,(B58-7))+J53*POWER(1+C47,(B58-8))+K53*POWER(1+C47,(B58-9))+L53*POWER(1+C47,(B58-10))+M53*POWER(1+C47,(B58-11))+N53*POWER(1+C47,(B58-12))+O53*POWER(1+C47,(B58-13))+P53*POWER(1+C47,(B58-14))+Q53</f>
        <v>1559244.4928142368</v>
      </c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</row>
    <row r="58" spans="1:17" ht="13.5" thickBot="1" x14ac:dyDescent="0.25">
      <c r="A58" s="357" t="s">
        <v>76</v>
      </c>
      <c r="B58" s="378">
        <f>Inicio!E49</f>
        <v>5</v>
      </c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</row>
    <row r="59" spans="1:17" x14ac:dyDescent="0.2">
      <c r="A59" s="247"/>
      <c r="B59" s="247"/>
      <c r="C59" s="247"/>
      <c r="D59" s="247"/>
      <c r="E59" s="247"/>
      <c r="F59" s="153"/>
      <c r="G59" s="247"/>
      <c r="H59" s="247"/>
      <c r="I59" s="247"/>
      <c r="J59" s="153"/>
      <c r="K59" s="153"/>
      <c r="L59" s="153"/>
      <c r="M59" s="153"/>
      <c r="N59" s="153"/>
      <c r="O59" s="153"/>
      <c r="P59" s="153"/>
      <c r="Q59" s="153"/>
    </row>
    <row r="60" spans="1:17" x14ac:dyDescent="0.2"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</row>
    <row r="61" spans="1:17" x14ac:dyDescent="0.2"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</row>
    <row r="62" spans="1:17" x14ac:dyDescent="0.2"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</row>
    <row r="63" spans="1:17" x14ac:dyDescent="0.2"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</row>
    <row r="64" spans="1:17" x14ac:dyDescent="0.2"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</row>
    <row r="65" spans="1:17" x14ac:dyDescent="0.2"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</row>
    <row r="66" spans="1:17" x14ac:dyDescent="0.2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</row>
    <row r="67" spans="1:17" x14ac:dyDescent="0.2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</row>
    <row r="68" spans="1:17" x14ac:dyDescent="0.2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</row>
    <row r="69" spans="1:17" x14ac:dyDescent="0.2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</row>
    <row r="70" spans="1:17" x14ac:dyDescent="0.2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</row>
    <row r="71" spans="1:17" x14ac:dyDescent="0.2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</row>
    <row r="72" spans="1:17" x14ac:dyDescent="0.2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</row>
    <row r="73" spans="1:17" x14ac:dyDescent="0.2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</row>
    <row r="74" spans="1:17" x14ac:dyDescent="0.2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</row>
    <row r="75" spans="1:17" x14ac:dyDescent="0.2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</row>
    <row r="76" spans="1:17" x14ac:dyDescent="0.2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</row>
    <row r="77" spans="1:17" x14ac:dyDescent="0.2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</row>
    <row r="78" spans="1:17" x14ac:dyDescent="0.2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</row>
    <row r="79" spans="1:17" x14ac:dyDescent="0.2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</row>
    <row r="80" spans="1:17" x14ac:dyDescent="0.2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</row>
    <row r="81" spans="1:17" x14ac:dyDescent="0.2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</row>
    <row r="82" spans="1:17" x14ac:dyDescent="0.2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</row>
    <row r="83" spans="1:17" x14ac:dyDescent="0.2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</row>
    <row r="84" spans="1:17" x14ac:dyDescent="0.2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</row>
    <row r="85" spans="1:17" x14ac:dyDescent="0.2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</row>
    <row r="86" spans="1:17" x14ac:dyDescent="0.2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</row>
    <row r="87" spans="1:17" x14ac:dyDescent="0.2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</row>
    <row r="88" spans="1:17" x14ac:dyDescent="0.2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</row>
    <row r="89" spans="1:17" x14ac:dyDescent="0.2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</row>
    <row r="90" spans="1:17" x14ac:dyDescent="0.2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</row>
  </sheetData>
  <sheetProtection password="F88E" sheet="1" formatColumns="0"/>
  <customSheetViews>
    <customSheetView guid="{4BF10618-D357-11D5-9338-EFF21189730A}" showGridLines="0" showRowCol="0" outlineSymbols="0" showRuler="0" topLeftCell="A29">
      <selection activeCell="B41" sqref="B41"/>
      <pageMargins left="0.59055118110236227" right="0.51181102362204722" top="0.98425196850393704" bottom="0.98425196850393704" header="0" footer="0"/>
      <printOptions horizontalCentered="1"/>
      <pageSetup scale="55" orientation="landscape" horizontalDpi="120" verticalDpi="144" r:id="rId1"/>
      <headerFooter alignWithMargins="0"/>
    </customSheetView>
  </customSheetViews>
  <mergeCells count="5">
    <mergeCell ref="I1:J1"/>
    <mergeCell ref="A1:G1"/>
    <mergeCell ref="A2:G2"/>
    <mergeCell ref="A3:G3"/>
    <mergeCell ref="A4:G4"/>
  </mergeCells>
  <phoneticPr fontId="11" type="noConversion"/>
  <printOptions horizontalCentered="1"/>
  <pageMargins left="0.19685039370078741" right="0.11811023622047245" top="0.78740157480314965" bottom="0.98425196850393704" header="0" footer="0"/>
  <pageSetup scale="55" orientation="landscape" horizontalDpi="120" verticalDpi="144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R90"/>
  <sheetViews>
    <sheetView showGridLines="0" tabSelected="1" showOutlineSymbols="0" topLeftCell="A31" workbookViewId="0">
      <selection activeCell="C46" sqref="C46"/>
    </sheetView>
  </sheetViews>
  <sheetFormatPr baseColWidth="10" defaultRowHeight="12.75" x14ac:dyDescent="0.2"/>
  <cols>
    <col min="1" max="1" width="15.7109375" style="1" customWidth="1"/>
    <col min="2" max="17" width="13.7109375" style="1" customWidth="1"/>
    <col min="18" max="16384" width="11.42578125" style="1"/>
  </cols>
  <sheetData>
    <row r="1" spans="1:18" ht="18.75" thickBot="1" x14ac:dyDescent="0.3">
      <c r="A1" s="662" t="str">
        <f>'sensibilidad inversionista'!A1:G1</f>
        <v>PREFACTIBILIDAD PARA LA CREACIÓN DE UN PRODUCTO; PARA LA FABRICACION DE BLOQUE CON COMPONENTE DE MATERIAL PET</v>
      </c>
      <c r="B1" s="662"/>
      <c r="C1" s="662"/>
      <c r="D1" s="662"/>
      <c r="E1" s="662"/>
      <c r="F1" s="662"/>
      <c r="G1" s="662"/>
      <c r="H1" s="218"/>
      <c r="I1" s="682" t="s">
        <v>290</v>
      </c>
      <c r="J1" s="683"/>
      <c r="K1" s="315" t="s">
        <v>66</v>
      </c>
      <c r="L1" s="218"/>
      <c r="M1" s="218"/>
      <c r="N1" s="218"/>
      <c r="O1" s="218"/>
      <c r="P1" s="218"/>
      <c r="Q1" s="218"/>
    </row>
    <row r="2" spans="1:18" x14ac:dyDescent="0.2">
      <c r="A2" s="666" t="s">
        <v>395</v>
      </c>
      <c r="B2" s="666"/>
      <c r="C2" s="666"/>
      <c r="D2" s="666"/>
      <c r="E2" s="666"/>
      <c r="F2" s="666"/>
      <c r="G2" s="666"/>
      <c r="H2" s="245"/>
      <c r="I2" s="237" t="str">
        <f>+Inicio!C257</f>
        <v>Ventas</v>
      </c>
      <c r="J2" s="528"/>
      <c r="K2" s="382">
        <f>Inicio!D257</f>
        <v>0.98</v>
      </c>
      <c r="L2" s="245"/>
      <c r="M2" s="245"/>
      <c r="N2" s="245"/>
      <c r="O2" s="245"/>
      <c r="P2" s="245"/>
      <c r="Q2" s="245"/>
    </row>
    <row r="3" spans="1:18" x14ac:dyDescent="0.2">
      <c r="A3" s="667" t="str">
        <f>IF(Inicio!$E$51="Años","En Años","En Meses")</f>
        <v>En Años</v>
      </c>
      <c r="B3" s="667"/>
      <c r="C3" s="667"/>
      <c r="D3" s="667"/>
      <c r="E3" s="667"/>
      <c r="F3" s="667"/>
      <c r="G3" s="667"/>
      <c r="H3" s="246"/>
      <c r="I3" s="237" t="str">
        <f>+Inicio!C258</f>
        <v>Costos Compras Materia Prima</v>
      </c>
      <c r="J3" s="528"/>
      <c r="K3" s="383">
        <f>Inicio!D258</f>
        <v>1.02</v>
      </c>
      <c r="L3" s="246"/>
      <c r="M3" s="246"/>
      <c r="N3" s="246"/>
      <c r="O3" s="246"/>
      <c r="P3" s="246"/>
      <c r="Q3" s="246"/>
      <c r="R3" s="2"/>
    </row>
    <row r="4" spans="1:18" x14ac:dyDescent="0.2">
      <c r="A4" s="667" t="s">
        <v>276</v>
      </c>
      <c r="B4" s="667"/>
      <c r="C4" s="667"/>
      <c r="D4" s="667"/>
      <c r="E4" s="667"/>
      <c r="F4" s="667"/>
      <c r="G4" s="667"/>
      <c r="H4" s="246"/>
      <c r="I4" s="237" t="str">
        <f>+Inicio!C259</f>
        <v>Gastos Administrativos y de Ventas</v>
      </c>
      <c r="J4" s="528"/>
      <c r="K4" s="383">
        <f>Inicio!D259</f>
        <v>1.01</v>
      </c>
      <c r="L4" s="246"/>
      <c r="M4" s="246"/>
      <c r="N4" s="246"/>
      <c r="O4" s="246"/>
      <c r="P4" s="246"/>
      <c r="Q4" s="246"/>
    </row>
    <row r="5" spans="1:18" ht="13.5" thickBot="1" x14ac:dyDescent="0.25">
      <c r="A5" s="246"/>
      <c r="B5" s="246"/>
      <c r="C5" s="246"/>
      <c r="D5" s="246"/>
      <c r="E5" s="246"/>
      <c r="F5" s="246"/>
      <c r="G5" s="246"/>
      <c r="H5" s="246"/>
      <c r="I5" s="265" t="str">
        <f>+Inicio!C260</f>
        <v>Costos  Indirectos Fabricación</v>
      </c>
      <c r="J5" s="529"/>
      <c r="K5" s="383">
        <f>Inicio!D260</f>
        <v>1.02</v>
      </c>
      <c r="L5" s="246"/>
      <c r="M5" s="246"/>
      <c r="N5" s="246"/>
      <c r="O5" s="246"/>
      <c r="P5" s="246"/>
      <c r="Q5" s="246"/>
    </row>
    <row r="6" spans="1:18" s="37" customFormat="1" ht="13.5" thickBot="1" x14ac:dyDescent="0.25">
      <c r="A6" s="384" t="s">
        <v>4</v>
      </c>
      <c r="B6" s="385">
        <v>0</v>
      </c>
      <c r="C6" s="386">
        <v>1</v>
      </c>
      <c r="D6" s="385">
        <v>2</v>
      </c>
      <c r="E6" s="386">
        <v>3</v>
      </c>
      <c r="F6" s="385">
        <v>4</v>
      </c>
      <c r="G6" s="386">
        <v>5</v>
      </c>
      <c r="H6" s="385">
        <v>6</v>
      </c>
      <c r="I6" s="386">
        <v>7</v>
      </c>
      <c r="J6" s="385">
        <v>8</v>
      </c>
      <c r="K6" s="386">
        <v>9</v>
      </c>
      <c r="L6" s="385">
        <v>10</v>
      </c>
      <c r="M6" s="386">
        <v>11</v>
      </c>
      <c r="N6" s="385">
        <v>12</v>
      </c>
      <c r="O6" s="386">
        <v>13</v>
      </c>
      <c r="P6" s="385">
        <v>14</v>
      </c>
      <c r="Q6" s="386">
        <v>15</v>
      </c>
    </row>
    <row r="7" spans="1:18" x14ac:dyDescent="0.2">
      <c r="A7" s="242"/>
      <c r="B7" s="234"/>
      <c r="C7" s="235"/>
      <c r="D7" s="234"/>
      <c r="E7" s="256"/>
      <c r="F7" s="234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</row>
    <row r="8" spans="1:18" x14ac:dyDescent="0.2">
      <c r="A8" s="242" t="s">
        <v>7</v>
      </c>
      <c r="B8" s="234"/>
      <c r="C8" s="313">
        <f>(+'Estado de Resultado '!B9)*$K$2</f>
        <v>2385018.9439999997</v>
      </c>
      <c r="D8" s="313">
        <f>(+'Estado de Resultado '!C9)*$K$2</f>
        <v>2715473.3759999997</v>
      </c>
      <c r="E8" s="313">
        <f>(+'Estado de Resultado '!D9)*$K$2</f>
        <v>2946288.6129599996</v>
      </c>
      <c r="F8" s="313">
        <f>(+'Estado de Resultado '!E9)*$K$2</f>
        <v>3193396.6901759994</v>
      </c>
      <c r="G8" s="313">
        <f>(+'Estado de Resultado '!F9)*$K$2</f>
        <v>3492777.6298799994</v>
      </c>
      <c r="H8" s="313">
        <f>(+'Estado de Resultado '!G9)*$K$2</f>
        <v>0</v>
      </c>
      <c r="I8" s="313">
        <f>(+'Estado de Resultado '!H9)*$K$2</f>
        <v>0</v>
      </c>
      <c r="J8" s="313">
        <f>(+'Estado de Resultado '!I9)*$K$2</f>
        <v>0</v>
      </c>
      <c r="K8" s="313">
        <f>(+'Estado de Resultado '!J9)*$K$2</f>
        <v>0</v>
      </c>
      <c r="L8" s="313">
        <f>(+'Estado de Resultado '!K9)*$K$2</f>
        <v>0</v>
      </c>
      <c r="M8" s="313">
        <f>(+'Estado de Resultado '!L9)*$K$2</f>
        <v>0</v>
      </c>
      <c r="N8" s="313">
        <f>(+'Estado de Resultado '!M9)*$K$2</f>
        <v>0</v>
      </c>
      <c r="O8" s="313">
        <f>(+'Estado de Resultado '!N9)*$K$2</f>
        <v>0</v>
      </c>
      <c r="P8" s="313">
        <f>(+'Estado de Resultado '!O9)*$K$2</f>
        <v>0</v>
      </c>
      <c r="Q8" s="313">
        <f>(+'Estado de Resultado '!P9)*$K$2</f>
        <v>0</v>
      </c>
    </row>
    <row r="9" spans="1:18" x14ac:dyDescent="0.2">
      <c r="A9" s="242" t="s">
        <v>137</v>
      </c>
      <c r="B9" s="234"/>
      <c r="C9" s="313">
        <f>+'presupuesto compras y ventas'!B127+'gastos personal'!C90+'gastos generales'!B75</f>
        <v>1757112.362585875</v>
      </c>
      <c r="D9" s="313">
        <f>+'presupuesto compras y ventas'!C127+'gastos personal'!D90+'gastos generales'!C75</f>
        <v>1939991.6770472259</v>
      </c>
      <c r="E9" s="313">
        <f>+'presupuesto compras y ventas'!D127+'gastos personal'!E90+'gastos generales'!D75</f>
        <v>2072083.5151908402</v>
      </c>
      <c r="F9" s="313">
        <f>+'presupuesto compras y ventas'!E127+'gastos personal'!F90+'gastos generales'!E75</f>
        <v>2212876.3022729205</v>
      </c>
      <c r="G9" s="313">
        <f>+'presupuesto compras y ventas'!F127+'gastos personal'!G90+'gastos generales'!F75</f>
        <v>2380838.4921077355</v>
      </c>
      <c r="H9" s="313">
        <f>+'presupuesto compras y ventas'!G127+'gastos personal'!H90+'gastos generales'!G75</f>
        <v>0</v>
      </c>
      <c r="I9" s="313">
        <f>+'presupuesto compras y ventas'!H127+'gastos personal'!I90+'gastos generales'!H75</f>
        <v>0</v>
      </c>
      <c r="J9" s="313">
        <f>+'presupuesto compras y ventas'!I127+'gastos personal'!J90+'gastos generales'!I75</f>
        <v>0</v>
      </c>
      <c r="K9" s="313">
        <f>+'presupuesto compras y ventas'!J127+'gastos personal'!K90+'gastos generales'!J75</f>
        <v>0</v>
      </c>
      <c r="L9" s="313">
        <f>+'presupuesto compras y ventas'!K127+'gastos personal'!L90+'gastos generales'!K75</f>
        <v>0</v>
      </c>
      <c r="M9" s="313">
        <f>+'presupuesto compras y ventas'!L127+'gastos personal'!M90+'gastos generales'!L75</f>
        <v>0</v>
      </c>
      <c r="N9" s="313">
        <f>+'presupuesto compras y ventas'!M127+'gastos personal'!N90+'gastos generales'!M75</f>
        <v>0</v>
      </c>
      <c r="O9" s="313">
        <f>+'presupuesto compras y ventas'!N127+'gastos personal'!O90+'gastos generales'!N75</f>
        <v>0</v>
      </c>
      <c r="P9" s="313">
        <f>+'presupuesto compras y ventas'!O127+'gastos personal'!P90+'gastos generales'!O75</f>
        <v>0</v>
      </c>
      <c r="Q9" s="313">
        <f>+'presupuesto compras y ventas'!P127+'gastos personal'!Q90+'gastos generales'!P75</f>
        <v>0</v>
      </c>
    </row>
    <row r="10" spans="1:18" x14ac:dyDescent="0.2">
      <c r="A10" s="242" t="s">
        <v>111</v>
      </c>
      <c r="B10" s="234"/>
      <c r="C10" s="313">
        <f>(+'Estado de Resultado '!B19+'Estado de Resultado '!B30)*$K$4</f>
        <v>314690.78371913283</v>
      </c>
      <c r="D10" s="313">
        <f>(+'Estado de Resultado '!C19+'Estado de Resultado '!C30)*$K$4</f>
        <v>322558.05331211112</v>
      </c>
      <c r="E10" s="313">
        <f>(+'Estado de Resultado '!D19+'Estado de Resultado '!D30)*$K$4</f>
        <v>330622.00464491389</v>
      </c>
      <c r="F10" s="313">
        <f>(+'Estado de Resultado '!E19+'Estado de Resultado '!E30)*$K$4</f>
        <v>338887.55476103682</v>
      </c>
      <c r="G10" s="313">
        <f>(+'Estado de Resultado '!F19+'Estado de Resultado '!F30)*$K$4</f>
        <v>347359.74363006267</v>
      </c>
      <c r="H10" s="313">
        <f>(+'Estado de Resultado '!G19+'Estado de Resultado '!G30)*$K$4</f>
        <v>0</v>
      </c>
      <c r="I10" s="313">
        <f>(+'Estado de Resultado '!H19+'Estado de Resultado '!H30)*$K$4</f>
        <v>0</v>
      </c>
      <c r="J10" s="313">
        <f>(+'Estado de Resultado '!I19+'Estado de Resultado '!I30)*$K$4</f>
        <v>0</v>
      </c>
      <c r="K10" s="313">
        <f>(+'Estado de Resultado '!J19+'Estado de Resultado '!J30)*$K$4</f>
        <v>0</v>
      </c>
      <c r="L10" s="313">
        <f>(+'Estado de Resultado '!K19+'Estado de Resultado '!K30)*$K$4</f>
        <v>0</v>
      </c>
      <c r="M10" s="313">
        <f>(+'Estado de Resultado '!L19+'Estado de Resultado '!L30)*$K$4</f>
        <v>0</v>
      </c>
      <c r="N10" s="313">
        <f>(+'Estado de Resultado '!M19+'Estado de Resultado '!M30)*$K$4</f>
        <v>0</v>
      </c>
      <c r="O10" s="313">
        <f>(+'Estado de Resultado '!N19+'Estado de Resultado '!N30)*$K$4</f>
        <v>0</v>
      </c>
      <c r="P10" s="313">
        <f>(+'Estado de Resultado '!O19+'Estado de Resultado '!O30)*$K$4</f>
        <v>0</v>
      </c>
      <c r="Q10" s="313">
        <f>(+'Estado de Resultado '!P19+'Estado de Resultado '!P30)*$K$4</f>
        <v>0</v>
      </c>
    </row>
    <row r="11" spans="1:18" x14ac:dyDescent="0.2">
      <c r="A11" s="242" t="s">
        <v>129</v>
      </c>
      <c r="B11" s="234"/>
      <c r="C11" s="313">
        <f>+'Estado de Resultado '!B22</f>
        <v>44530</v>
      </c>
      <c r="D11" s="313">
        <f>+'Estado de Resultado '!C22</f>
        <v>44530</v>
      </c>
      <c r="E11" s="313">
        <f>+'Estado de Resultado '!D22</f>
        <v>44530</v>
      </c>
      <c r="F11" s="313">
        <f>+'Estado de Resultado '!E22</f>
        <v>36530</v>
      </c>
      <c r="G11" s="313">
        <f>+'Estado de Resultado '!F22</f>
        <v>36530</v>
      </c>
      <c r="H11" s="313">
        <f>+'Estado de Resultado '!G22</f>
        <v>0</v>
      </c>
      <c r="I11" s="313">
        <f>+'Estado de Resultado '!H22</f>
        <v>0</v>
      </c>
      <c r="J11" s="313">
        <f>+'Estado de Resultado '!I22</f>
        <v>0</v>
      </c>
      <c r="K11" s="313">
        <f>+'Estado de Resultado '!J22</f>
        <v>0</v>
      </c>
      <c r="L11" s="313">
        <f>+'Estado de Resultado '!K22</f>
        <v>0</v>
      </c>
      <c r="M11" s="313">
        <f>+'Estado de Resultado '!L22</f>
        <v>0</v>
      </c>
      <c r="N11" s="313">
        <f>+'Estado de Resultado '!M22</f>
        <v>0</v>
      </c>
      <c r="O11" s="313">
        <f>+'Estado de Resultado '!N22</f>
        <v>0</v>
      </c>
      <c r="P11" s="313">
        <f>+'Estado de Resultado '!O22</f>
        <v>0</v>
      </c>
      <c r="Q11" s="313">
        <f>+'Estado de Resultado '!P22</f>
        <v>0</v>
      </c>
    </row>
    <row r="12" spans="1:18" x14ac:dyDescent="0.2">
      <c r="A12" s="242" t="s">
        <v>130</v>
      </c>
      <c r="B12" s="234" t="s">
        <v>1</v>
      </c>
      <c r="C12" s="313">
        <f>+'Estado de Resultado '!B23</f>
        <v>4300</v>
      </c>
      <c r="D12" s="313">
        <f>+'Estado de Resultado '!C23</f>
        <v>4300</v>
      </c>
      <c r="E12" s="313">
        <f>+'Estado de Resultado '!D23</f>
        <v>4300</v>
      </c>
      <c r="F12" s="313">
        <f>+'Estado de Resultado '!E23</f>
        <v>4300</v>
      </c>
      <c r="G12" s="313">
        <f>+'Estado de Resultado '!F23</f>
        <v>4300</v>
      </c>
      <c r="H12" s="313">
        <f>+'Estado de Resultado '!G23</f>
        <v>0</v>
      </c>
      <c r="I12" s="313">
        <f>+'Estado de Resultado '!H23</f>
        <v>0</v>
      </c>
      <c r="J12" s="313">
        <f>+'Estado de Resultado '!I23</f>
        <v>0</v>
      </c>
      <c r="K12" s="313">
        <f>+'Estado de Resultado '!J23</f>
        <v>0</v>
      </c>
      <c r="L12" s="313">
        <f>+'Estado de Resultado '!K23</f>
        <v>0</v>
      </c>
      <c r="M12" s="313">
        <f>+'Estado de Resultado '!L23</f>
        <v>0</v>
      </c>
      <c r="N12" s="313">
        <f>+'Estado de Resultado '!M23</f>
        <v>0</v>
      </c>
      <c r="O12" s="313">
        <f>+'Estado de Resultado '!N23</f>
        <v>0</v>
      </c>
      <c r="P12" s="313">
        <f>+'Estado de Resultado '!O23</f>
        <v>0</v>
      </c>
      <c r="Q12" s="313">
        <f>+'Estado de Resultado '!P23</f>
        <v>0</v>
      </c>
    </row>
    <row r="13" spans="1:18" ht="13.5" thickBot="1" x14ac:dyDescent="0.25">
      <c r="A13" s="242" t="s">
        <v>28</v>
      </c>
      <c r="B13" s="234"/>
      <c r="C13" s="313">
        <f>+'Estado de Resultado '!B24</f>
        <v>9421.9058847775359</v>
      </c>
      <c r="D13" s="313">
        <f>+'Estado de Resultado '!C24</f>
        <v>7587.1585025542772</v>
      </c>
      <c r="E13" s="313">
        <f>+'Estado de Resultado '!D24</f>
        <v>5623.9788035753891</v>
      </c>
      <c r="F13" s="313">
        <f>+'Estado de Resultado '!E24</f>
        <v>3523.3765256679794</v>
      </c>
      <c r="G13" s="313">
        <f>+'Estado de Resultado '!F24</f>
        <v>1275.7320883070529</v>
      </c>
      <c r="H13" s="313">
        <f>+'Estado de Resultado '!G24</f>
        <v>0</v>
      </c>
      <c r="I13" s="313">
        <f>+'Estado de Resultado '!H24</f>
        <v>0</v>
      </c>
      <c r="J13" s="313">
        <f>+'Estado de Resultado '!I24</f>
        <v>0</v>
      </c>
      <c r="K13" s="313">
        <f>+'Estado de Resultado '!J24</f>
        <v>0</v>
      </c>
      <c r="L13" s="313">
        <f>+'Estado de Resultado '!K24</f>
        <v>0</v>
      </c>
      <c r="M13" s="313">
        <f>+'Estado de Resultado '!L24</f>
        <v>0</v>
      </c>
      <c r="N13" s="313">
        <f>+'Estado de Resultado '!M24</f>
        <v>0</v>
      </c>
      <c r="O13" s="313">
        <f>+'Estado de Resultado '!N24</f>
        <v>0</v>
      </c>
      <c r="P13" s="313">
        <f>+'Estado de Resultado '!O24</f>
        <v>0</v>
      </c>
      <c r="Q13" s="313">
        <f>+'Estado de Resultado '!P24</f>
        <v>0</v>
      </c>
    </row>
    <row r="14" spans="1:18" ht="13.5" thickBot="1" x14ac:dyDescent="0.25">
      <c r="A14" s="353" t="s">
        <v>122</v>
      </c>
      <c r="B14" s="360"/>
      <c r="C14" s="354">
        <f>+C8-C9-C10-C11-C12-C13</f>
        <v>254963.89181021432</v>
      </c>
      <c r="D14" s="253">
        <f>+D8-D9-D10-D11-D12-D13</f>
        <v>396506.48713810841</v>
      </c>
      <c r="E14" s="361">
        <f>+E8-E9-E10-E11-E12-E13</f>
        <v>489129.11432067014</v>
      </c>
      <c r="F14" s="253">
        <f>+F8-F9-F10-F11-F12-F13</f>
        <v>597279.4566163742</v>
      </c>
      <c r="G14" s="354">
        <f>+G8-G9-G10-G11-G12-G13</f>
        <v>722473.66205389425</v>
      </c>
      <c r="H14" s="354">
        <f t="shared" ref="H14:Q14" si="0">+H8-H9-H10-H11-H12-H13</f>
        <v>0</v>
      </c>
      <c r="I14" s="354">
        <f t="shared" si="0"/>
        <v>0</v>
      </c>
      <c r="J14" s="354">
        <f t="shared" si="0"/>
        <v>0</v>
      </c>
      <c r="K14" s="354">
        <f t="shared" si="0"/>
        <v>0</v>
      </c>
      <c r="L14" s="354">
        <f t="shared" si="0"/>
        <v>0</v>
      </c>
      <c r="M14" s="354">
        <f t="shared" si="0"/>
        <v>0</v>
      </c>
      <c r="N14" s="354">
        <f t="shared" si="0"/>
        <v>0</v>
      </c>
      <c r="O14" s="354">
        <f t="shared" si="0"/>
        <v>0</v>
      </c>
      <c r="P14" s="354">
        <f t="shared" si="0"/>
        <v>0</v>
      </c>
      <c r="Q14" s="354">
        <f t="shared" si="0"/>
        <v>0</v>
      </c>
    </row>
    <row r="15" spans="1:18" x14ac:dyDescent="0.2">
      <c r="A15" s="242"/>
      <c r="B15" s="234"/>
      <c r="C15" s="235"/>
      <c r="D15" s="234"/>
      <c r="E15" s="256"/>
      <c r="F15" s="234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</row>
    <row r="16" spans="1:18" x14ac:dyDescent="0.2">
      <c r="A16" s="242" t="s">
        <v>99</v>
      </c>
      <c r="B16" s="234"/>
      <c r="C16" s="313">
        <f>(+'Estado de Resultado '!B20+'Estado de Resultado '!B31)*$K$4</f>
        <v>212706</v>
      </c>
      <c r="D16" s="313">
        <f>(+'Estado de Resultado '!C20+'Estado de Resultado '!C31)*$K$4</f>
        <v>218023.65</v>
      </c>
      <c r="E16" s="313">
        <f>(+'Estado de Resultado '!D20+'Estado de Resultado '!D31)*$K$4</f>
        <v>223474.24124999999</v>
      </c>
      <c r="F16" s="313">
        <f>(+'Estado de Resultado '!E20+'Estado de Resultado '!E31)*$K$4</f>
        <v>229061.09728125003</v>
      </c>
      <c r="G16" s="313">
        <f>(+'Estado de Resultado '!F20+'Estado de Resultado '!F31)*$K$4</f>
        <v>234787.62471328126</v>
      </c>
      <c r="H16" s="313">
        <f>(+'Estado de Resultado '!G20+'Estado de Resultado '!G31)*$K$4</f>
        <v>0</v>
      </c>
      <c r="I16" s="313">
        <f>(+'Estado de Resultado '!H20+'Estado de Resultado '!H31)*$K$4</f>
        <v>0</v>
      </c>
      <c r="J16" s="313">
        <f>(+'Estado de Resultado '!I20+'Estado de Resultado '!I31)*$K$4</f>
        <v>0</v>
      </c>
      <c r="K16" s="313">
        <f>(+'Estado de Resultado '!J20+'Estado de Resultado '!J31)*$K$4</f>
        <v>0</v>
      </c>
      <c r="L16" s="313">
        <f>(+'Estado de Resultado '!K20+'Estado de Resultado '!K31)*$K$4</f>
        <v>0</v>
      </c>
      <c r="M16" s="313">
        <f>(+'Estado de Resultado '!L20+'Estado de Resultado '!L31)*$K$4</f>
        <v>0</v>
      </c>
      <c r="N16" s="313">
        <f>(+'Estado de Resultado '!M20+'Estado de Resultado '!M31)*$K$4</f>
        <v>0</v>
      </c>
      <c r="O16" s="313">
        <f>(+'Estado de Resultado '!N20+'Estado de Resultado '!N31)*$K$4</f>
        <v>0</v>
      </c>
      <c r="P16" s="313">
        <f>(+'Estado de Resultado '!O20+'Estado de Resultado '!O31)*$K$4</f>
        <v>0</v>
      </c>
      <c r="Q16" s="313">
        <f>(+'Estado de Resultado '!P20+'Estado de Resultado '!P31)*$K$4</f>
        <v>0</v>
      </c>
    </row>
    <row r="17" spans="1:17" ht="13.5" thickBot="1" x14ac:dyDescent="0.25">
      <c r="A17" s="242"/>
      <c r="B17" s="234"/>
      <c r="C17" s="313"/>
      <c r="D17" s="239"/>
      <c r="E17" s="297"/>
      <c r="F17" s="239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</row>
    <row r="18" spans="1:17" ht="13.5" thickBot="1" x14ac:dyDescent="0.25">
      <c r="A18" s="353" t="s">
        <v>107</v>
      </c>
      <c r="B18" s="360"/>
      <c r="C18" s="354">
        <f>+C14-C16</f>
        <v>42257.891810214322</v>
      </c>
      <c r="D18" s="253">
        <f>+D14-D16</f>
        <v>178482.83713810841</v>
      </c>
      <c r="E18" s="361">
        <f>+E14-E16</f>
        <v>265654.87307067018</v>
      </c>
      <c r="F18" s="253">
        <f>+F14-F16</f>
        <v>368218.35933512414</v>
      </c>
      <c r="G18" s="354">
        <f>+G14-G16</f>
        <v>487686.03734061297</v>
      </c>
      <c r="H18" s="354">
        <f t="shared" ref="H18:Q18" si="1">+H14-H16</f>
        <v>0</v>
      </c>
      <c r="I18" s="354">
        <f t="shared" si="1"/>
        <v>0</v>
      </c>
      <c r="J18" s="354">
        <f t="shared" si="1"/>
        <v>0</v>
      </c>
      <c r="K18" s="354">
        <f t="shared" si="1"/>
        <v>0</v>
      </c>
      <c r="L18" s="354">
        <f t="shared" si="1"/>
        <v>0</v>
      </c>
      <c r="M18" s="354">
        <f t="shared" si="1"/>
        <v>0</v>
      </c>
      <c r="N18" s="354">
        <f t="shared" si="1"/>
        <v>0</v>
      </c>
      <c r="O18" s="354">
        <f t="shared" si="1"/>
        <v>0</v>
      </c>
      <c r="P18" s="354">
        <f t="shared" si="1"/>
        <v>0</v>
      </c>
      <c r="Q18" s="354">
        <f t="shared" si="1"/>
        <v>0</v>
      </c>
    </row>
    <row r="19" spans="1:17" x14ac:dyDescent="0.2">
      <c r="A19" s="352"/>
      <c r="B19" s="362"/>
      <c r="C19" s="363"/>
      <c r="D19" s="364"/>
      <c r="E19" s="365"/>
      <c r="F19" s="364"/>
      <c r="G19" s="363"/>
      <c r="H19" s="363"/>
      <c r="I19" s="363"/>
      <c r="J19" s="363"/>
      <c r="K19" s="363"/>
      <c r="L19" s="363"/>
      <c r="M19" s="363"/>
      <c r="N19" s="363"/>
      <c r="O19" s="363"/>
      <c r="P19" s="363"/>
      <c r="Q19" s="363"/>
    </row>
    <row r="20" spans="1:17" x14ac:dyDescent="0.2">
      <c r="A20" s="242" t="s">
        <v>113</v>
      </c>
      <c r="B20" s="234"/>
      <c r="C20" s="313">
        <f>+'Estado de Resultado '!B42+'Estado de Resultado '!B21+'Estado de Resultado '!B43</f>
        <v>50218.134801596578</v>
      </c>
      <c r="D20" s="313">
        <f>+'Estado de Resultado '!C42+'Estado de Resultado '!C21+'Estado de Resultado '!C43</f>
        <v>111183.54132876039</v>
      </c>
      <c r="E20" s="313">
        <f>+'Estado de Resultado '!D42+'Estado de Resultado '!D21+'Estado de Resultado '!D43</f>
        <v>150469.50330014742</v>
      </c>
      <c r="F20" s="313">
        <f>+'Estado de Resultado '!E42+'Estado de Resultado '!E21+'Estado de Resultado '!E43</f>
        <v>196400.91256673387</v>
      </c>
      <c r="G20" s="313">
        <f>+'Estado de Resultado '!F42+'Estado de Resultado '!F21+'Estado de Resultado '!F43</f>
        <v>250003.70088404437</v>
      </c>
      <c r="H20" s="313">
        <f>+'Estado de Resultado '!G42+'Estado de Resultado '!G21+'Estado de Resultado '!G43</f>
        <v>0</v>
      </c>
      <c r="I20" s="313">
        <f>+'Estado de Resultado '!H42+'Estado de Resultado '!H21+'Estado de Resultado '!H43</f>
        <v>0</v>
      </c>
      <c r="J20" s="313">
        <f>+'Estado de Resultado '!I42+'Estado de Resultado '!I21+'Estado de Resultado '!I43</f>
        <v>0</v>
      </c>
      <c r="K20" s="313">
        <f>+'Estado de Resultado '!J42+'Estado de Resultado '!J21+'Estado de Resultado '!J43</f>
        <v>0</v>
      </c>
      <c r="L20" s="313">
        <f>+'Estado de Resultado '!K42+'Estado de Resultado '!K21+'Estado de Resultado '!K43</f>
        <v>0</v>
      </c>
      <c r="M20" s="313">
        <f>+'Estado de Resultado '!L42+'Estado de Resultado '!L21+'Estado de Resultado '!L43</f>
        <v>0</v>
      </c>
      <c r="N20" s="313">
        <f>+'Estado de Resultado '!M42+'Estado de Resultado '!M21+'Estado de Resultado '!M43</f>
        <v>0</v>
      </c>
      <c r="O20" s="313">
        <f>+'Estado de Resultado '!N42+'Estado de Resultado '!N21+'Estado de Resultado '!N43</f>
        <v>0</v>
      </c>
      <c r="P20" s="313">
        <f>+'Estado de Resultado '!O42+'Estado de Resultado '!O21+'Estado de Resultado '!O43</f>
        <v>0</v>
      </c>
      <c r="Q20" s="313">
        <f>+'Estado de Resultado '!P42+'Estado de Resultado '!P21+'Estado de Resultado '!P43</f>
        <v>0</v>
      </c>
    </row>
    <row r="21" spans="1:17" ht="13.5" thickBot="1" x14ac:dyDescent="0.25">
      <c r="A21" s="242" t="s">
        <v>114</v>
      </c>
      <c r="B21" s="234"/>
      <c r="C21" s="313">
        <v>0</v>
      </c>
      <c r="D21" s="239">
        <f>IF(D$6&lt;=Inicio!$E$49,+C20,0)</f>
        <v>50218.134801596578</v>
      </c>
      <c r="E21" s="239">
        <f>IF(E$6&lt;=Inicio!$E$49,+D20,0)</f>
        <v>111183.54132876039</v>
      </c>
      <c r="F21" s="239">
        <f>IF(F$6&lt;=Inicio!$E$49,+E20,0)</f>
        <v>150469.50330014742</v>
      </c>
      <c r="G21" s="239">
        <f>IF(G$6&lt;=Inicio!$E$49,+F20,0)</f>
        <v>196400.91256673387</v>
      </c>
      <c r="H21" s="239">
        <f>IF(H$6&lt;=Inicio!$E$49,+G20,0)</f>
        <v>0</v>
      </c>
      <c r="I21" s="239">
        <f>IF(I$6&lt;=Inicio!$E$49,+H20,0)</f>
        <v>0</v>
      </c>
      <c r="J21" s="239">
        <f>IF(J$6&lt;=Inicio!$E$49,+I20,0)</f>
        <v>0</v>
      </c>
      <c r="K21" s="239">
        <f>IF(K$6&lt;=Inicio!$E$49,+J20,0)</f>
        <v>0</v>
      </c>
      <c r="L21" s="239">
        <f>IF(L$6&lt;=Inicio!$E$49,+K20,0)</f>
        <v>0</v>
      </c>
      <c r="M21" s="239">
        <f>IF(M$6&lt;=Inicio!$E$49,+L20,0)</f>
        <v>0</v>
      </c>
      <c r="N21" s="239">
        <f>IF(N$6&lt;=Inicio!$E$49,+M20,0)</f>
        <v>0</v>
      </c>
      <c r="O21" s="239">
        <f>IF(O$6&lt;=Inicio!$E$49,+N20,0)</f>
        <v>0</v>
      </c>
      <c r="P21" s="239">
        <f>IF(P$6&lt;=Inicio!$E$49,+O20,0)</f>
        <v>0</v>
      </c>
      <c r="Q21" s="239">
        <f>IF(Q$6&lt;=Inicio!$E$49,+P20,0)</f>
        <v>0</v>
      </c>
    </row>
    <row r="22" spans="1:17" ht="13.5" thickBot="1" x14ac:dyDescent="0.25">
      <c r="A22" s="353" t="s">
        <v>123</v>
      </c>
      <c r="B22" s="360"/>
      <c r="C22" s="354">
        <f>+C18-C20</f>
        <v>-7960.2429913822562</v>
      </c>
      <c r="D22" s="253">
        <f>+D18-D20</f>
        <v>67299.295809348027</v>
      </c>
      <c r="E22" s="361">
        <f>+E18-E20</f>
        <v>115185.36977052275</v>
      </c>
      <c r="F22" s="253">
        <f>+F18-F20</f>
        <v>171817.44676839028</v>
      </c>
      <c r="G22" s="354">
        <f>+G18-G20</f>
        <v>237682.33645656859</v>
      </c>
      <c r="H22" s="354">
        <f t="shared" ref="H22:Q22" si="2">+H18-H20</f>
        <v>0</v>
      </c>
      <c r="I22" s="354">
        <f t="shared" si="2"/>
        <v>0</v>
      </c>
      <c r="J22" s="354">
        <f t="shared" si="2"/>
        <v>0</v>
      </c>
      <c r="K22" s="354">
        <f t="shared" si="2"/>
        <v>0</v>
      </c>
      <c r="L22" s="354">
        <f t="shared" si="2"/>
        <v>0</v>
      </c>
      <c r="M22" s="354">
        <f t="shared" si="2"/>
        <v>0</v>
      </c>
      <c r="N22" s="354">
        <f t="shared" si="2"/>
        <v>0</v>
      </c>
      <c r="O22" s="354">
        <f t="shared" si="2"/>
        <v>0</v>
      </c>
      <c r="P22" s="354">
        <f t="shared" si="2"/>
        <v>0</v>
      </c>
      <c r="Q22" s="354">
        <f t="shared" si="2"/>
        <v>0</v>
      </c>
    </row>
    <row r="23" spans="1:17" x14ac:dyDescent="0.2">
      <c r="A23" s="242"/>
      <c r="B23" s="234"/>
      <c r="C23" s="235"/>
      <c r="D23" s="234"/>
      <c r="E23" s="256"/>
      <c r="F23" s="234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</row>
    <row r="24" spans="1:17" x14ac:dyDescent="0.2">
      <c r="A24" s="242" t="s">
        <v>131</v>
      </c>
      <c r="B24" s="234"/>
      <c r="C24" s="313">
        <f t="shared" ref="C24:Q25" si="3">+C11</f>
        <v>44530</v>
      </c>
      <c r="D24" s="239">
        <f t="shared" si="3"/>
        <v>44530</v>
      </c>
      <c r="E24" s="297">
        <f t="shared" si="3"/>
        <v>44530</v>
      </c>
      <c r="F24" s="239">
        <f t="shared" si="3"/>
        <v>36530</v>
      </c>
      <c r="G24" s="313">
        <f t="shared" si="3"/>
        <v>36530</v>
      </c>
      <c r="H24" s="313">
        <f t="shared" si="3"/>
        <v>0</v>
      </c>
      <c r="I24" s="313">
        <f t="shared" si="3"/>
        <v>0</v>
      </c>
      <c r="J24" s="313">
        <f t="shared" si="3"/>
        <v>0</v>
      </c>
      <c r="K24" s="313">
        <f t="shared" si="3"/>
        <v>0</v>
      </c>
      <c r="L24" s="313">
        <f t="shared" si="3"/>
        <v>0</v>
      </c>
      <c r="M24" s="313">
        <f t="shared" si="3"/>
        <v>0</v>
      </c>
      <c r="N24" s="313">
        <f t="shared" si="3"/>
        <v>0</v>
      </c>
      <c r="O24" s="313">
        <f t="shared" si="3"/>
        <v>0</v>
      </c>
      <c r="P24" s="313">
        <f t="shared" si="3"/>
        <v>0</v>
      </c>
      <c r="Q24" s="313">
        <f t="shared" si="3"/>
        <v>0</v>
      </c>
    </row>
    <row r="25" spans="1:17" x14ac:dyDescent="0.2">
      <c r="A25" s="242" t="s">
        <v>132</v>
      </c>
      <c r="B25" s="234"/>
      <c r="C25" s="313">
        <f t="shared" si="3"/>
        <v>4300</v>
      </c>
      <c r="D25" s="239">
        <f t="shared" si="3"/>
        <v>4300</v>
      </c>
      <c r="E25" s="297">
        <f t="shared" si="3"/>
        <v>4300</v>
      </c>
      <c r="F25" s="239">
        <f t="shared" si="3"/>
        <v>4300</v>
      </c>
      <c r="G25" s="313">
        <f t="shared" si="3"/>
        <v>4300</v>
      </c>
      <c r="H25" s="313">
        <f t="shared" si="3"/>
        <v>0</v>
      </c>
      <c r="I25" s="313">
        <f t="shared" si="3"/>
        <v>0</v>
      </c>
      <c r="J25" s="313">
        <f t="shared" si="3"/>
        <v>0</v>
      </c>
      <c r="K25" s="313">
        <f t="shared" si="3"/>
        <v>0</v>
      </c>
      <c r="L25" s="313">
        <f t="shared" si="3"/>
        <v>0</v>
      </c>
      <c r="M25" s="313">
        <f t="shared" si="3"/>
        <v>0</v>
      </c>
      <c r="N25" s="313">
        <f t="shared" si="3"/>
        <v>0</v>
      </c>
      <c r="O25" s="313">
        <f t="shared" si="3"/>
        <v>0</v>
      </c>
      <c r="P25" s="313">
        <f t="shared" si="3"/>
        <v>0</v>
      </c>
      <c r="Q25" s="313">
        <f t="shared" si="3"/>
        <v>0</v>
      </c>
    </row>
    <row r="26" spans="1:17" x14ac:dyDescent="0.2">
      <c r="A26" s="242" t="s">
        <v>116</v>
      </c>
      <c r="B26" s="234"/>
      <c r="C26" s="313">
        <f>+C20-C21</f>
        <v>50218.134801596578</v>
      </c>
      <c r="D26" s="239">
        <f>+D20-D21</f>
        <v>60965.40652716381</v>
      </c>
      <c r="E26" s="297">
        <f>+E20-E21</f>
        <v>39285.961971387034</v>
      </c>
      <c r="F26" s="239">
        <f>+F20-F21</f>
        <v>45931.409266586445</v>
      </c>
      <c r="G26" s="313">
        <f>+G20-G21</f>
        <v>53602.788317310507</v>
      </c>
      <c r="H26" s="313">
        <f t="shared" ref="H26:Q26" si="4">+H20-H21</f>
        <v>0</v>
      </c>
      <c r="I26" s="313">
        <f t="shared" si="4"/>
        <v>0</v>
      </c>
      <c r="J26" s="313">
        <f t="shared" si="4"/>
        <v>0</v>
      </c>
      <c r="K26" s="313">
        <f t="shared" si="4"/>
        <v>0</v>
      </c>
      <c r="L26" s="313">
        <f t="shared" si="4"/>
        <v>0</v>
      </c>
      <c r="M26" s="313">
        <f t="shared" si="4"/>
        <v>0</v>
      </c>
      <c r="N26" s="313">
        <f t="shared" si="4"/>
        <v>0</v>
      </c>
      <c r="O26" s="313">
        <f t="shared" si="4"/>
        <v>0</v>
      </c>
      <c r="P26" s="313">
        <f t="shared" si="4"/>
        <v>0</v>
      </c>
      <c r="Q26" s="313">
        <f t="shared" si="4"/>
        <v>0</v>
      </c>
    </row>
    <row r="27" spans="1:17" ht="13.5" thickBot="1" x14ac:dyDescent="0.25">
      <c r="A27" s="242" t="s">
        <v>133</v>
      </c>
      <c r="B27" s="234"/>
      <c r="C27" s="313">
        <f>+C13</f>
        <v>9421.9058847775359</v>
      </c>
      <c r="D27" s="239">
        <f>+D13</f>
        <v>7587.1585025542772</v>
      </c>
      <c r="E27" s="297">
        <f>+E13</f>
        <v>5623.9788035753891</v>
      </c>
      <c r="F27" s="239">
        <f>+F13</f>
        <v>3523.3765256679794</v>
      </c>
      <c r="G27" s="313">
        <f>+G13</f>
        <v>1275.7320883070529</v>
      </c>
      <c r="H27" s="313">
        <f t="shared" ref="H27:Q27" si="5">+H13</f>
        <v>0</v>
      </c>
      <c r="I27" s="313">
        <f t="shared" si="5"/>
        <v>0</v>
      </c>
      <c r="J27" s="313">
        <f t="shared" si="5"/>
        <v>0</v>
      </c>
      <c r="K27" s="313">
        <f t="shared" si="5"/>
        <v>0</v>
      </c>
      <c r="L27" s="313">
        <f t="shared" si="5"/>
        <v>0</v>
      </c>
      <c r="M27" s="313">
        <f t="shared" si="5"/>
        <v>0</v>
      </c>
      <c r="N27" s="313">
        <f t="shared" si="5"/>
        <v>0</v>
      </c>
      <c r="O27" s="313">
        <f t="shared" si="5"/>
        <v>0</v>
      </c>
      <c r="P27" s="313">
        <f t="shared" si="5"/>
        <v>0</v>
      </c>
      <c r="Q27" s="313">
        <f t="shared" si="5"/>
        <v>0</v>
      </c>
    </row>
    <row r="28" spans="1:17" ht="13.5" thickBot="1" x14ac:dyDescent="0.25">
      <c r="A28" s="353" t="s">
        <v>117</v>
      </c>
      <c r="B28" s="360"/>
      <c r="C28" s="354">
        <f>SUM(C22:C27)</f>
        <v>100509.79769499185</v>
      </c>
      <c r="D28" s="253">
        <f>SUM(D22:D27)</f>
        <v>184681.86083906612</v>
      </c>
      <c r="E28" s="361">
        <f>SUM(E22:E27)</f>
        <v>208925.31054548518</v>
      </c>
      <c r="F28" s="253">
        <f>SUM(F22:F27)</f>
        <v>262102.23256064471</v>
      </c>
      <c r="G28" s="354">
        <f>SUM(G22:G27)</f>
        <v>333390.8568621861</v>
      </c>
      <c r="H28" s="354">
        <f t="shared" ref="H28:Q28" si="6">SUM(H22:H27)</f>
        <v>0</v>
      </c>
      <c r="I28" s="354">
        <f t="shared" si="6"/>
        <v>0</v>
      </c>
      <c r="J28" s="354">
        <f t="shared" si="6"/>
        <v>0</v>
      </c>
      <c r="K28" s="354">
        <f t="shared" si="6"/>
        <v>0</v>
      </c>
      <c r="L28" s="354">
        <f t="shared" si="6"/>
        <v>0</v>
      </c>
      <c r="M28" s="354">
        <f t="shared" si="6"/>
        <v>0</v>
      </c>
      <c r="N28" s="354">
        <f t="shared" si="6"/>
        <v>0</v>
      </c>
      <c r="O28" s="354">
        <f t="shared" si="6"/>
        <v>0</v>
      </c>
      <c r="P28" s="354">
        <f t="shared" si="6"/>
        <v>0</v>
      </c>
      <c r="Q28" s="354">
        <f t="shared" si="6"/>
        <v>0</v>
      </c>
    </row>
    <row r="29" spans="1:17" x14ac:dyDescent="0.2">
      <c r="A29" s="242" t="s">
        <v>134</v>
      </c>
      <c r="B29" s="234"/>
      <c r="C29" s="256"/>
      <c r="D29" s="231"/>
      <c r="E29" s="256"/>
      <c r="F29" s="231"/>
      <c r="G29" s="256"/>
      <c r="H29" s="231"/>
      <c r="I29" s="256"/>
      <c r="J29" s="231"/>
      <c r="K29" s="256"/>
      <c r="L29" s="231"/>
      <c r="M29" s="256"/>
      <c r="N29" s="231"/>
      <c r="O29" s="256"/>
      <c r="P29" s="231"/>
      <c r="Q29" s="231"/>
    </row>
    <row r="30" spans="1:17" x14ac:dyDescent="0.2">
      <c r="A30" s="242" t="s">
        <v>135</v>
      </c>
      <c r="B30" s="239">
        <v>0</v>
      </c>
      <c r="C30" s="256"/>
      <c r="D30" s="234"/>
      <c r="E30" s="256"/>
      <c r="F30" s="234"/>
      <c r="G30" s="256"/>
      <c r="H30" s="234"/>
      <c r="I30" s="256"/>
      <c r="J30" s="234"/>
      <c r="K30" s="256"/>
      <c r="L30" s="234"/>
      <c r="M30" s="256"/>
      <c r="N30" s="234"/>
      <c r="O30" s="256"/>
      <c r="P30" s="234"/>
      <c r="Q30" s="234"/>
    </row>
    <row r="31" spans="1:17" x14ac:dyDescent="0.2">
      <c r="A31" s="242" t="s">
        <v>118</v>
      </c>
      <c r="B31" s="239">
        <f>-'inversión inicial'!B20</f>
        <v>-299300</v>
      </c>
      <c r="C31" s="239">
        <f>IF(C$6=Inicio!$E$49,+'inversión inicial'!$D$20,0)</f>
        <v>0</v>
      </c>
      <c r="D31" s="239">
        <f>IF(D$6=Inicio!$E$49,+'inversión inicial'!$D$20,0)</f>
        <v>0</v>
      </c>
      <c r="E31" s="239">
        <f>IF(E$6=Inicio!$E$49,+'inversión inicial'!$D$20,0)</f>
        <v>0</v>
      </c>
      <c r="F31" s="239">
        <f>IF(F$6=Inicio!$E$49,+'inversión inicial'!$D$20,0)</f>
        <v>0</v>
      </c>
      <c r="G31" s="239">
        <f>IF(G$6=Inicio!$E$49,+'inversión inicial'!$D$20,0)</f>
        <v>128699</v>
      </c>
      <c r="H31" s="239">
        <f>IF(H$6=Inicio!$E$49,+'inversión inicial'!$D$20,0)</f>
        <v>0</v>
      </c>
      <c r="I31" s="239">
        <f>IF(I$6=Inicio!$E$49,+'inversión inicial'!$D$20,0)</f>
        <v>0</v>
      </c>
      <c r="J31" s="239">
        <f>IF(J$6=Inicio!$E$49,+'inversión inicial'!$D$20,0)</f>
        <v>0</v>
      </c>
      <c r="K31" s="239">
        <f>IF(K$6=Inicio!$E$49,+'inversión inicial'!$D$20,0)</f>
        <v>0</v>
      </c>
      <c r="L31" s="239">
        <f>IF(L$6=Inicio!$E$49,+'inversión inicial'!$D$20,0)</f>
        <v>0</v>
      </c>
      <c r="M31" s="239">
        <f>IF(M$6=Inicio!$E$49,+'inversión inicial'!$D$20,0)</f>
        <v>0</v>
      </c>
      <c r="N31" s="239">
        <f>IF(N$6=Inicio!$E$49,+'inversión inicial'!$D$20,0)</f>
        <v>0</v>
      </c>
      <c r="O31" s="239">
        <f>IF(O$6=Inicio!$E$49,+'inversión inicial'!$D$20,0)</f>
        <v>0</v>
      </c>
      <c r="P31" s="239">
        <f>IF(P$6=Inicio!$E$49,+'inversión inicial'!$D$20,0)</f>
        <v>0</v>
      </c>
      <c r="Q31" s="239">
        <f>IF(Q$6=Inicio!$E$49,+'inversión inicial'!$D$20,0)</f>
        <v>0</v>
      </c>
    </row>
    <row r="32" spans="1:17" x14ac:dyDescent="0.2">
      <c r="A32" s="242" t="s">
        <v>119</v>
      </c>
      <c r="B32" s="239">
        <f>-'inversión inicial'!B21</f>
        <v>-21500</v>
      </c>
      <c r="C32" s="239">
        <f>IF(C$6=Inicio!$E$49,+'inversión inicial'!$D$21,0)</f>
        <v>0</v>
      </c>
      <c r="D32" s="239">
        <f>IF(D$6=Inicio!$E$49,+'inversión inicial'!$D$21,0)</f>
        <v>0</v>
      </c>
      <c r="E32" s="239">
        <f>IF(E$6=Inicio!$E$49,+'inversión inicial'!$D$21,0)</f>
        <v>0</v>
      </c>
      <c r="F32" s="239">
        <f>IF(F$6=Inicio!$E$49,+'inversión inicial'!$D$21,0)</f>
        <v>0</v>
      </c>
      <c r="G32" s="239">
        <f>IF(G$6=Inicio!$E$49,+'inversión inicial'!$D$21,0)</f>
        <v>645</v>
      </c>
      <c r="H32" s="239">
        <f>IF(H$6=Inicio!$E$49,+'inversión inicial'!$D$21,0)</f>
        <v>0</v>
      </c>
      <c r="I32" s="239">
        <f>IF(I$6=Inicio!$E$49,+'inversión inicial'!$D$21,0)</f>
        <v>0</v>
      </c>
      <c r="J32" s="239">
        <f>IF(J$6=Inicio!$E$49,+'inversión inicial'!$D$21,0)</f>
        <v>0</v>
      </c>
      <c r="K32" s="239">
        <f>IF(K$6=Inicio!$E$49,+'inversión inicial'!$D$21,0)</f>
        <v>0</v>
      </c>
      <c r="L32" s="239">
        <f>IF(L$6=Inicio!$E$49,+'inversión inicial'!$D$21,0)</f>
        <v>0</v>
      </c>
      <c r="M32" s="239">
        <f>IF(M$6=Inicio!$E$49,+'inversión inicial'!$D$21,0)</f>
        <v>0</v>
      </c>
      <c r="N32" s="239">
        <f>IF(N$6=Inicio!$E$49,+'inversión inicial'!$D$21,0)</f>
        <v>0</v>
      </c>
      <c r="O32" s="239">
        <f>IF(O$6=Inicio!$E$49,+'inversión inicial'!$D$21,0)</f>
        <v>0</v>
      </c>
      <c r="P32" s="239">
        <f>IF(P$6=Inicio!$E$49,+'inversión inicial'!$D$21,0)</f>
        <v>0</v>
      </c>
      <c r="Q32" s="239">
        <f>IF(Q$6=Inicio!$E$49,+'inversión inicial'!$D$21,0)</f>
        <v>0</v>
      </c>
    </row>
    <row r="33" spans="1:18" x14ac:dyDescent="0.2">
      <c r="A33" s="242" t="s">
        <v>170</v>
      </c>
      <c r="B33" s="239">
        <f>-'inversión inicial'!B22</f>
        <v>-181635.87354507999</v>
      </c>
      <c r="C33" s="239">
        <f>IF(C$6=Inicio!$E$49,+'inversión inicial'!$D$22,)</f>
        <v>0</v>
      </c>
      <c r="D33" s="239">
        <f>IF(D$6=Inicio!$E$49,+'inversión inicial'!$D$22,)</f>
        <v>0</v>
      </c>
      <c r="E33" s="239">
        <f>IF(E$6=Inicio!$E$49,+'inversión inicial'!$D$22,)</f>
        <v>0</v>
      </c>
      <c r="F33" s="239">
        <f>IF(F$6=Inicio!$E$49,+'inversión inicial'!$D$22,)</f>
        <v>0</v>
      </c>
      <c r="G33" s="239">
        <f>IF(G$6=Inicio!$E$49,+'inversión inicial'!$D$22,)</f>
        <v>96267.012978892395</v>
      </c>
      <c r="H33" s="239">
        <f>IF(H$6=Inicio!$E$49,+'inversión inicial'!$D$22,)</f>
        <v>0</v>
      </c>
      <c r="I33" s="239">
        <f>IF(I$6=Inicio!$E$49,+'inversión inicial'!$D$22,)</f>
        <v>0</v>
      </c>
      <c r="J33" s="239">
        <f>IF(J$6=Inicio!$E$49,+'inversión inicial'!$D$22,)</f>
        <v>0</v>
      </c>
      <c r="K33" s="239">
        <f>IF(K$6=Inicio!$E$49,+'inversión inicial'!$D$22,)</f>
        <v>0</v>
      </c>
      <c r="L33" s="239">
        <f>IF(L$6=Inicio!$E$49,+'inversión inicial'!$D$22,)</f>
        <v>0</v>
      </c>
      <c r="M33" s="239">
        <f>IF(M$6=Inicio!$E$49,+'inversión inicial'!$D$22,)</f>
        <v>0</v>
      </c>
      <c r="N33" s="239">
        <f>IF(N$6=Inicio!$E$49,+'inversión inicial'!$D$22,)</f>
        <v>0</v>
      </c>
      <c r="O33" s="239">
        <f>IF(O$6=Inicio!$E$49,+'inversión inicial'!$D$22,)</f>
        <v>0</v>
      </c>
      <c r="P33" s="239">
        <f>IF(P$6=Inicio!$E$49,+'inversión inicial'!$D$22,)</f>
        <v>0</v>
      </c>
      <c r="Q33" s="239">
        <f>IF(Q$6=Inicio!$E$49,+'inversión inicial'!$D$22,)</f>
        <v>0</v>
      </c>
    </row>
    <row r="34" spans="1:18" x14ac:dyDescent="0.2">
      <c r="A34" s="242" t="s">
        <v>278</v>
      </c>
      <c r="B34" s="239">
        <f>-'inversión inicial'!B23</f>
        <v>0</v>
      </c>
      <c r="C34" s="239">
        <f>IF(C$6=Inicio!$E$49,+'inversión inicial'!$D$23,)</f>
        <v>0</v>
      </c>
      <c r="D34" s="239">
        <f>IF(D$6=Inicio!$E$49,+'inversión inicial'!$D$23,)</f>
        <v>0</v>
      </c>
      <c r="E34" s="239">
        <f>IF(E$6=Inicio!$E$49,+'inversión inicial'!$D$23,)</f>
        <v>0</v>
      </c>
      <c r="F34" s="239">
        <f>IF(F$6=Inicio!$E$49,+'inversión inicial'!$D$23,)</f>
        <v>0</v>
      </c>
      <c r="G34" s="239">
        <f>IF(G$6=Inicio!$E$49,+'inversión inicial'!$D$23,)</f>
        <v>0</v>
      </c>
      <c r="H34" s="239">
        <f>IF(H$6=Inicio!$E$49,+'inversión inicial'!$D$23,)</f>
        <v>0</v>
      </c>
      <c r="I34" s="239">
        <f>IF(I$6=Inicio!$E$49,+'inversión inicial'!$D$23,)</f>
        <v>0</v>
      </c>
      <c r="J34" s="239">
        <f>IF(J$6=Inicio!$E$49,+'inversión inicial'!$D$23,)</f>
        <v>0</v>
      </c>
      <c r="K34" s="239">
        <f>IF(K$6=Inicio!$E$49,+'inversión inicial'!$D$23,)</f>
        <v>0</v>
      </c>
      <c r="L34" s="239">
        <f>IF(L$6=Inicio!$E$49,+'inversión inicial'!$D$23,)</f>
        <v>0</v>
      </c>
      <c r="M34" s="239">
        <f>IF(M$6=Inicio!$E$49,+'inversión inicial'!$D$23,)</f>
        <v>0</v>
      </c>
      <c r="N34" s="239">
        <f>IF(N$6=Inicio!$E$49,+'inversión inicial'!$D$23,)</f>
        <v>0</v>
      </c>
      <c r="O34" s="239">
        <f>IF(O$6=Inicio!$E$49,+'inversión inicial'!$D$23,)</f>
        <v>0</v>
      </c>
      <c r="P34" s="239">
        <f>IF(P$6=Inicio!$E$49,+'inversión inicial'!$D$23,)</f>
        <v>0</v>
      </c>
      <c r="Q34" s="239">
        <f>IF(Q$6=Inicio!$E$49,+'inversión inicial'!$D$23,)</f>
        <v>0</v>
      </c>
    </row>
    <row r="35" spans="1:18" x14ac:dyDescent="0.2">
      <c r="A35" s="242" t="s">
        <v>120</v>
      </c>
      <c r="B35" s="239">
        <f>SUM(B30:B34)</f>
        <v>-502435.87354507996</v>
      </c>
      <c r="C35" s="256"/>
      <c r="D35" s="234"/>
      <c r="E35" s="256"/>
      <c r="F35" s="234"/>
      <c r="G35" s="256"/>
      <c r="H35" s="234"/>
      <c r="I35" s="256"/>
      <c r="J35" s="234"/>
      <c r="K35" s="256"/>
      <c r="L35" s="234"/>
      <c r="M35" s="256"/>
      <c r="N35" s="234"/>
      <c r="O35" s="256"/>
      <c r="P35" s="234"/>
      <c r="Q35" s="234"/>
    </row>
    <row r="36" spans="1:18" x14ac:dyDescent="0.2">
      <c r="A36" s="242" t="s">
        <v>136</v>
      </c>
      <c r="B36" s="239">
        <v>0</v>
      </c>
      <c r="C36" s="239">
        <v>0</v>
      </c>
      <c r="D36" s="239">
        <v>0</v>
      </c>
      <c r="E36" s="239">
        <v>0</v>
      </c>
      <c r="F36" s="239">
        <v>0</v>
      </c>
      <c r="G36" s="239">
        <v>0</v>
      </c>
      <c r="H36" s="239">
        <v>0</v>
      </c>
      <c r="I36" s="239">
        <v>0</v>
      </c>
      <c r="J36" s="239">
        <v>0</v>
      </c>
      <c r="K36" s="297">
        <v>0</v>
      </c>
      <c r="L36" s="239">
        <v>0</v>
      </c>
      <c r="M36" s="239">
        <v>0</v>
      </c>
      <c r="N36" s="239">
        <v>0</v>
      </c>
      <c r="O36" s="239">
        <v>0</v>
      </c>
      <c r="P36" s="239">
        <v>0</v>
      </c>
      <c r="Q36" s="239">
        <v>0</v>
      </c>
    </row>
    <row r="37" spans="1:18" ht="13.5" thickBot="1" x14ac:dyDescent="0.25">
      <c r="A37" s="242"/>
      <c r="B37" s="239"/>
      <c r="C37" s="297"/>
      <c r="D37" s="251"/>
      <c r="E37" s="297"/>
      <c r="F37" s="251"/>
      <c r="G37" s="297"/>
      <c r="H37" s="251"/>
      <c r="I37" s="297"/>
      <c r="J37" s="251"/>
      <c r="K37" s="297"/>
      <c r="L37" s="251"/>
      <c r="M37" s="297"/>
      <c r="N37" s="251"/>
      <c r="O37" s="297"/>
      <c r="P37" s="251"/>
      <c r="Q37" s="251"/>
    </row>
    <row r="38" spans="1:18" ht="13.5" thickBot="1" x14ac:dyDescent="0.25">
      <c r="A38" s="353" t="s">
        <v>121</v>
      </c>
      <c r="B38" s="354">
        <f>+B35+B36</f>
        <v>-502435.87354507996</v>
      </c>
      <c r="C38" s="354">
        <f t="shared" ref="C38:M38" si="7">+C28-C36+C33+C31+C34-C36+C32</f>
        <v>100509.79769499185</v>
      </c>
      <c r="D38" s="354">
        <f t="shared" si="7"/>
        <v>184681.86083906612</v>
      </c>
      <c r="E38" s="354">
        <f t="shared" si="7"/>
        <v>208925.31054548518</v>
      </c>
      <c r="F38" s="354">
        <f t="shared" si="7"/>
        <v>262102.23256064471</v>
      </c>
      <c r="G38" s="354">
        <f t="shared" si="7"/>
        <v>559001.86984107853</v>
      </c>
      <c r="H38" s="354">
        <f t="shared" si="7"/>
        <v>0</v>
      </c>
      <c r="I38" s="354">
        <f t="shared" si="7"/>
        <v>0</v>
      </c>
      <c r="J38" s="354">
        <f t="shared" si="7"/>
        <v>0</v>
      </c>
      <c r="K38" s="354">
        <f t="shared" si="7"/>
        <v>0</v>
      </c>
      <c r="L38" s="354">
        <f t="shared" si="7"/>
        <v>0</v>
      </c>
      <c r="M38" s="354">
        <f t="shared" si="7"/>
        <v>0</v>
      </c>
      <c r="N38" s="354">
        <f>+N28-N36+N33+N31+N34-N36+N32</f>
        <v>0</v>
      </c>
      <c r="O38" s="354">
        <f>+O28-O36+O33+O31+O34-O36+O32</f>
        <v>0</v>
      </c>
      <c r="P38" s="354">
        <f>+P28-P36+P33+P31+P34-P36+P32</f>
        <v>0</v>
      </c>
      <c r="Q38" s="354">
        <f>+Q28-Q36+Q33+Q31+Q34-Q36+Q32</f>
        <v>0</v>
      </c>
    </row>
    <row r="39" spans="1:18" ht="13.5" thickBot="1" x14ac:dyDescent="0.25">
      <c r="A39" s="541" t="s">
        <v>421</v>
      </c>
      <c r="B39" s="542"/>
      <c r="C39" s="387">
        <f>IF(Inicio!$E$49&gt;=C6,(+C9/C8),0)</f>
        <v>0.73672889140199438</v>
      </c>
      <c r="D39" s="387">
        <f>IF(Inicio!$E$49&gt;=D6,(+D9/D8),0)</f>
        <v>0.71442117392618698</v>
      </c>
      <c r="E39" s="387">
        <f>IF(Inicio!$E$49&gt;=E6,(+E9/E8),0)</f>
        <v>0.70328599380123658</v>
      </c>
      <c r="F39" s="387">
        <f>IF(Inicio!$E$49&gt;=F6,(+F9/F8),0)</f>
        <v>0.69295377836411576</v>
      </c>
      <c r="G39" s="387">
        <f>IF(Inicio!$E$49&gt;=G6,(+G9/G8),0)</f>
        <v>0.68164616943837142</v>
      </c>
      <c r="H39" s="387">
        <f>IF(Inicio!$E$49&gt;=H6,(+H9/H8),0)</f>
        <v>0</v>
      </c>
      <c r="I39" s="387">
        <f>IF(Inicio!$E$49&gt;=I6,(+I9/I8),0)</f>
        <v>0</v>
      </c>
      <c r="J39" s="387">
        <f>IF(Inicio!$E$49&gt;=J6,(+J9/J8),0)</f>
        <v>0</v>
      </c>
      <c r="K39" s="387">
        <f>IF(Inicio!$E$49&gt;=K6,(+K9/K8),0)</f>
        <v>0</v>
      </c>
      <c r="L39" s="387">
        <f>IF(Inicio!$E$49&gt;=L6,(+L9/L8),0)</f>
        <v>0</v>
      </c>
      <c r="M39" s="387">
        <f>IF(Inicio!$E$49&gt;=M6,(+M9/M8),0)</f>
        <v>0</v>
      </c>
      <c r="N39" s="387">
        <f>IF(Inicio!$E$49&gt;=N6,(+N9/N8),0)</f>
        <v>0</v>
      </c>
      <c r="O39" s="387">
        <f>IF(Inicio!$E$49&gt;=O6,(+O9/O8),0)</f>
        <v>0</v>
      </c>
      <c r="P39" s="387">
        <f>IF(Inicio!$E$49&gt;=P6,(+P9/P8),0)</f>
        <v>0</v>
      </c>
      <c r="Q39" s="387">
        <f>IF(Inicio!$E$49&gt;=Q6,(+Q9/Q8),0)</f>
        <v>0</v>
      </c>
    </row>
    <row r="40" spans="1:18" ht="13.5" thickBot="1" x14ac:dyDescent="0.25">
      <c r="A40" s="356" t="s">
        <v>248</v>
      </c>
      <c r="B40" s="355"/>
      <c r="C40" s="388">
        <f>IF(Inicio!$E$49&gt;=C6,((+C10+C11+C12+C13+C16)/(1-(C9/C8))),0)</f>
        <v>2224508.008959502</v>
      </c>
      <c r="D40" s="388">
        <f>IF(Inicio!$E$49&gt;=D6,((+D10+D11+D12+D13+D16)/(1-(D9/D8))),0)</f>
        <v>2090487.1345761474</v>
      </c>
      <c r="E40" s="388">
        <f>IF(Inicio!$E$49&gt;=E6,((+E10+E11+E12+E13+E16)/(1-(E9/E8))),0)</f>
        <v>2050965.6166714029</v>
      </c>
      <c r="F40" s="388">
        <f>IF(Inicio!$E$49&gt;=F6,((+F10+F11+F12+F13+F16)/(1-(F9/F8))),0)</f>
        <v>1994168.9082045215</v>
      </c>
      <c r="G40" s="388">
        <f>IF(Inicio!$E$49&gt;=G6,((+G10+G11+G12+G13+G16)/(1-(G9/G8))),0)</f>
        <v>1960878.2445945938</v>
      </c>
      <c r="H40" s="388">
        <f>IF(Inicio!$E$49&gt;=H6,((+H10+H11+H12+H13+H16)/(1-(H9/H8))),0)</f>
        <v>0</v>
      </c>
      <c r="I40" s="388">
        <f>IF(Inicio!$E$49&gt;=I6,((+I10+I11+I12+I13+I16)/(1-(I9/I8))),0)</f>
        <v>0</v>
      </c>
      <c r="J40" s="388">
        <f>IF(Inicio!$E$49&gt;=J6,((+J10+J11+J12+J13+J16)/(1-(J9/J8))),0)</f>
        <v>0</v>
      </c>
      <c r="K40" s="388">
        <f>IF(Inicio!$E$49&gt;=K6,((+K10+K11+K12+K13+K16)/(1-(K9/K8))),0)</f>
        <v>0</v>
      </c>
      <c r="L40" s="388">
        <f>IF(Inicio!$E$49&gt;=L6,((+L10+L11+L12+L13+L16)/(1-(L9/L8))),0)</f>
        <v>0</v>
      </c>
      <c r="M40" s="388">
        <f>IF(Inicio!$E$49&gt;=M6,((+M10+M11+M12+M13+M16)/(1-(M9/M8))),0)</f>
        <v>0</v>
      </c>
      <c r="N40" s="388">
        <f>IF(Inicio!$E$49&gt;=N6,((+N10+N11+N12+N13+N16)/(1-(N9/N8))),0)</f>
        <v>0</v>
      </c>
      <c r="O40" s="388">
        <f>IF(Inicio!$E$49&gt;=O6,((+O10+O11+O12+O13+O16)/(1-(O9/O8))),0)</f>
        <v>0</v>
      </c>
      <c r="P40" s="388">
        <f>IF(Inicio!$E$49&gt;=P6,((+P10+P11+P12+P13+P16)/(1-(P9/P8))),0)</f>
        <v>0</v>
      </c>
      <c r="Q40" s="388">
        <f>IF(Inicio!$E$49&gt;=Q6,((+Q10+Q11+Q12+Q13+Q16)/(1-(Q9/Q8))),0)</f>
        <v>0</v>
      </c>
      <c r="R40" s="29" t="s">
        <v>1</v>
      </c>
    </row>
    <row r="41" spans="1:18" ht="13.5" thickBot="1" x14ac:dyDescent="0.25">
      <c r="A41" s="293" t="s">
        <v>422</v>
      </c>
      <c r="B41" s="294"/>
      <c r="C41" s="540">
        <f>+Inicio!F58</f>
        <v>0.32</v>
      </c>
      <c r="D41" s="297"/>
      <c r="E41" s="297"/>
      <c r="F41" s="297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97"/>
      <c r="R41" s="29"/>
    </row>
    <row r="42" spans="1:18" ht="13.5" thickBot="1" x14ac:dyDescent="0.25">
      <c r="A42" s="293" t="s">
        <v>423</v>
      </c>
      <c r="B42" s="294"/>
      <c r="C42" s="371">
        <f>IF(Inicio!$E$49&gt;=C6,((+C10+C11+C12+C13+C16)/($C$41)),0)</f>
        <v>1830152.1550122197</v>
      </c>
      <c r="D42" s="371">
        <f>IF(Inicio!$E$49&gt;=D6,((+D10+D11+D12+D13+D16)/($C$41)),0)</f>
        <v>1865621.4431708292</v>
      </c>
      <c r="E42" s="371">
        <f>IF(Inicio!$E$49&gt;=E6,((+E10+E11+E12+E13+E16)/($C$41)),0)</f>
        <v>1901719.4521827791</v>
      </c>
      <c r="F42" s="371">
        <f>IF(Inicio!$E$49&gt;=F6,((+F10+F11+F12+F13+F16)/($C$41)),0)</f>
        <v>1913443.8392748586</v>
      </c>
      <c r="G42" s="371">
        <f>IF(Inicio!$E$49&gt;=G6,((+G10+G11+G12+G13+G16)/($C$41)),0)</f>
        <v>1950790.9388489092</v>
      </c>
      <c r="H42" s="371">
        <f>IF(Inicio!$E$49&gt;=H6,((+H10+H11+H12+H13+H16)/($C$41)),0)</f>
        <v>0</v>
      </c>
      <c r="I42" s="371">
        <f>IF(Inicio!$E$49&gt;=I6,((+I10+I11+I12+I13+I16)/($C$41)),0)</f>
        <v>0</v>
      </c>
      <c r="J42" s="371">
        <f>IF(Inicio!$E$49&gt;=J6,((+J10+J11+J12+J13+J16)/($C$41)),0)</f>
        <v>0</v>
      </c>
      <c r="K42" s="371">
        <f>IF(Inicio!$E$49&gt;=K6,((+K10+K11+K12+K13+K16)/($C$41)),0)</f>
        <v>0</v>
      </c>
      <c r="L42" s="371">
        <f>IF(Inicio!$E$49&gt;=L6,((+L10+L11+L12+L13+L16)/($C$41)),0)</f>
        <v>0</v>
      </c>
      <c r="M42" s="371">
        <f>IF(Inicio!$E$49&gt;=M6,((+M10+M11+M12+M13+M16)/($C$41)),0)</f>
        <v>0</v>
      </c>
      <c r="N42" s="371">
        <f>IF(Inicio!$E$49&gt;=N6,((+N10+N11+N12+N13+N16)/($C$41)),0)</f>
        <v>0</v>
      </c>
      <c r="O42" s="371">
        <f>IF(Inicio!$E$49&gt;=O6,((+O10+O11+O12+O13+O16)/($C$41)),0)</f>
        <v>0</v>
      </c>
      <c r="P42" s="371">
        <f>IF(Inicio!$E$49&gt;=P6,((+P10+P11+P12+P13+P16)/($C$41)),0)</f>
        <v>0</v>
      </c>
      <c r="Q42" s="371">
        <f>IF(Inicio!$E$49&gt;=Q6,((+Q10+Q11+Q12+Q13+Q16)/($C$41)),0)</f>
        <v>0</v>
      </c>
      <c r="R42" s="29"/>
    </row>
    <row r="43" spans="1:18" ht="13.5" thickBot="1" x14ac:dyDescent="0.25">
      <c r="A43" s="545"/>
      <c r="B43" s="548"/>
      <c r="C43" s="547"/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"/>
    </row>
    <row r="44" spans="1:18" ht="13.5" thickBot="1" x14ac:dyDescent="0.25">
      <c r="A44" s="682" t="s">
        <v>387</v>
      </c>
      <c r="B44" s="683"/>
      <c r="C44" s="531" t="s">
        <v>246</v>
      </c>
      <c r="F44" s="365"/>
      <c r="G44" s="365"/>
      <c r="H44" s="297"/>
      <c r="I44" s="256"/>
      <c r="J44" s="230"/>
      <c r="K44" s="230"/>
      <c r="L44" s="230"/>
      <c r="M44" s="230"/>
      <c r="N44" s="230"/>
      <c r="O44" s="230"/>
      <c r="P44" s="230"/>
      <c r="Q44" s="230"/>
    </row>
    <row r="45" spans="1:18" x14ac:dyDescent="0.2">
      <c r="A45" s="242" t="s">
        <v>388</v>
      </c>
      <c r="B45" s="528"/>
      <c r="C45" s="255">
        <f>IRR(B38:Q38,C47)</f>
        <v>0.3170213639812105</v>
      </c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</row>
    <row r="46" spans="1:18" x14ac:dyDescent="0.2">
      <c r="A46" s="242" t="s">
        <v>389</v>
      </c>
      <c r="B46" s="528"/>
      <c r="C46" s="372">
        <f>+B38+C38/(1+C47)+D38/POWER(1+C47,2)+E38/POWER(1+C47,3)+F38/POWER(1+C47,4)+G38/POWER(1+C47,5)+H38/POWER(1+C47,6)+I38/POWER(1+C47,7)+J38/POWER(1+C47,8)+K38/POWER(1+C47,9)+L38/POWER(1+C47,10)+M38/POWER(1+C47,11)+N38/POWER(1+C47,12)+O38/POWER(1+C47,13)+P38/POWER(1+C47,14)+Q38/POWER(1+C47,15)</f>
        <v>109851.73911684255</v>
      </c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</row>
    <row r="47" spans="1:18" x14ac:dyDescent="0.2">
      <c r="A47" s="242" t="s">
        <v>390</v>
      </c>
      <c r="B47" s="528"/>
      <c r="C47" s="373">
        <f>Inicio!E48</f>
        <v>0.24</v>
      </c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</row>
    <row r="48" spans="1:18" x14ac:dyDescent="0.2">
      <c r="A48" s="242" t="s">
        <v>392</v>
      </c>
      <c r="B48" s="528"/>
      <c r="C48" s="374">
        <f>+B55/-B56</f>
        <v>1.2186383275974149</v>
      </c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</row>
    <row r="49" spans="1:17" ht="13.5" thickBot="1" x14ac:dyDescent="0.25">
      <c r="A49" s="263" t="s">
        <v>391</v>
      </c>
      <c r="B49" s="529"/>
      <c r="C49" s="375">
        <f>(+POWER(B57/-B56,1/B58))-1</f>
        <v>0.29002061867610296</v>
      </c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</row>
    <row r="50" spans="1:17" x14ac:dyDescent="0.2">
      <c r="A50" s="256" t="s">
        <v>1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</row>
    <row r="51" spans="1:17" x14ac:dyDescent="0.2">
      <c r="A51" s="230" t="s">
        <v>1</v>
      </c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</row>
    <row r="52" spans="1:17" ht="13.5" thickBot="1" x14ac:dyDescent="0.25">
      <c r="A52" s="357" t="s">
        <v>69</v>
      </c>
      <c r="B52" s="230"/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</row>
    <row r="53" spans="1:17" ht="13.5" thickBot="1" x14ac:dyDescent="0.25">
      <c r="A53" s="357" t="s">
        <v>70</v>
      </c>
      <c r="B53" s="376">
        <f>IF(B38&gt;=0,B38,0)</f>
        <v>0</v>
      </c>
      <c r="C53" s="361">
        <f t="shared" ref="C53:Q53" si="8">IF(C38&gt;=0,C38,0)</f>
        <v>100509.79769499185</v>
      </c>
      <c r="D53" s="361">
        <f t="shared" si="8"/>
        <v>184681.86083906612</v>
      </c>
      <c r="E53" s="361">
        <f t="shared" si="8"/>
        <v>208925.31054548518</v>
      </c>
      <c r="F53" s="361">
        <f t="shared" si="8"/>
        <v>262102.23256064471</v>
      </c>
      <c r="G53" s="361">
        <f t="shared" si="8"/>
        <v>559001.86984107853</v>
      </c>
      <c r="H53" s="361">
        <f t="shared" si="8"/>
        <v>0</v>
      </c>
      <c r="I53" s="361">
        <f t="shared" si="8"/>
        <v>0</v>
      </c>
      <c r="J53" s="361">
        <f t="shared" si="8"/>
        <v>0</v>
      </c>
      <c r="K53" s="361">
        <f t="shared" si="8"/>
        <v>0</v>
      </c>
      <c r="L53" s="361">
        <f t="shared" si="8"/>
        <v>0</v>
      </c>
      <c r="M53" s="361">
        <f t="shared" si="8"/>
        <v>0</v>
      </c>
      <c r="N53" s="361">
        <f t="shared" si="8"/>
        <v>0</v>
      </c>
      <c r="O53" s="361">
        <f t="shared" si="8"/>
        <v>0</v>
      </c>
      <c r="P53" s="361">
        <f t="shared" si="8"/>
        <v>0</v>
      </c>
      <c r="Q53" s="354">
        <f t="shared" si="8"/>
        <v>0</v>
      </c>
    </row>
    <row r="54" spans="1:17" ht="13.5" thickBot="1" x14ac:dyDescent="0.25">
      <c r="A54" s="357" t="s">
        <v>73</v>
      </c>
      <c r="B54" s="376">
        <f>IF(B38&lt;0,B38,0)</f>
        <v>-502435.87354507996</v>
      </c>
      <c r="C54" s="361">
        <f t="shared" ref="C54:Q54" si="9">IF(C38&lt;0,C38,0)</f>
        <v>0</v>
      </c>
      <c r="D54" s="361">
        <f t="shared" si="9"/>
        <v>0</v>
      </c>
      <c r="E54" s="361">
        <f t="shared" si="9"/>
        <v>0</v>
      </c>
      <c r="F54" s="361">
        <f t="shared" si="9"/>
        <v>0</v>
      </c>
      <c r="G54" s="361">
        <f t="shared" si="9"/>
        <v>0</v>
      </c>
      <c r="H54" s="361">
        <f t="shared" si="9"/>
        <v>0</v>
      </c>
      <c r="I54" s="361">
        <f t="shared" si="9"/>
        <v>0</v>
      </c>
      <c r="J54" s="361">
        <f t="shared" si="9"/>
        <v>0</v>
      </c>
      <c r="K54" s="361">
        <f t="shared" si="9"/>
        <v>0</v>
      </c>
      <c r="L54" s="361">
        <f t="shared" si="9"/>
        <v>0</v>
      </c>
      <c r="M54" s="361">
        <f t="shared" si="9"/>
        <v>0</v>
      </c>
      <c r="N54" s="361">
        <f t="shared" si="9"/>
        <v>0</v>
      </c>
      <c r="O54" s="361">
        <f t="shared" si="9"/>
        <v>0</v>
      </c>
      <c r="P54" s="361">
        <f t="shared" si="9"/>
        <v>0</v>
      </c>
      <c r="Q54" s="354">
        <f t="shared" si="9"/>
        <v>0</v>
      </c>
    </row>
    <row r="55" spans="1:17" x14ac:dyDescent="0.2">
      <c r="A55" s="357" t="s">
        <v>71</v>
      </c>
      <c r="B55" s="379">
        <f>+B53+C53/(1+C47)+D53/POWER(1+C47,2)+E53/POWER(1+C47,3)+F53/POWER(1+C47,4)+G53/POWER(1+C47,5)+H53/POWER(1+C47,6)+I53/POWER(1+C47,7)+J53/POWER(1+C47,8)+K53/POWER(1+C47,9)+L53/POWER(1+C47,10)+M53/POWER(1+C47,11)+N53/POWER(1+C47,12)+O53/POWER(1+C47,13)+P53/POWER(1+C47,14)+Q53/POWER(1+C47,15)</f>
        <v>612287.61266192247</v>
      </c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</row>
    <row r="56" spans="1:17" x14ac:dyDescent="0.2">
      <c r="A56" s="357" t="s">
        <v>72</v>
      </c>
      <c r="B56" s="377">
        <f>+B54+C54/(1+C47)+D54/POWER(1+C47,2)+E54/POWER(1+C47,3)+F54/POWER(1+C47,4)+G54/POWER(1+C47,5)+H54/POWER(1+C47,6)+I54/POWER(1+C47,7)+J54/POWER(1+C47,8)+K54/POWER(1+C47,9)+L54/POWER(1+C47,10)+M54/POWER(1+C47,11)+N54/POWER(1+C47,12)+O54/POWER(1+C47,13)+P54/POWER(1+C47,14)+Q54/POWER(1+C47,15)</f>
        <v>-502435.87354507996</v>
      </c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</row>
    <row r="57" spans="1:17" x14ac:dyDescent="0.2">
      <c r="A57" s="357" t="s">
        <v>75</v>
      </c>
      <c r="B57" s="377">
        <f>+B53*POWER(1+C47,(B58-0))+C53*POWER(1+C47,(B58-1))+D53*POWER(1+C47,(B58-2))+E53*POWER(1+C47,(B58-3))+F53*POWER(1+C47,(B58-4))+G53*POWER(1+C47,(B58-5))+H53*POWER(1+C47,(B58-6))+I53*POWER(1+C47,(B58-7))+J53*POWER(1+C47,(B58-8))+K53*POWER(1+C47,(B58-9))+L53*POWER(1+C47,(B58-10))+M53*POWER(1+C47,(B58-11))+N53*POWER(1+C47,(B58-12))+O53*POWER(1+C47,(B58-13))+P53*POWER(1+C47,(B58-14))+Q53</f>
        <v>1794997.7106767558</v>
      </c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</row>
    <row r="58" spans="1:17" ht="13.5" thickBot="1" x14ac:dyDescent="0.25">
      <c r="A58" s="357" t="s">
        <v>76</v>
      </c>
      <c r="B58" s="378">
        <f>Inicio!E49</f>
        <v>5</v>
      </c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</row>
    <row r="59" spans="1:17" x14ac:dyDescent="0.2">
      <c r="A59" s="230"/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</row>
    <row r="60" spans="1:17" x14ac:dyDescent="0.2"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1:17" x14ac:dyDescent="0.2"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</row>
    <row r="62" spans="1:17" x14ac:dyDescent="0.2"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</row>
    <row r="63" spans="1:17" x14ac:dyDescent="0.2"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</row>
    <row r="64" spans="1:17" x14ac:dyDescent="0.2"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</row>
    <row r="65" spans="1:17" x14ac:dyDescent="0.2"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</row>
    <row r="66" spans="1:17" x14ac:dyDescent="0.2">
      <c r="A66" s="230"/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1:17" x14ac:dyDescent="0.2">
      <c r="A67" s="230"/>
      <c r="B67" s="230"/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</row>
    <row r="68" spans="1:17" x14ac:dyDescent="0.2">
      <c r="A68" s="230"/>
      <c r="B68" s="230"/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</row>
    <row r="69" spans="1:17" x14ac:dyDescent="0.2">
      <c r="A69" s="230"/>
      <c r="B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</row>
    <row r="70" spans="1:17" x14ac:dyDescent="0.2">
      <c r="A70" s="230"/>
      <c r="B70" s="230"/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</row>
    <row r="71" spans="1:17" x14ac:dyDescent="0.2">
      <c r="A71" s="230"/>
      <c r="B71" s="230"/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</row>
    <row r="72" spans="1:17" x14ac:dyDescent="0.2">
      <c r="A72" s="230"/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</row>
    <row r="73" spans="1:17" x14ac:dyDescent="0.2">
      <c r="A73" s="230"/>
      <c r="B73" s="230"/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</row>
    <row r="74" spans="1:17" x14ac:dyDescent="0.2">
      <c r="A74" s="230"/>
      <c r="B74" s="230"/>
      <c r="C74" s="230"/>
      <c r="D74" s="230"/>
      <c r="E74" s="230"/>
      <c r="F74" s="230"/>
      <c r="G74" s="230"/>
      <c r="H74" s="230"/>
      <c r="I74" s="230"/>
      <c r="J74" s="230"/>
      <c r="K74" s="230"/>
      <c r="L74" s="230"/>
      <c r="M74" s="230"/>
      <c r="N74" s="230"/>
      <c r="O74" s="230"/>
      <c r="P74" s="230"/>
      <c r="Q74" s="230"/>
    </row>
    <row r="75" spans="1:17" x14ac:dyDescent="0.2">
      <c r="A75" s="230"/>
      <c r="B75" s="230"/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</row>
    <row r="76" spans="1:17" x14ac:dyDescent="0.2">
      <c r="A76" s="230"/>
      <c r="B76" s="230"/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</row>
    <row r="77" spans="1:17" x14ac:dyDescent="0.2">
      <c r="A77" s="230"/>
      <c r="B77" s="230"/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</row>
    <row r="78" spans="1:17" x14ac:dyDescent="0.2">
      <c r="A78" s="230"/>
      <c r="B78" s="230"/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</row>
    <row r="79" spans="1:17" x14ac:dyDescent="0.2">
      <c r="A79" s="230"/>
      <c r="B79" s="230"/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</row>
    <row r="80" spans="1:17" x14ac:dyDescent="0.2">
      <c r="A80" s="230"/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</row>
    <row r="81" spans="1:17" x14ac:dyDescent="0.2">
      <c r="A81" s="230"/>
      <c r="B81" s="230"/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</row>
    <row r="82" spans="1:17" x14ac:dyDescent="0.2">
      <c r="A82" s="230"/>
      <c r="B82" s="230"/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</row>
    <row r="83" spans="1:17" x14ac:dyDescent="0.2">
      <c r="A83" s="230"/>
      <c r="B83" s="230"/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</row>
    <row r="84" spans="1:17" x14ac:dyDescent="0.2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</row>
    <row r="85" spans="1:17" x14ac:dyDescent="0.2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</row>
    <row r="86" spans="1:17" x14ac:dyDescent="0.2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</row>
    <row r="87" spans="1:17" x14ac:dyDescent="0.2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</row>
    <row r="88" spans="1:17" x14ac:dyDescent="0.2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</row>
    <row r="89" spans="1:17" x14ac:dyDescent="0.2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</row>
    <row r="90" spans="1:17" x14ac:dyDescent="0.2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</row>
  </sheetData>
  <sheetProtection password="F88E" sheet="1" objects="1" scenarios="1" formatColumns="0"/>
  <customSheetViews>
    <customSheetView guid="{4BF10618-D357-11D5-9338-EFF21189730A}" showGridLines="0" showRowCol="0" outlineSymbols="0" showRuler="0">
      <selection activeCell="B44" sqref="B44"/>
      <pageMargins left="0.51181102362204722" right="0.51181102362204722" top="0.62992125984251968" bottom="0.98425196850393704" header="0" footer="0"/>
      <printOptions horizontalCentered="1"/>
      <pageSetup scale="55" orientation="landscape" r:id="rId1"/>
      <headerFooter alignWithMargins="0"/>
    </customSheetView>
  </customSheetViews>
  <mergeCells count="6">
    <mergeCell ref="I1:J1"/>
    <mergeCell ref="A44:B44"/>
    <mergeCell ref="A1:G1"/>
    <mergeCell ref="A2:G2"/>
    <mergeCell ref="A3:G3"/>
    <mergeCell ref="A4:G4"/>
  </mergeCells>
  <phoneticPr fontId="11" type="noConversion"/>
  <printOptions horizontalCentered="1"/>
  <pageMargins left="0.51181102362204722" right="0.51181102362204722" top="0.23622047244094491" bottom="0.98425196850393704" header="0" footer="0"/>
  <pageSetup scale="55" orientation="landscape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GO162"/>
  <sheetViews>
    <sheetView topLeftCell="A57" workbookViewId="0">
      <selection activeCell="D61" sqref="D61"/>
    </sheetView>
  </sheetViews>
  <sheetFormatPr baseColWidth="10" defaultRowHeight="12.75" x14ac:dyDescent="0.2"/>
  <cols>
    <col min="1" max="1" width="12.28515625" style="3" customWidth="1"/>
    <col min="2" max="17" width="13.7109375" style="3" customWidth="1"/>
    <col min="18" max="16384" width="11.42578125" style="3"/>
  </cols>
  <sheetData>
    <row r="1" spans="1:20" x14ac:dyDescent="0.2">
      <c r="A1" s="684" t="str">
        <f>+balance!A1</f>
        <v>PREFACTIBILIDAD PARA LA CREACIÓN DE UN PRODUCTO; PARA LA FABRICACION DE BLOQUE CON COMPONENTE DE MATERIAL PET</v>
      </c>
      <c r="B1" s="684"/>
      <c r="C1" s="684"/>
      <c r="D1" s="684"/>
      <c r="E1" s="684"/>
      <c r="F1" s="684"/>
      <c r="G1" s="684"/>
      <c r="H1" s="684"/>
      <c r="I1" s="684"/>
      <c r="J1" s="684"/>
      <c r="K1" s="684"/>
      <c r="L1" s="684"/>
      <c r="M1" s="167"/>
      <c r="N1" s="167"/>
      <c r="O1" s="167"/>
      <c r="P1" s="167"/>
      <c r="Q1" s="167"/>
    </row>
    <row r="2" spans="1:20" x14ac:dyDescent="0.2">
      <c r="A2" s="684" t="s">
        <v>255</v>
      </c>
      <c r="B2" s="684"/>
      <c r="C2" s="684"/>
      <c r="D2" s="684"/>
      <c r="E2" s="684"/>
      <c r="F2" s="684"/>
      <c r="G2" s="684"/>
      <c r="H2" s="684"/>
      <c r="I2" s="684"/>
      <c r="J2" s="684"/>
      <c r="K2" s="684"/>
      <c r="L2" s="684"/>
      <c r="M2" s="167"/>
      <c r="N2" s="167"/>
      <c r="O2" s="167"/>
      <c r="P2" s="167"/>
      <c r="Q2" s="167"/>
    </row>
    <row r="3" spans="1:20" x14ac:dyDescent="0.2">
      <c r="A3" s="684" t="str">
        <f>+balance!A3</f>
        <v>En Años</v>
      </c>
      <c r="B3" s="684"/>
      <c r="C3" s="684"/>
      <c r="D3" s="684"/>
      <c r="E3" s="684"/>
      <c r="F3" s="684"/>
      <c r="G3" s="684"/>
      <c r="H3" s="684"/>
      <c r="I3" s="684"/>
      <c r="J3" s="684"/>
      <c r="K3" s="684"/>
      <c r="L3" s="684"/>
      <c r="M3" s="167"/>
      <c r="N3" s="167"/>
      <c r="O3" s="167"/>
      <c r="P3" s="167"/>
      <c r="Q3" s="167"/>
    </row>
    <row r="4" spans="1:20" x14ac:dyDescent="0.2">
      <c r="A4" s="389"/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90"/>
      <c r="N4" s="390"/>
      <c r="O4" s="390"/>
      <c r="P4" s="390"/>
      <c r="Q4" s="390"/>
    </row>
    <row r="5" spans="1:20" ht="13.5" thickBot="1" x14ac:dyDescent="0.25">
      <c r="A5" s="167"/>
      <c r="B5" s="184"/>
      <c r="C5" s="184"/>
      <c r="D5" s="184"/>
      <c r="E5" s="184"/>
      <c r="F5" s="184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</row>
    <row r="6" spans="1:20" ht="13.5" thickBot="1" x14ac:dyDescent="0.25">
      <c r="A6" s="689" t="s">
        <v>396</v>
      </c>
      <c r="B6" s="690"/>
      <c r="C6" s="690"/>
      <c r="D6" s="690"/>
      <c r="E6" s="690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164"/>
    </row>
    <row r="7" spans="1:20" ht="13.5" thickBot="1" x14ac:dyDescent="0.25">
      <c r="A7" s="391" t="s">
        <v>259</v>
      </c>
      <c r="B7" s="392">
        <v>0</v>
      </c>
      <c r="C7" s="393">
        <v>1</v>
      </c>
      <c r="D7" s="392">
        <v>2</v>
      </c>
      <c r="E7" s="393">
        <v>3</v>
      </c>
      <c r="F7" s="392">
        <v>4</v>
      </c>
      <c r="G7" s="393">
        <v>5</v>
      </c>
      <c r="H7" s="392">
        <v>6</v>
      </c>
      <c r="I7" s="393">
        <v>7</v>
      </c>
      <c r="J7" s="392">
        <v>8</v>
      </c>
      <c r="K7" s="393">
        <v>9</v>
      </c>
      <c r="L7" s="392">
        <v>10</v>
      </c>
      <c r="M7" s="393">
        <v>11</v>
      </c>
      <c r="N7" s="392">
        <v>12</v>
      </c>
      <c r="O7" s="393">
        <v>13</v>
      </c>
      <c r="P7" s="392">
        <v>14</v>
      </c>
      <c r="Q7" s="392">
        <v>15</v>
      </c>
    </row>
    <row r="8" spans="1:20" x14ac:dyDescent="0.2">
      <c r="A8" s="394" t="s">
        <v>213</v>
      </c>
      <c r="B8" s="175"/>
      <c r="C8" s="185"/>
      <c r="D8" s="175"/>
      <c r="E8" s="167"/>
      <c r="F8" s="167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5"/>
    </row>
    <row r="9" spans="1:20" x14ac:dyDescent="0.2">
      <c r="A9" s="394" t="s">
        <v>214</v>
      </c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5"/>
    </row>
    <row r="10" spans="1:20" x14ac:dyDescent="0.2">
      <c r="A10" s="175"/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5"/>
    </row>
    <row r="11" spans="1:20" x14ac:dyDescent="0.2">
      <c r="A11" s="395" t="s">
        <v>260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5"/>
    </row>
    <row r="12" spans="1:20" hidden="1" x14ac:dyDescent="0.2">
      <c r="A12" s="396" t="s">
        <v>215</v>
      </c>
      <c r="B12" s="397">
        <f>IF(B7&lt;=Inicio!$E$49,(+balance!B13),0)</f>
        <v>181635.87354507996</v>
      </c>
      <c r="C12" s="397">
        <f>IF(C7&lt;=Inicio!$E$49,(+balance!C13),0)</f>
        <v>358377.01904449519</v>
      </c>
      <c r="D12" s="397">
        <f>IF(D7&lt;=Inicio!$E$49,(+balance!D13),0)</f>
        <v>584095.14511538984</v>
      </c>
      <c r="E12" s="397">
        <f>IF(E7&lt;=Inicio!$E$49,(+balance!E13),0)</f>
        <v>837905.11807056866</v>
      </c>
      <c r="F12" s="397">
        <f>IF(F7&lt;=Inicio!$E$49,(+balance!F13),0)</f>
        <v>1150662.3276853287</v>
      </c>
      <c r="G12" s="397">
        <f>IF(G7&lt;=Inicio!$E$49,(+balance!G13),0)</f>
        <v>1542224.4255212743</v>
      </c>
      <c r="H12" s="397">
        <f>IF(H7&lt;=Inicio!$E$49,(+balance!H13),0)</f>
        <v>0</v>
      </c>
      <c r="I12" s="397">
        <f>IF(I7&lt;=Inicio!$E$49,(+balance!I13),0)</f>
        <v>0</v>
      </c>
      <c r="J12" s="397">
        <f>IF(J7&lt;=Inicio!$E$49,(+balance!J13),0)</f>
        <v>0</v>
      </c>
      <c r="K12" s="397">
        <f>IF(K7&lt;=Inicio!$E$49,(+balance!K13),0)</f>
        <v>0</v>
      </c>
      <c r="L12" s="397">
        <f>IF(L7&lt;=Inicio!$E$49,(+balance!L13),0)</f>
        <v>0</v>
      </c>
      <c r="M12" s="397">
        <f>IF(M7&lt;=Inicio!$E$49,(+balance!M13),0)</f>
        <v>0</v>
      </c>
      <c r="N12" s="397">
        <f>IF(N7&lt;=Inicio!$E$49,(+balance!N13),0)</f>
        <v>0</v>
      </c>
      <c r="O12" s="397">
        <f>IF(O7&lt;=Inicio!$E$49,(+balance!O13),0)</f>
        <v>0</v>
      </c>
      <c r="P12" s="397">
        <f>IF(P7&lt;=Inicio!$E$49,(+balance!P13),0)</f>
        <v>0</v>
      </c>
      <c r="Q12" s="398">
        <f>IF(Q7&lt;=Inicio!$E$49,(+balance!Q13),0)</f>
        <v>0</v>
      </c>
      <c r="R12" s="7"/>
      <c r="S12" s="7"/>
    </row>
    <row r="13" spans="1:20" hidden="1" x14ac:dyDescent="0.2">
      <c r="A13" s="399" t="s">
        <v>216</v>
      </c>
      <c r="B13" s="400">
        <f>IF(B7&lt;=Inicio!$E$49,(+balance!B35),0)</f>
        <v>150730.76206352399</v>
      </c>
      <c r="C13" s="400">
        <f>IF(C7&lt;=Inicio!$E$49,(+balance!C35),0)</f>
        <v>222736.31020835359</v>
      </c>
      <c r="D13" s="400">
        <f>IF(D7&lt;=Inicio!$E$49,(+balance!D35),0)</f>
        <v>261391.13535857847</v>
      </c>
      <c r="E13" s="400">
        <f>IF(E7&lt;=Inicio!$E$49,(+balance!E35),0)</f>
        <v>275186.76406269637</v>
      </c>
      <c r="F13" s="400">
        <f>IF(F7&lt;=Inicio!$E$49,(+balance!F35),0)</f>
        <v>293893.37508240493</v>
      </c>
      <c r="G13" s="400">
        <f>IF(G7&lt;=Inicio!$E$49,(+balance!G35),0)</f>
        <v>319069.44891162246</v>
      </c>
      <c r="H13" s="400">
        <f>IF(H7&lt;=Inicio!$E$49,(+balance!H35),0)</f>
        <v>0</v>
      </c>
      <c r="I13" s="400">
        <f>IF(I7&lt;=Inicio!$E$49,(+balance!I35),0)</f>
        <v>0</v>
      </c>
      <c r="J13" s="400">
        <f>IF(J7&lt;=Inicio!$E$49,(+balance!J35),0)</f>
        <v>0</v>
      </c>
      <c r="K13" s="400">
        <f>IF(K7&lt;=Inicio!$E$49,(+balance!K35),0)</f>
        <v>0</v>
      </c>
      <c r="L13" s="400">
        <f>IF(L7&lt;=Inicio!$E$49,(+balance!L35),0)</f>
        <v>0</v>
      </c>
      <c r="M13" s="400">
        <f>IF(M7&lt;=Inicio!$E$49,(+balance!M35),0)</f>
        <v>0</v>
      </c>
      <c r="N13" s="400">
        <f>IF(N7&lt;=Inicio!$E$49,(+balance!N35),0)</f>
        <v>0</v>
      </c>
      <c r="O13" s="400">
        <f>IF(O7&lt;=Inicio!$E$49,(+balance!O35),0)</f>
        <v>0</v>
      </c>
      <c r="P13" s="400">
        <f>IF(P7&lt;=Inicio!$E$49,(+balance!P35),0)</f>
        <v>0</v>
      </c>
      <c r="Q13" s="401">
        <f>IF(Q7&lt;=Inicio!$E$49,(+balance!Q35),0)</f>
        <v>0</v>
      </c>
      <c r="R13" s="51" t="s">
        <v>1</v>
      </c>
      <c r="S13" s="51" t="s">
        <v>1</v>
      </c>
      <c r="T13" s="3" t="s">
        <v>1</v>
      </c>
    </row>
    <row r="14" spans="1:20" x14ac:dyDescent="0.2">
      <c r="A14" s="175"/>
      <c r="B14" s="177"/>
      <c r="C14" s="402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200"/>
      <c r="R14" s="7"/>
      <c r="S14" s="7"/>
    </row>
    <row r="15" spans="1:20" x14ac:dyDescent="0.2">
      <c r="A15" s="403" t="s">
        <v>246</v>
      </c>
      <c r="B15" s="404">
        <f>IF(Inicio!$E$49&gt;=$B$7,(+B12/B13),0)</f>
        <v>1.2050351969197324</v>
      </c>
      <c r="C15" s="404">
        <f>IF(Inicio!$E$49&gt;=C7,(+C12/C13),0)</f>
        <v>1.6089743908806768</v>
      </c>
      <c r="D15" s="404">
        <f>IF(Inicio!$E$49&gt;=D7,(+D12/D13),0)</f>
        <v>2.2345637097223032</v>
      </c>
      <c r="E15" s="404">
        <f>IF(Inicio!$E$49&gt;=E7,(+E12/E13),0)</f>
        <v>3.0448598097533028</v>
      </c>
      <c r="F15" s="404">
        <f>IF(Inicio!$E$49&gt;=F7,(+F12/F13),0)</f>
        <v>3.9152373794158981</v>
      </c>
      <c r="G15" s="404">
        <f>IF(Inicio!$E$49&gt;=G7,(+G12/G13),0)</f>
        <v>4.8335070336002239</v>
      </c>
      <c r="H15" s="404">
        <f>IF(Inicio!$E$49&gt;=H7,(+H12/H13),0)</f>
        <v>0</v>
      </c>
      <c r="I15" s="404">
        <f>IF(Inicio!$E$49&gt;=I7,(+I12/I13),0)</f>
        <v>0</v>
      </c>
      <c r="J15" s="404">
        <f>IF(Inicio!$E$49&gt;=J7,(+J12/J13),0)</f>
        <v>0</v>
      </c>
      <c r="K15" s="404">
        <f>IF(Inicio!$E$49&gt;=K7,(+K12/K13),0)</f>
        <v>0</v>
      </c>
      <c r="L15" s="404">
        <f>IF(Inicio!$E$49&gt;=L7,(+L12/L13),0)</f>
        <v>0</v>
      </c>
      <c r="M15" s="404">
        <f>IF(Inicio!$E$49&gt;=M7,(+M12/M13),0)</f>
        <v>0</v>
      </c>
      <c r="N15" s="404">
        <f>IF(Inicio!$E$49&gt;=N7,(+N12/N13),0)</f>
        <v>0</v>
      </c>
      <c r="O15" s="404">
        <f>IF(Inicio!$E$49&gt;=O7,(+O12/O13),0)</f>
        <v>0</v>
      </c>
      <c r="P15" s="404">
        <f>IF(Inicio!$E$49&gt;=P7,(+P12/P13),0)</f>
        <v>0</v>
      </c>
      <c r="Q15" s="405">
        <f>IF(Inicio!$E$49&gt;=Q7,(+Q12/Q13),0)</f>
        <v>0</v>
      </c>
      <c r="R15" s="52" t="s">
        <v>1</v>
      </c>
      <c r="S15" s="52" t="s">
        <v>1</v>
      </c>
    </row>
    <row r="16" spans="1:20" x14ac:dyDescent="0.2">
      <c r="A16" s="406" t="s">
        <v>397</v>
      </c>
      <c r="B16" s="407"/>
      <c r="C16" s="408"/>
      <c r="D16" s="407"/>
      <c r="E16" s="407"/>
      <c r="F16" s="407"/>
      <c r="G16" s="407"/>
      <c r="H16" s="407"/>
      <c r="I16" s="407"/>
      <c r="J16" s="407"/>
      <c r="K16" s="407"/>
      <c r="L16" s="407"/>
      <c r="M16" s="407"/>
      <c r="N16" s="407"/>
      <c r="O16" s="407"/>
      <c r="P16" s="407"/>
      <c r="Q16" s="409"/>
      <c r="R16" s="3" t="s">
        <v>1</v>
      </c>
    </row>
    <row r="17" spans="1:21" x14ac:dyDescent="0.2">
      <c r="A17" s="175"/>
      <c r="B17" s="407"/>
      <c r="C17" s="408"/>
      <c r="D17" s="407"/>
      <c r="E17" s="407"/>
      <c r="F17" s="407"/>
      <c r="G17" s="407"/>
      <c r="H17" s="407"/>
      <c r="I17" s="407"/>
      <c r="J17" s="407"/>
      <c r="K17" s="407"/>
      <c r="L17" s="407"/>
      <c r="M17" s="407"/>
      <c r="N17" s="407"/>
      <c r="O17" s="407"/>
      <c r="P17" s="407"/>
      <c r="Q17" s="409"/>
    </row>
    <row r="18" spans="1:21" hidden="1" x14ac:dyDescent="0.2">
      <c r="A18" s="410" t="s">
        <v>252</v>
      </c>
      <c r="B18" s="411">
        <f>+B12-balance!B11</f>
        <v>181635.87354507996</v>
      </c>
      <c r="C18" s="411">
        <f>+C12-balance!C11</f>
        <v>334574.15140893962</v>
      </c>
      <c r="D18" s="411">
        <f>+D12-balance!D11</f>
        <v>556994.28979538986</v>
      </c>
      <c r="E18" s="411">
        <f>+E12-balance!E11</f>
        <v>808500.69004836865</v>
      </c>
      <c r="F18" s="411">
        <f>+F12-balance!F11</f>
        <v>1118791.7218290088</v>
      </c>
      <c r="G18" s="411">
        <f>+G12-balance!G11</f>
        <v>1507365.9503659243</v>
      </c>
      <c r="H18" s="411">
        <f>+H12-balance!H11</f>
        <v>0</v>
      </c>
      <c r="I18" s="411">
        <f>+I12-balance!I11</f>
        <v>0</v>
      </c>
      <c r="J18" s="411">
        <f>+J12-balance!J11</f>
        <v>0</v>
      </c>
      <c r="K18" s="411">
        <f>+K12-balance!K11</f>
        <v>0</v>
      </c>
      <c r="L18" s="411">
        <f>+L12-balance!L11</f>
        <v>0</v>
      </c>
      <c r="M18" s="411">
        <f>+M12-balance!M11</f>
        <v>0</v>
      </c>
      <c r="N18" s="411">
        <f>+N12-balance!N11</f>
        <v>0</v>
      </c>
      <c r="O18" s="411">
        <f>+O12-balance!O11</f>
        <v>0</v>
      </c>
      <c r="P18" s="411">
        <f>+P12-balance!P11</f>
        <v>0</v>
      </c>
      <c r="Q18" s="412">
        <f>+Q12-balance!Q11</f>
        <v>0</v>
      </c>
      <c r="R18" s="51" t="s">
        <v>1</v>
      </c>
      <c r="S18" s="51" t="s">
        <v>1</v>
      </c>
      <c r="T18" s="7"/>
      <c r="U18" s="7"/>
    </row>
    <row r="19" spans="1:21" hidden="1" x14ac:dyDescent="0.2">
      <c r="A19" s="175" t="s">
        <v>216</v>
      </c>
      <c r="B19" s="413">
        <f>+B13</f>
        <v>150730.76206352399</v>
      </c>
      <c r="C19" s="413">
        <f t="shared" ref="C19:Q19" si="0">+C13</f>
        <v>222736.31020835359</v>
      </c>
      <c r="D19" s="413">
        <f t="shared" si="0"/>
        <v>261391.13535857847</v>
      </c>
      <c r="E19" s="413">
        <f t="shared" si="0"/>
        <v>275186.76406269637</v>
      </c>
      <c r="F19" s="413">
        <f t="shared" si="0"/>
        <v>293893.37508240493</v>
      </c>
      <c r="G19" s="413">
        <f t="shared" si="0"/>
        <v>319069.44891162246</v>
      </c>
      <c r="H19" s="413">
        <f t="shared" si="0"/>
        <v>0</v>
      </c>
      <c r="I19" s="413">
        <f t="shared" si="0"/>
        <v>0</v>
      </c>
      <c r="J19" s="413">
        <f t="shared" si="0"/>
        <v>0</v>
      </c>
      <c r="K19" s="413">
        <f t="shared" si="0"/>
        <v>0</v>
      </c>
      <c r="L19" s="413">
        <f t="shared" si="0"/>
        <v>0</v>
      </c>
      <c r="M19" s="413">
        <f t="shared" si="0"/>
        <v>0</v>
      </c>
      <c r="N19" s="413">
        <f t="shared" si="0"/>
        <v>0</v>
      </c>
      <c r="O19" s="413">
        <f t="shared" si="0"/>
        <v>0</v>
      </c>
      <c r="P19" s="413">
        <f t="shared" si="0"/>
        <v>0</v>
      </c>
      <c r="Q19" s="414">
        <f t="shared" si="0"/>
        <v>0</v>
      </c>
      <c r="R19" s="51" t="s">
        <v>1</v>
      </c>
      <c r="S19" s="51" t="s">
        <v>1</v>
      </c>
      <c r="T19" s="51" t="s">
        <v>1</v>
      </c>
      <c r="U19" s="7"/>
    </row>
    <row r="20" spans="1:21" x14ac:dyDescent="0.2">
      <c r="A20" s="175"/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4"/>
      <c r="R20" s="51"/>
      <c r="S20" s="51"/>
      <c r="T20" s="51"/>
      <c r="U20" s="7"/>
    </row>
    <row r="21" spans="1:21" x14ac:dyDescent="0.2">
      <c r="A21" s="403" t="s">
        <v>246</v>
      </c>
      <c r="B21" s="404">
        <f>IF(Inicio!$E$49&gt;=B7,(+B18/B19),0)</f>
        <v>1.2050351969197324</v>
      </c>
      <c r="C21" s="404">
        <f>IF(Inicio!$E$49&gt;=C7,(+C18/C19),0)</f>
        <v>1.5021087091546497</v>
      </c>
      <c r="D21" s="404">
        <f>IF(Inicio!$E$49&gt;=D7,(+D18/D19),0)</f>
        <v>2.13088438914082</v>
      </c>
      <c r="E21" s="404">
        <f>IF(Inicio!$E$49&gt;=E7,(+E18/E19),0)</f>
        <v>2.9380071850554783</v>
      </c>
      <c r="F21" s="404">
        <f>IF(Inicio!$E$49&gt;=F7,(+F18/F19),0)</f>
        <v>3.8067946292267054</v>
      </c>
      <c r="G21" s="404">
        <f>IF(Inicio!$E$49&gt;=G7,(+G18/G19),0)</f>
        <v>4.7242566015257781</v>
      </c>
      <c r="H21" s="404">
        <f>IF(Inicio!$E$49&gt;=H7,(+H18/H19),0)</f>
        <v>0</v>
      </c>
      <c r="I21" s="404">
        <f>IF(Inicio!$E$49&gt;=I7,(+I18/I19),0)</f>
        <v>0</v>
      </c>
      <c r="J21" s="404">
        <f>IF(Inicio!$E$49&gt;=J7,(+J18/J19),0)</f>
        <v>0</v>
      </c>
      <c r="K21" s="404">
        <f>IF(Inicio!$E$49&gt;=K7,(+K18/K19),0)</f>
        <v>0</v>
      </c>
      <c r="L21" s="404">
        <f>IF(Inicio!$E$49&gt;=L7,(+L18/L19),0)</f>
        <v>0</v>
      </c>
      <c r="M21" s="404">
        <f>IF(Inicio!$E$49&gt;=M7,(+M18/M19),0)</f>
        <v>0</v>
      </c>
      <c r="N21" s="404">
        <f>IF(Inicio!$E$49&gt;=N7,(+N18/N19),0)</f>
        <v>0</v>
      </c>
      <c r="O21" s="404">
        <f>IF(Inicio!$E$49&gt;=O7,(+O18/O19),0)</f>
        <v>0</v>
      </c>
      <c r="P21" s="404">
        <f>IF(Inicio!$E$49&gt;=P7,(+P18/P19),0)</f>
        <v>0</v>
      </c>
      <c r="Q21" s="405">
        <f>IF(Inicio!$E$49&gt;=Q7,(+Q18/Q19),0)</f>
        <v>0</v>
      </c>
      <c r="R21" s="52" t="s">
        <v>1</v>
      </c>
      <c r="S21" s="52" t="s">
        <v>1</v>
      </c>
      <c r="T21" s="52" t="s">
        <v>1</v>
      </c>
      <c r="U21" s="7"/>
    </row>
    <row r="22" spans="1:21" x14ac:dyDescent="0.2">
      <c r="A22" s="415"/>
      <c r="B22" s="408"/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  <c r="P22" s="408"/>
      <c r="Q22" s="416"/>
      <c r="R22" s="52"/>
      <c r="S22" s="52"/>
      <c r="T22" s="52"/>
      <c r="U22" s="7"/>
    </row>
    <row r="23" spans="1:21" x14ac:dyDescent="0.2">
      <c r="A23" s="406" t="s">
        <v>261</v>
      </c>
      <c r="B23" s="413"/>
      <c r="C23" s="408"/>
      <c r="D23" s="407"/>
      <c r="E23" s="417"/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7"/>
      <c r="Q23" s="409"/>
    </row>
    <row r="24" spans="1:21" x14ac:dyDescent="0.2">
      <c r="A24" s="175"/>
      <c r="B24" s="413"/>
      <c r="C24" s="408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7"/>
      <c r="O24" s="407"/>
      <c r="P24" s="407"/>
      <c r="Q24" s="409"/>
    </row>
    <row r="25" spans="1:21" hidden="1" x14ac:dyDescent="0.2">
      <c r="A25" s="396" t="s">
        <v>217</v>
      </c>
      <c r="B25" s="411">
        <f>+balance!B27</f>
        <v>502435.87354507996</v>
      </c>
      <c r="C25" s="411">
        <f>+balance!C27</f>
        <v>630347.01904449519</v>
      </c>
      <c r="D25" s="411">
        <f>+balance!D27</f>
        <v>807235.14511538984</v>
      </c>
      <c r="E25" s="411">
        <f>+balance!E27</f>
        <v>1012215.1180705687</v>
      </c>
      <c r="F25" s="411">
        <f>+balance!F27</f>
        <v>1284142.3276853287</v>
      </c>
      <c r="G25" s="411">
        <f>+balance!G27</f>
        <v>1634874.4255212743</v>
      </c>
      <c r="H25" s="411">
        <f>+balance!H27</f>
        <v>0</v>
      </c>
      <c r="I25" s="411">
        <f>+balance!I27</f>
        <v>0</v>
      </c>
      <c r="J25" s="411">
        <f>+balance!J27</f>
        <v>0</v>
      </c>
      <c r="K25" s="411">
        <f>+balance!K27</f>
        <v>0</v>
      </c>
      <c r="L25" s="411">
        <f>+balance!L27</f>
        <v>0</v>
      </c>
      <c r="M25" s="411">
        <f>+balance!M27</f>
        <v>0</v>
      </c>
      <c r="N25" s="411">
        <f>+balance!N27</f>
        <v>0</v>
      </c>
      <c r="O25" s="411">
        <f>+balance!O27</f>
        <v>0</v>
      </c>
      <c r="P25" s="411">
        <f>+balance!P27</f>
        <v>0</v>
      </c>
      <c r="Q25" s="412">
        <f>+balance!Q27</f>
        <v>0</v>
      </c>
    </row>
    <row r="26" spans="1:21" hidden="1" x14ac:dyDescent="0.2">
      <c r="A26" s="399" t="s">
        <v>218</v>
      </c>
      <c r="B26" s="413">
        <f>+balance!B35</f>
        <v>150730.76206352399</v>
      </c>
      <c r="C26" s="413">
        <f>+balance!C35</f>
        <v>222736.31020835359</v>
      </c>
      <c r="D26" s="413">
        <f>+balance!D35</f>
        <v>261391.13535857847</v>
      </c>
      <c r="E26" s="413">
        <f>+balance!E35</f>
        <v>275186.76406269637</v>
      </c>
      <c r="F26" s="413">
        <f>+balance!F35</f>
        <v>293893.37508240493</v>
      </c>
      <c r="G26" s="413">
        <f>+balance!G35</f>
        <v>319069.44891162246</v>
      </c>
      <c r="H26" s="413">
        <f>+balance!H35</f>
        <v>0</v>
      </c>
      <c r="I26" s="413">
        <f>+balance!I35</f>
        <v>0</v>
      </c>
      <c r="J26" s="413">
        <f>+balance!J35</f>
        <v>0</v>
      </c>
      <c r="K26" s="413">
        <f>+balance!K35</f>
        <v>0</v>
      </c>
      <c r="L26" s="413">
        <f>+balance!L35</f>
        <v>0</v>
      </c>
      <c r="M26" s="413">
        <f>+balance!M35</f>
        <v>0</v>
      </c>
      <c r="N26" s="413">
        <f>+balance!N35</f>
        <v>0</v>
      </c>
      <c r="O26" s="413">
        <f>+balance!O35</f>
        <v>0</v>
      </c>
      <c r="P26" s="413">
        <f>+balance!P35</f>
        <v>0</v>
      </c>
      <c r="Q26" s="414">
        <f>+balance!Q35</f>
        <v>0</v>
      </c>
    </row>
    <row r="27" spans="1:21" x14ac:dyDescent="0.2">
      <c r="A27" s="399"/>
      <c r="B27" s="413"/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4"/>
    </row>
    <row r="28" spans="1:21" x14ac:dyDescent="0.2">
      <c r="A28" s="418" t="s">
        <v>246</v>
      </c>
      <c r="B28" s="404">
        <f>IF(Inicio!$E$49&gt;=B7,(+B25/B26),0)</f>
        <v>3.3333333333333335</v>
      </c>
      <c r="C28" s="404">
        <f>IF(Inicio!$E$49&gt;=C7,(+C25/C26),0)</f>
        <v>2.8300146413256622</v>
      </c>
      <c r="D28" s="404">
        <f>IF(Inicio!$E$49&gt;=D7,(+D25/D26),0)</f>
        <v>3.0882269362655248</v>
      </c>
      <c r="E28" s="404">
        <f>IF(Inicio!$E$49&gt;=E7,(+E25/E26),0)</f>
        <v>3.6782841700916751</v>
      </c>
      <c r="F28" s="404">
        <f>IF(Inicio!$E$49&gt;=F7,(+F25/F26),0)</f>
        <v>4.3694157016137813</v>
      </c>
      <c r="G28" s="404">
        <f>IF(Inicio!$E$49&gt;=G7,(+G25/G26),0)</f>
        <v>5.123882687916355</v>
      </c>
      <c r="H28" s="404">
        <f>IF(Inicio!$E$49&gt;=H7,(+H25/H26),0)</f>
        <v>0</v>
      </c>
      <c r="I28" s="404">
        <f>IF(Inicio!$E$49&gt;=I7,(+I25/I26),0)</f>
        <v>0</v>
      </c>
      <c r="J28" s="404">
        <f>IF(Inicio!$E$49&gt;=J7,(+J25/J26),0)</f>
        <v>0</v>
      </c>
      <c r="K28" s="404">
        <f>IF(Inicio!$E$49&gt;=K7,(+K25/K26),0)</f>
        <v>0</v>
      </c>
      <c r="L28" s="404">
        <f>IF(Inicio!$E$49&gt;=L7,(+L25/L26),0)</f>
        <v>0</v>
      </c>
      <c r="M28" s="404">
        <f>IF(Inicio!$E$49&gt;=M7,(+M25/M26),0)</f>
        <v>0</v>
      </c>
      <c r="N28" s="404">
        <f>IF(Inicio!$E$49&gt;=N7,(+N25/N26),0)</f>
        <v>0</v>
      </c>
      <c r="O28" s="404">
        <f>IF(Inicio!$E$49&gt;=O7,(+O25/O26),0)</f>
        <v>0</v>
      </c>
      <c r="P28" s="404">
        <f>IF(Inicio!$E$49&gt;=P7,(+P25/P26),0)</f>
        <v>0</v>
      </c>
      <c r="Q28" s="405">
        <f>IF(Inicio!$E$49&gt;=Q7,(+Q25/Q26),0)</f>
        <v>0</v>
      </c>
    </row>
    <row r="29" spans="1:21" x14ac:dyDescent="0.2">
      <c r="A29" s="175"/>
      <c r="B29" s="408"/>
      <c r="C29" s="408"/>
      <c r="D29" s="413"/>
      <c r="E29" s="407"/>
      <c r="F29" s="407"/>
      <c r="G29" s="407"/>
      <c r="H29" s="407"/>
      <c r="I29" s="407"/>
      <c r="J29" s="407"/>
      <c r="K29" s="407"/>
      <c r="L29" s="407"/>
      <c r="M29" s="407"/>
      <c r="N29" s="407"/>
      <c r="O29" s="407"/>
      <c r="P29" s="407"/>
      <c r="Q29" s="409"/>
    </row>
    <row r="30" spans="1:21" x14ac:dyDescent="0.2">
      <c r="A30" s="406" t="s">
        <v>289</v>
      </c>
      <c r="B30" s="413"/>
      <c r="C30" s="408"/>
      <c r="D30" s="413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9"/>
    </row>
    <row r="31" spans="1:21" x14ac:dyDescent="0.2">
      <c r="A31" s="175"/>
      <c r="B31" s="413"/>
      <c r="C31" s="408"/>
      <c r="D31" s="413"/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9"/>
    </row>
    <row r="32" spans="1:21" hidden="1" x14ac:dyDescent="0.2">
      <c r="A32" s="175" t="s">
        <v>250</v>
      </c>
      <c r="B32" s="419">
        <f>+balance!B13</f>
        <v>181635.87354507996</v>
      </c>
      <c r="C32" s="419">
        <f>+balance!C13</f>
        <v>358377.01904449519</v>
      </c>
      <c r="D32" s="419">
        <f>+balance!D13</f>
        <v>584095.14511538984</v>
      </c>
      <c r="E32" s="419">
        <f>+balance!E13</f>
        <v>837905.11807056866</v>
      </c>
      <c r="F32" s="419">
        <f>+balance!F13</f>
        <v>1150662.3276853287</v>
      </c>
      <c r="G32" s="419">
        <f>+balance!G13</f>
        <v>1542224.4255212743</v>
      </c>
      <c r="H32" s="419">
        <f>+balance!H13</f>
        <v>0</v>
      </c>
      <c r="I32" s="419">
        <f>+balance!I13</f>
        <v>0</v>
      </c>
      <c r="J32" s="419">
        <f>+balance!J13</f>
        <v>0</v>
      </c>
      <c r="K32" s="419">
        <f>+balance!K13</f>
        <v>0</v>
      </c>
      <c r="L32" s="419">
        <f>+balance!L13</f>
        <v>0</v>
      </c>
      <c r="M32" s="419">
        <f>+balance!M13</f>
        <v>0</v>
      </c>
      <c r="N32" s="419">
        <f>+balance!N13</f>
        <v>0</v>
      </c>
      <c r="O32" s="419">
        <f>+balance!O13</f>
        <v>0</v>
      </c>
      <c r="P32" s="419">
        <f>+balance!P13</f>
        <v>0</v>
      </c>
      <c r="Q32" s="420">
        <f>+balance!Q13</f>
        <v>0</v>
      </c>
    </row>
    <row r="33" spans="1:20" hidden="1" x14ac:dyDescent="0.2">
      <c r="A33" s="175" t="s">
        <v>249</v>
      </c>
      <c r="B33" s="419">
        <f>+B19</f>
        <v>150730.76206352399</v>
      </c>
      <c r="C33" s="419">
        <f t="shared" ref="C33:Q33" si="1">+C19</f>
        <v>222736.31020835359</v>
      </c>
      <c r="D33" s="419">
        <f t="shared" si="1"/>
        <v>261391.13535857847</v>
      </c>
      <c r="E33" s="419">
        <f t="shared" si="1"/>
        <v>275186.76406269637</v>
      </c>
      <c r="F33" s="419">
        <f t="shared" si="1"/>
        <v>293893.37508240493</v>
      </c>
      <c r="G33" s="419">
        <f t="shared" si="1"/>
        <v>319069.44891162246</v>
      </c>
      <c r="H33" s="419">
        <f t="shared" si="1"/>
        <v>0</v>
      </c>
      <c r="I33" s="419">
        <f t="shared" si="1"/>
        <v>0</v>
      </c>
      <c r="J33" s="419">
        <f t="shared" si="1"/>
        <v>0</v>
      </c>
      <c r="K33" s="419">
        <f t="shared" si="1"/>
        <v>0</v>
      </c>
      <c r="L33" s="419">
        <f t="shared" si="1"/>
        <v>0</v>
      </c>
      <c r="M33" s="419">
        <f t="shared" si="1"/>
        <v>0</v>
      </c>
      <c r="N33" s="419">
        <f t="shared" si="1"/>
        <v>0</v>
      </c>
      <c r="O33" s="419">
        <f t="shared" si="1"/>
        <v>0</v>
      </c>
      <c r="P33" s="419">
        <f t="shared" si="1"/>
        <v>0</v>
      </c>
      <c r="Q33" s="420">
        <f t="shared" si="1"/>
        <v>0</v>
      </c>
    </row>
    <row r="34" spans="1:20" x14ac:dyDescent="0.2">
      <c r="A34" s="175"/>
      <c r="B34" s="419"/>
      <c r="C34" s="421"/>
      <c r="D34" s="419"/>
      <c r="E34" s="422"/>
      <c r="F34" s="422"/>
      <c r="G34" s="422"/>
      <c r="H34" s="422"/>
      <c r="I34" s="422"/>
      <c r="J34" s="422"/>
      <c r="K34" s="422"/>
      <c r="L34" s="422"/>
      <c r="M34" s="422"/>
      <c r="N34" s="422"/>
      <c r="O34" s="422"/>
      <c r="P34" s="422"/>
      <c r="Q34" s="423"/>
    </row>
    <row r="35" spans="1:20" x14ac:dyDescent="0.2">
      <c r="A35" s="403" t="s">
        <v>246</v>
      </c>
      <c r="B35" s="424">
        <f>+B32-B33</f>
        <v>30905.11148155597</v>
      </c>
      <c r="C35" s="424">
        <f>+C32-C33</f>
        <v>135640.7088361416</v>
      </c>
      <c r="D35" s="424">
        <f t="shared" ref="D35:Q35" si="2">+D32-D33</f>
        <v>322704.00975681137</v>
      </c>
      <c r="E35" s="424">
        <f t="shared" si="2"/>
        <v>562718.35400787229</v>
      </c>
      <c r="F35" s="424">
        <f t="shared" si="2"/>
        <v>856768.95260292373</v>
      </c>
      <c r="G35" s="424">
        <f t="shared" si="2"/>
        <v>1223154.9766096519</v>
      </c>
      <c r="H35" s="424">
        <f t="shared" si="2"/>
        <v>0</v>
      </c>
      <c r="I35" s="424">
        <f t="shared" si="2"/>
        <v>0</v>
      </c>
      <c r="J35" s="424">
        <f t="shared" si="2"/>
        <v>0</v>
      </c>
      <c r="K35" s="424">
        <f t="shared" si="2"/>
        <v>0</v>
      </c>
      <c r="L35" s="424">
        <f t="shared" si="2"/>
        <v>0</v>
      </c>
      <c r="M35" s="424">
        <f t="shared" si="2"/>
        <v>0</v>
      </c>
      <c r="N35" s="424">
        <f t="shared" si="2"/>
        <v>0</v>
      </c>
      <c r="O35" s="424">
        <f t="shared" si="2"/>
        <v>0</v>
      </c>
      <c r="P35" s="424">
        <f t="shared" si="2"/>
        <v>0</v>
      </c>
      <c r="Q35" s="425">
        <f t="shared" si="2"/>
        <v>0</v>
      </c>
    </row>
    <row r="36" spans="1:20" ht="13.5" thickBot="1" x14ac:dyDescent="0.25">
      <c r="A36" s="175"/>
      <c r="B36" s="400"/>
      <c r="C36" s="426"/>
      <c r="D36" s="400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5"/>
    </row>
    <row r="37" spans="1:20" ht="13.5" thickBot="1" x14ac:dyDescent="0.25">
      <c r="A37" s="689" t="s">
        <v>398</v>
      </c>
      <c r="B37" s="690"/>
      <c r="C37" s="690"/>
      <c r="D37" s="690"/>
      <c r="E37" s="690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164"/>
    </row>
    <row r="38" spans="1:20" ht="13.5" thickBot="1" x14ac:dyDescent="0.25">
      <c r="A38" s="391" t="s">
        <v>259</v>
      </c>
      <c r="B38" s="392">
        <v>0</v>
      </c>
      <c r="C38" s="393">
        <v>1</v>
      </c>
      <c r="D38" s="392">
        <v>2</v>
      </c>
      <c r="E38" s="393">
        <v>3</v>
      </c>
      <c r="F38" s="392">
        <v>4</v>
      </c>
      <c r="G38" s="393">
        <v>5</v>
      </c>
      <c r="H38" s="392">
        <v>6</v>
      </c>
      <c r="I38" s="393">
        <v>7</v>
      </c>
      <c r="J38" s="392">
        <v>8</v>
      </c>
      <c r="K38" s="393">
        <v>9</v>
      </c>
      <c r="L38" s="392">
        <v>10</v>
      </c>
      <c r="M38" s="393">
        <v>11</v>
      </c>
      <c r="N38" s="392">
        <v>12</v>
      </c>
      <c r="O38" s="393">
        <v>13</v>
      </c>
      <c r="P38" s="392">
        <v>14</v>
      </c>
      <c r="Q38" s="392">
        <v>15</v>
      </c>
      <c r="R38" s="7"/>
      <c r="S38" s="7"/>
      <c r="T38" s="7"/>
    </row>
    <row r="39" spans="1:20" x14ac:dyDescent="0.2">
      <c r="A39" s="510" t="s">
        <v>219</v>
      </c>
      <c r="B39" s="511"/>
      <c r="C39" s="512"/>
      <c r="D39" s="513"/>
      <c r="E39" s="514"/>
      <c r="F39" s="513"/>
      <c r="G39" s="513"/>
      <c r="H39" s="513"/>
      <c r="I39" s="513"/>
      <c r="J39" s="513"/>
      <c r="K39" s="513"/>
      <c r="L39" s="513"/>
      <c r="M39" s="513"/>
      <c r="N39" s="513"/>
      <c r="O39" s="513"/>
      <c r="P39" s="513"/>
      <c r="Q39" s="515"/>
      <c r="R39" s="7"/>
      <c r="S39" s="7"/>
      <c r="T39" s="7"/>
    </row>
    <row r="40" spans="1:20" x14ac:dyDescent="0.2">
      <c r="A40" s="394" t="s">
        <v>220</v>
      </c>
      <c r="B40" s="427"/>
      <c r="C40" s="428"/>
      <c r="D40" s="184"/>
      <c r="E40" s="429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5"/>
      <c r="R40" s="7"/>
      <c r="S40" s="7"/>
      <c r="T40" s="7"/>
    </row>
    <row r="41" spans="1:20" x14ac:dyDescent="0.2">
      <c r="A41" s="430"/>
      <c r="B41" s="427"/>
      <c r="C41" s="426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5"/>
      <c r="R41" s="7"/>
      <c r="S41" s="7"/>
      <c r="T41" s="7"/>
    </row>
    <row r="42" spans="1:20" x14ac:dyDescent="0.2">
      <c r="A42" s="430"/>
      <c r="B42" s="427"/>
      <c r="C42" s="426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5"/>
      <c r="R42" s="7"/>
      <c r="S42" s="7"/>
      <c r="T42" s="7"/>
    </row>
    <row r="43" spans="1:20" x14ac:dyDescent="0.2">
      <c r="A43" s="406" t="s">
        <v>221</v>
      </c>
      <c r="B43" s="427"/>
      <c r="C43" s="426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5"/>
      <c r="R43" s="7"/>
      <c r="S43" s="7"/>
      <c r="T43" s="7"/>
    </row>
    <row r="44" spans="1:20" x14ac:dyDescent="0.2">
      <c r="A44" s="175"/>
      <c r="B44" s="427"/>
      <c r="C44" s="426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5"/>
      <c r="R44" s="7"/>
      <c r="S44" s="7"/>
      <c r="T44" s="7"/>
    </row>
    <row r="45" spans="1:20" hidden="1" x14ac:dyDescent="0.2">
      <c r="A45" s="399" t="s">
        <v>253</v>
      </c>
      <c r="B45" s="400">
        <f>+balance!B35</f>
        <v>150730.76206352399</v>
      </c>
      <c r="C45" s="400">
        <f>+balance!C35</f>
        <v>222736.31020835359</v>
      </c>
      <c r="D45" s="400">
        <f>+balance!D35</f>
        <v>261391.13535857847</v>
      </c>
      <c r="E45" s="400">
        <f>+balance!E35</f>
        <v>275186.76406269637</v>
      </c>
      <c r="F45" s="400">
        <f>+balance!F35</f>
        <v>293893.37508240493</v>
      </c>
      <c r="G45" s="400">
        <f>+balance!G35</f>
        <v>319069.44891162246</v>
      </c>
      <c r="H45" s="400">
        <f>+balance!H35</f>
        <v>0</v>
      </c>
      <c r="I45" s="400">
        <f>+balance!I35</f>
        <v>0</v>
      </c>
      <c r="J45" s="400">
        <f>+balance!J35</f>
        <v>0</v>
      </c>
      <c r="K45" s="400">
        <f>+balance!K35</f>
        <v>0</v>
      </c>
      <c r="L45" s="400">
        <f>+balance!L35</f>
        <v>0</v>
      </c>
      <c r="M45" s="400">
        <f>+balance!M35</f>
        <v>0</v>
      </c>
      <c r="N45" s="400">
        <f>+balance!N35</f>
        <v>0</v>
      </c>
      <c r="O45" s="400">
        <f>+balance!O35</f>
        <v>0</v>
      </c>
      <c r="P45" s="400">
        <f>+balance!P35</f>
        <v>0</v>
      </c>
      <c r="Q45" s="401">
        <f>+balance!Q35</f>
        <v>0</v>
      </c>
      <c r="R45" s="7"/>
      <c r="S45" s="7"/>
      <c r="T45" s="7"/>
    </row>
    <row r="46" spans="1:20" hidden="1" x14ac:dyDescent="0.2">
      <c r="A46" s="399" t="s">
        <v>222</v>
      </c>
      <c r="B46" s="400">
        <f>+B25</f>
        <v>502435.87354507996</v>
      </c>
      <c r="C46" s="400">
        <f t="shared" ref="C46:Q46" si="3">+C25</f>
        <v>630347.01904449519</v>
      </c>
      <c r="D46" s="400">
        <f t="shared" si="3"/>
        <v>807235.14511538984</v>
      </c>
      <c r="E46" s="400">
        <f t="shared" si="3"/>
        <v>1012215.1180705687</v>
      </c>
      <c r="F46" s="400">
        <f t="shared" si="3"/>
        <v>1284142.3276853287</v>
      </c>
      <c r="G46" s="400">
        <f t="shared" si="3"/>
        <v>1634874.4255212743</v>
      </c>
      <c r="H46" s="400">
        <f t="shared" si="3"/>
        <v>0</v>
      </c>
      <c r="I46" s="400">
        <f t="shared" si="3"/>
        <v>0</v>
      </c>
      <c r="J46" s="400">
        <f t="shared" si="3"/>
        <v>0</v>
      </c>
      <c r="K46" s="400">
        <f t="shared" si="3"/>
        <v>0</v>
      </c>
      <c r="L46" s="400">
        <f t="shared" si="3"/>
        <v>0</v>
      </c>
      <c r="M46" s="400">
        <f t="shared" si="3"/>
        <v>0</v>
      </c>
      <c r="N46" s="400">
        <f t="shared" si="3"/>
        <v>0</v>
      </c>
      <c r="O46" s="400">
        <f t="shared" si="3"/>
        <v>0</v>
      </c>
      <c r="P46" s="400">
        <f t="shared" si="3"/>
        <v>0</v>
      </c>
      <c r="Q46" s="401">
        <f t="shared" si="3"/>
        <v>0</v>
      </c>
      <c r="R46" s="7"/>
      <c r="S46" s="7"/>
      <c r="T46" s="7"/>
    </row>
    <row r="47" spans="1:20" x14ac:dyDescent="0.2">
      <c r="A47" s="175"/>
      <c r="B47" s="427"/>
      <c r="C47" s="426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5"/>
      <c r="R47" s="7"/>
      <c r="S47" s="7"/>
      <c r="T47" s="7"/>
    </row>
    <row r="48" spans="1:20" x14ac:dyDescent="0.2">
      <c r="A48" s="431" t="s">
        <v>246</v>
      </c>
      <c r="B48" s="432">
        <f>IF(Inicio!$E$49&gt;=B38,(+B45/B46),0)</f>
        <v>0.3</v>
      </c>
      <c r="C48" s="432">
        <f>IF(Inicio!$E$49&gt;=C38,(+C45/C46),0)</f>
        <v>0.35335506233691094</v>
      </c>
      <c r="D48" s="432">
        <f>IF(Inicio!$E$49&gt;=D38,(+D45/D46),0)</f>
        <v>0.32381040015448537</v>
      </c>
      <c r="E48" s="432">
        <f>IF(Inicio!$E$49&gt;=E38,(+E45/E46),0)</f>
        <v>0.27186589011557438</v>
      </c>
      <c r="F48" s="432">
        <f>IF(Inicio!$E$49&gt;=F38,(+F45/F46),0)</f>
        <v>0.22886355254105581</v>
      </c>
      <c r="G48" s="432">
        <f>IF(Inicio!$E$49&gt;=G38,(+G45/G46),0)</f>
        <v>0.1951644994445908</v>
      </c>
      <c r="H48" s="432">
        <f>IF(Inicio!$E$49&gt;=H38,(+H45/H46),0)</f>
        <v>0</v>
      </c>
      <c r="I48" s="432">
        <f>IF(Inicio!$E$49&gt;=I38,(+I45/I46),0)</f>
        <v>0</v>
      </c>
      <c r="J48" s="432">
        <f>IF(Inicio!$E$49&gt;=J38,(+J45/J46),0)</f>
        <v>0</v>
      </c>
      <c r="K48" s="432">
        <f>IF(Inicio!$E$49&gt;=K38,(+K45/K46),0)</f>
        <v>0</v>
      </c>
      <c r="L48" s="432">
        <f>IF(Inicio!$E$49&gt;=L38,(+L45/L46),0)</f>
        <v>0</v>
      </c>
      <c r="M48" s="432">
        <f>IF(Inicio!$E$49&gt;=M38,(+M45/M46),0)</f>
        <v>0</v>
      </c>
      <c r="N48" s="432">
        <f>IF(Inicio!$E$49&gt;=N38,(+N45/N46),0)</f>
        <v>0</v>
      </c>
      <c r="O48" s="432">
        <f>IF(Inicio!$E$49&gt;=O38,(+O45/O46),0)</f>
        <v>0</v>
      </c>
      <c r="P48" s="432">
        <f>IF(Inicio!$E$49&gt;=P38,(+P45/P46),0)</f>
        <v>0</v>
      </c>
      <c r="Q48" s="433">
        <f>IF(Inicio!$E$49&gt;=Q38,(+Q45/Q46),0)</f>
        <v>0</v>
      </c>
      <c r="R48" s="7"/>
      <c r="S48" s="7"/>
      <c r="T48" s="7"/>
    </row>
    <row r="49" spans="1:20" x14ac:dyDescent="0.2">
      <c r="A49" s="434"/>
      <c r="B49" s="435"/>
      <c r="C49" s="436"/>
      <c r="D49" s="437"/>
      <c r="E49" s="437"/>
      <c r="F49" s="437"/>
      <c r="G49" s="437"/>
      <c r="H49" s="437"/>
      <c r="I49" s="437"/>
      <c r="J49" s="437"/>
      <c r="K49" s="437"/>
      <c r="L49" s="437"/>
      <c r="M49" s="437"/>
      <c r="N49" s="437"/>
      <c r="O49" s="437"/>
      <c r="P49" s="437"/>
      <c r="Q49" s="438"/>
      <c r="R49" s="7"/>
      <c r="S49" s="7"/>
      <c r="T49" s="7"/>
    </row>
    <row r="50" spans="1:20" x14ac:dyDescent="0.2">
      <c r="A50" s="439" t="s">
        <v>223</v>
      </c>
      <c r="B50" s="435"/>
      <c r="C50" s="436"/>
      <c r="D50" s="437"/>
      <c r="E50" s="437"/>
      <c r="F50" s="437"/>
      <c r="G50" s="437"/>
      <c r="H50" s="437"/>
      <c r="I50" s="437"/>
      <c r="J50" s="437"/>
      <c r="K50" s="437"/>
      <c r="L50" s="437"/>
      <c r="M50" s="437"/>
      <c r="N50" s="437"/>
      <c r="O50" s="437"/>
      <c r="P50" s="437"/>
      <c r="Q50" s="438"/>
      <c r="R50" s="7"/>
      <c r="S50" s="7"/>
      <c r="T50" s="7"/>
    </row>
    <row r="51" spans="1:20" x14ac:dyDescent="0.2">
      <c r="A51" s="434"/>
      <c r="B51" s="435"/>
      <c r="C51" s="436"/>
      <c r="D51" s="437"/>
      <c r="E51" s="437"/>
      <c r="F51" s="437"/>
      <c r="G51" s="437"/>
      <c r="H51" s="437"/>
      <c r="I51" s="437"/>
      <c r="J51" s="437"/>
      <c r="K51" s="437"/>
      <c r="L51" s="437"/>
      <c r="M51" s="437"/>
      <c r="N51" s="437"/>
      <c r="O51" s="437"/>
      <c r="P51" s="437"/>
      <c r="Q51" s="438"/>
      <c r="R51" s="7"/>
      <c r="S51" s="7"/>
      <c r="T51" s="7"/>
    </row>
    <row r="52" spans="1:20" hidden="1" x14ac:dyDescent="0.2">
      <c r="A52" s="440" t="s">
        <v>218</v>
      </c>
      <c r="B52" s="413">
        <f>+balance!B35</f>
        <v>150730.76206352399</v>
      </c>
      <c r="C52" s="413">
        <f>+balance!C35</f>
        <v>222736.31020835359</v>
      </c>
      <c r="D52" s="413">
        <f>+balance!D35</f>
        <v>261391.13535857847</v>
      </c>
      <c r="E52" s="413">
        <f>+balance!E35</f>
        <v>275186.76406269637</v>
      </c>
      <c r="F52" s="413">
        <f>+balance!F35</f>
        <v>293893.37508240493</v>
      </c>
      <c r="G52" s="413">
        <f>+balance!G35</f>
        <v>319069.44891162246</v>
      </c>
      <c r="H52" s="413">
        <f>+balance!H35</f>
        <v>0</v>
      </c>
      <c r="I52" s="413">
        <f>+balance!I35</f>
        <v>0</v>
      </c>
      <c r="J52" s="413">
        <f>+balance!J35</f>
        <v>0</v>
      </c>
      <c r="K52" s="413">
        <f>+balance!K35</f>
        <v>0</v>
      </c>
      <c r="L52" s="413">
        <f>+balance!L35</f>
        <v>0</v>
      </c>
      <c r="M52" s="413">
        <f>+balance!M35</f>
        <v>0</v>
      </c>
      <c r="N52" s="413">
        <f>+balance!N35</f>
        <v>0</v>
      </c>
      <c r="O52" s="413">
        <f>+balance!O35</f>
        <v>0</v>
      </c>
      <c r="P52" s="413">
        <f>+balance!P35</f>
        <v>0</v>
      </c>
      <c r="Q52" s="414">
        <f>+balance!Q35</f>
        <v>0</v>
      </c>
      <c r="R52" s="7"/>
      <c r="S52" s="7"/>
      <c r="T52" s="7"/>
    </row>
    <row r="53" spans="1:20" hidden="1" x14ac:dyDescent="0.2">
      <c r="A53" s="440" t="s">
        <v>224</v>
      </c>
      <c r="B53" s="413">
        <f>+balance!B42</f>
        <v>351705.11148155597</v>
      </c>
      <c r="C53" s="413">
        <f>+balance!C42</f>
        <v>407610.70883614174</v>
      </c>
      <c r="D53" s="413">
        <f>+balance!D42</f>
        <v>545844.00975681085</v>
      </c>
      <c r="E53" s="413">
        <f>+balance!E42</f>
        <v>737028.35400787159</v>
      </c>
      <c r="F53" s="413">
        <f>+balance!F42</f>
        <v>990248.95260292303</v>
      </c>
      <c r="G53" s="413">
        <f>+balance!G42</f>
        <v>1315804.976609651</v>
      </c>
      <c r="H53" s="413">
        <f>+balance!H42</f>
        <v>0</v>
      </c>
      <c r="I53" s="413">
        <f>+balance!I42</f>
        <v>0</v>
      </c>
      <c r="J53" s="413">
        <f>+balance!J42</f>
        <v>0</v>
      </c>
      <c r="K53" s="413">
        <f>+balance!K42</f>
        <v>0</v>
      </c>
      <c r="L53" s="413">
        <f>+balance!L42</f>
        <v>0</v>
      </c>
      <c r="M53" s="413">
        <f>+balance!M42</f>
        <v>0</v>
      </c>
      <c r="N53" s="413">
        <f>+balance!N42</f>
        <v>0</v>
      </c>
      <c r="O53" s="413">
        <f>+balance!O42</f>
        <v>0</v>
      </c>
      <c r="P53" s="413">
        <f>+balance!P42</f>
        <v>0</v>
      </c>
      <c r="Q53" s="414">
        <f>+balance!Q42</f>
        <v>0</v>
      </c>
      <c r="R53" s="7"/>
      <c r="S53" s="7"/>
      <c r="T53" s="7"/>
    </row>
    <row r="54" spans="1:20" x14ac:dyDescent="0.2">
      <c r="A54" s="434"/>
      <c r="B54" s="435"/>
      <c r="C54" s="436"/>
      <c r="D54" s="437"/>
      <c r="E54" s="437"/>
      <c r="F54" s="437"/>
      <c r="G54" s="437"/>
      <c r="H54" s="437"/>
      <c r="I54" s="437"/>
      <c r="J54" s="437"/>
      <c r="K54" s="437"/>
      <c r="L54" s="437"/>
      <c r="M54" s="437"/>
      <c r="N54" s="437"/>
      <c r="O54" s="437"/>
      <c r="P54" s="437"/>
      <c r="Q54" s="438"/>
      <c r="R54" s="7"/>
      <c r="S54" s="7"/>
      <c r="T54" s="7"/>
    </row>
    <row r="55" spans="1:20" x14ac:dyDescent="0.2">
      <c r="A55" s="431" t="s">
        <v>246</v>
      </c>
      <c r="B55" s="432">
        <f>IF(Inicio!$E$49&gt;=B38,(+B52/B53),0)</f>
        <v>0.42857142857142855</v>
      </c>
      <c r="C55" s="432">
        <f>IF(Inicio!$E$49&gt;=C38,(+C52/C53),0)</f>
        <v>0.54644371548612303</v>
      </c>
      <c r="D55" s="432">
        <f>IF(Inicio!$E$49&gt;=D38,(+D52/D53),0)</f>
        <v>0.47887515606342501</v>
      </c>
      <c r="E55" s="432">
        <f>IF(Inicio!$E$49&gt;=E38,(+E52/E53),0)</f>
        <v>0.37337337507609286</v>
      </c>
      <c r="F55" s="432">
        <f>IF(Inicio!$E$49&gt;=F38,(+F52/F53),0)</f>
        <v>0.29678736272317208</v>
      </c>
      <c r="G55" s="432">
        <f>IF(Inicio!$E$49&gt;=G38,(+G52/G53),0)</f>
        <v>0.24248992410239087</v>
      </c>
      <c r="H55" s="432">
        <f>IF(Inicio!$E$49&gt;=H38,(+H52/H53),0)</f>
        <v>0</v>
      </c>
      <c r="I55" s="432">
        <f>IF(Inicio!$E$49&gt;=I38,(+I52/I53),0)</f>
        <v>0</v>
      </c>
      <c r="J55" s="432">
        <f>IF(Inicio!$E$49&gt;=J38,(+J52/J53),0)</f>
        <v>0</v>
      </c>
      <c r="K55" s="432">
        <f>IF(Inicio!$E$49&gt;=K38,(+K52/K53),0)</f>
        <v>0</v>
      </c>
      <c r="L55" s="432">
        <f>IF(Inicio!$E$49&gt;=L38,(+L52/L53),0)</f>
        <v>0</v>
      </c>
      <c r="M55" s="432">
        <f>IF(Inicio!$E$49&gt;=M38,(+M52/M53),0)</f>
        <v>0</v>
      </c>
      <c r="N55" s="432">
        <f>IF(Inicio!$E$49&gt;=N38,(+N52/N53),0)</f>
        <v>0</v>
      </c>
      <c r="O55" s="432">
        <f>IF(Inicio!$E$49&gt;=O38,(+O52/O53),0)</f>
        <v>0</v>
      </c>
      <c r="P55" s="432">
        <f>IF(Inicio!$E$49&gt;=P38,(+P52/P53),0)</f>
        <v>0</v>
      </c>
      <c r="Q55" s="433">
        <f>IF(Inicio!$E$49&gt;=Q38,(+Q52/Q53),0)</f>
        <v>0</v>
      </c>
      <c r="R55" s="7"/>
      <c r="S55" s="7"/>
      <c r="T55" s="7"/>
    </row>
    <row r="56" spans="1:20" ht="13.5" thickBot="1" x14ac:dyDescent="0.25">
      <c r="A56" s="454"/>
      <c r="B56" s="508"/>
      <c r="C56" s="509"/>
      <c r="D56" s="455"/>
      <c r="E56" s="455"/>
      <c r="F56" s="455"/>
      <c r="G56" s="455"/>
      <c r="H56" s="455"/>
      <c r="I56" s="455"/>
      <c r="J56" s="455"/>
      <c r="K56" s="455"/>
      <c r="L56" s="455"/>
      <c r="M56" s="455"/>
      <c r="N56" s="455"/>
      <c r="O56" s="455"/>
      <c r="P56" s="455"/>
      <c r="Q56" s="456"/>
      <c r="R56" s="7"/>
      <c r="S56" s="7"/>
      <c r="T56" s="7"/>
    </row>
    <row r="57" spans="1:20" ht="13.5" thickBot="1" x14ac:dyDescent="0.25">
      <c r="A57" s="687" t="s">
        <v>399</v>
      </c>
      <c r="B57" s="688"/>
      <c r="C57" s="688"/>
      <c r="D57" s="688"/>
      <c r="E57" s="688"/>
      <c r="F57" s="446"/>
      <c r="G57" s="446"/>
      <c r="H57" s="446"/>
      <c r="I57" s="446"/>
      <c r="J57" s="446"/>
      <c r="K57" s="446"/>
      <c r="L57" s="446"/>
      <c r="M57" s="446"/>
      <c r="N57" s="446"/>
      <c r="O57" s="446"/>
      <c r="P57" s="446"/>
      <c r="Q57" s="447"/>
    </row>
    <row r="58" spans="1:20" ht="13.5" thickBot="1" x14ac:dyDescent="0.25">
      <c r="A58" s="448" t="s">
        <v>259</v>
      </c>
      <c r="B58" s="392">
        <v>0</v>
      </c>
      <c r="C58" s="393">
        <v>1</v>
      </c>
      <c r="D58" s="392">
        <v>2</v>
      </c>
      <c r="E58" s="393">
        <v>3</v>
      </c>
      <c r="F58" s="392">
        <v>4</v>
      </c>
      <c r="G58" s="393">
        <v>5</v>
      </c>
      <c r="H58" s="392">
        <v>6</v>
      </c>
      <c r="I58" s="393">
        <v>7</v>
      </c>
      <c r="J58" s="392">
        <v>8</v>
      </c>
      <c r="K58" s="393">
        <v>9</v>
      </c>
      <c r="L58" s="392">
        <v>10</v>
      </c>
      <c r="M58" s="393">
        <v>11</v>
      </c>
      <c r="N58" s="392">
        <v>12</v>
      </c>
      <c r="O58" s="393">
        <v>13</v>
      </c>
      <c r="P58" s="392">
        <v>14</v>
      </c>
      <c r="Q58" s="392">
        <v>15</v>
      </c>
    </row>
    <row r="59" spans="1:20" x14ac:dyDescent="0.2">
      <c r="A59" s="506" t="s">
        <v>225</v>
      </c>
      <c r="B59" s="461"/>
      <c r="C59" s="462"/>
      <c r="D59" s="463"/>
      <c r="E59" s="463"/>
      <c r="F59" s="463"/>
      <c r="G59" s="463"/>
      <c r="H59" s="463"/>
      <c r="I59" s="463"/>
      <c r="J59" s="463"/>
      <c r="K59" s="463"/>
      <c r="L59" s="463"/>
      <c r="M59" s="463"/>
      <c r="N59" s="463"/>
      <c r="O59" s="463"/>
      <c r="P59" s="463"/>
      <c r="Q59" s="464"/>
    </row>
    <row r="60" spans="1:20" x14ac:dyDescent="0.2">
      <c r="A60" s="449"/>
      <c r="B60" s="442"/>
      <c r="C60" s="443"/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444"/>
      <c r="O60" s="444"/>
      <c r="P60" s="444"/>
      <c r="Q60" s="445"/>
    </row>
    <row r="61" spans="1:20" x14ac:dyDescent="0.2">
      <c r="A61" s="439" t="s">
        <v>226</v>
      </c>
      <c r="B61" s="442"/>
      <c r="C61" s="443"/>
      <c r="D61" s="444"/>
      <c r="E61" s="444"/>
      <c r="F61" s="444"/>
      <c r="G61" s="444"/>
      <c r="H61" s="444"/>
      <c r="I61" s="444"/>
      <c r="J61" s="444"/>
      <c r="K61" s="444"/>
      <c r="L61" s="444"/>
      <c r="M61" s="444"/>
      <c r="N61" s="444"/>
      <c r="O61" s="444"/>
      <c r="P61" s="444"/>
      <c r="Q61" s="445"/>
    </row>
    <row r="62" spans="1:20" x14ac:dyDescent="0.2">
      <c r="A62" s="434"/>
      <c r="B62" s="442" t="s">
        <v>1</v>
      </c>
      <c r="C62" s="443"/>
      <c r="D62" s="444"/>
      <c r="E62" s="444"/>
      <c r="F62" s="444"/>
      <c r="G62" s="444"/>
      <c r="H62" s="444"/>
      <c r="I62" s="444"/>
      <c r="J62" s="444"/>
      <c r="K62" s="444"/>
      <c r="L62" s="444"/>
      <c r="M62" s="444"/>
      <c r="N62" s="444"/>
      <c r="O62" s="444"/>
      <c r="P62" s="444"/>
      <c r="Q62" s="445"/>
    </row>
    <row r="63" spans="1:20" hidden="1" x14ac:dyDescent="0.2">
      <c r="A63" s="440" t="s">
        <v>227</v>
      </c>
      <c r="B63" s="442" t="s">
        <v>1</v>
      </c>
      <c r="C63" s="419">
        <f>+'Estado de Resultado '!B14</f>
        <v>686550.67142623989</v>
      </c>
      <c r="D63" s="419">
        <f>+'Estado de Resultado '!C14</f>
        <v>841063.40997189586</v>
      </c>
      <c r="E63" s="419">
        <f>+'Estado de Resultado '!D14</f>
        <v>944717.9708051933</v>
      </c>
      <c r="F63" s="419">
        <f>+'Estado de Resultado '!E14</f>
        <v>1056300.2857491234</v>
      </c>
      <c r="G63" s="419">
        <f>+'Estado de Resultado '!F14</f>
        <v>1194048.9899922912</v>
      </c>
      <c r="H63" s="419">
        <f>+'Estado de Resultado '!G14</f>
        <v>0</v>
      </c>
      <c r="I63" s="419">
        <f>+'Estado de Resultado '!H14</f>
        <v>0</v>
      </c>
      <c r="J63" s="419">
        <f>+'Estado de Resultado '!I14</f>
        <v>0</v>
      </c>
      <c r="K63" s="419">
        <f>+'Estado de Resultado '!J14</f>
        <v>0</v>
      </c>
      <c r="L63" s="419">
        <f>+'Estado de Resultado '!K14</f>
        <v>0</v>
      </c>
      <c r="M63" s="419">
        <f>+'Estado de Resultado '!L14</f>
        <v>0</v>
      </c>
      <c r="N63" s="419">
        <f>+'Estado de Resultado '!M14</f>
        <v>0</v>
      </c>
      <c r="O63" s="419">
        <f>+'Estado de Resultado '!N14</f>
        <v>0</v>
      </c>
      <c r="P63" s="419">
        <f>+'Estado de Resultado '!O14</f>
        <v>0</v>
      </c>
      <c r="Q63" s="420">
        <f>+'Estado de Resultado '!P14</f>
        <v>0</v>
      </c>
    </row>
    <row r="64" spans="1:20" hidden="1" x14ac:dyDescent="0.2">
      <c r="A64" s="440" t="s">
        <v>228</v>
      </c>
      <c r="B64" s="442" t="s">
        <v>1</v>
      </c>
      <c r="C64" s="419">
        <f>+'Estado de Resultado '!B9</f>
        <v>2433692.7999999998</v>
      </c>
      <c r="D64" s="419">
        <f>+'Estado de Resultado '!C9</f>
        <v>2770891.1999999997</v>
      </c>
      <c r="E64" s="419">
        <f>+'Estado de Resultado '!D9</f>
        <v>3006416.9519999996</v>
      </c>
      <c r="F64" s="419">
        <f>+'Estado de Resultado '!E9</f>
        <v>3258568.0511999996</v>
      </c>
      <c r="G64" s="419">
        <f>+'Estado de Resultado '!F9</f>
        <v>3564058.8059999994</v>
      </c>
      <c r="H64" s="419">
        <f>+'Estado de Resultado '!G9</f>
        <v>0</v>
      </c>
      <c r="I64" s="419">
        <f>+'Estado de Resultado '!H9</f>
        <v>0</v>
      </c>
      <c r="J64" s="419">
        <f>+'Estado de Resultado '!I9</f>
        <v>0</v>
      </c>
      <c r="K64" s="419">
        <f>+'Estado de Resultado '!J9</f>
        <v>0</v>
      </c>
      <c r="L64" s="419">
        <f>+'Estado de Resultado '!K9</f>
        <v>0</v>
      </c>
      <c r="M64" s="419">
        <f>+'Estado de Resultado '!L9</f>
        <v>0</v>
      </c>
      <c r="N64" s="419">
        <f>+'Estado de Resultado '!M9</f>
        <v>0</v>
      </c>
      <c r="O64" s="419">
        <f>+'Estado de Resultado '!N9</f>
        <v>0</v>
      </c>
      <c r="P64" s="419">
        <f>+'Estado de Resultado '!O9</f>
        <v>0</v>
      </c>
      <c r="Q64" s="420">
        <f>+'Estado de Resultado '!P9</f>
        <v>0</v>
      </c>
    </row>
    <row r="65" spans="1:17" x14ac:dyDescent="0.2">
      <c r="A65" s="434"/>
      <c r="B65" s="442"/>
      <c r="C65" s="443"/>
      <c r="D65" s="444"/>
      <c r="E65" s="444"/>
      <c r="F65" s="444"/>
      <c r="G65" s="444"/>
      <c r="H65" s="444"/>
      <c r="I65" s="444"/>
      <c r="J65" s="444"/>
      <c r="K65" s="444"/>
      <c r="L65" s="444"/>
      <c r="M65" s="444"/>
      <c r="N65" s="444"/>
      <c r="O65" s="444"/>
      <c r="P65" s="444"/>
      <c r="Q65" s="445"/>
    </row>
    <row r="66" spans="1:17" x14ac:dyDescent="0.2">
      <c r="A66" s="431" t="s">
        <v>246</v>
      </c>
      <c r="B66" s="432" t="s">
        <v>53</v>
      </c>
      <c r="C66" s="432">
        <f>IF(Inicio!$E$49&gt;=C58,(+C63/C64),0)</f>
        <v>0.28210243767259363</v>
      </c>
      <c r="D66" s="432">
        <f>IF(Inicio!$E$49&gt;=D58,(+D63/D64),0)</f>
        <v>0.30353534269836935</v>
      </c>
      <c r="E66" s="432">
        <f>IF(Inicio!$E$49&gt;=E58,(+E63/E64),0)</f>
        <v>0.31423384909292962</v>
      </c>
      <c r="F66" s="432">
        <f>IF(Inicio!$E$49&gt;=F58,(+F63/F64),0)</f>
        <v>0.32416087961094764</v>
      </c>
      <c r="G66" s="432">
        <f>IF(Inicio!$E$49&gt;=G58,(+G63/G64),0)</f>
        <v>0.33502505289254519</v>
      </c>
      <c r="H66" s="432">
        <f>IF(Inicio!$E$49&gt;=H58,(+H63/H64),0)</f>
        <v>0</v>
      </c>
      <c r="I66" s="432">
        <f>IF(Inicio!$E$49&gt;=I58,(+I63/I64),0)</f>
        <v>0</v>
      </c>
      <c r="J66" s="432">
        <f>IF(Inicio!$E$49&gt;=J58,(+J63/J64),0)</f>
        <v>0</v>
      </c>
      <c r="K66" s="432">
        <f>IF(Inicio!$E$49&gt;=K58,(+K63/K64),0)</f>
        <v>0</v>
      </c>
      <c r="L66" s="432">
        <f>IF(Inicio!$E$49&gt;=L58,(+L63/L64),0)</f>
        <v>0</v>
      </c>
      <c r="M66" s="432">
        <f>IF(Inicio!$E$49&gt;=M58,(+M63/M64),0)</f>
        <v>0</v>
      </c>
      <c r="N66" s="432">
        <f>IF(Inicio!$E$49&gt;=N58,(+N63/N64),0)</f>
        <v>0</v>
      </c>
      <c r="O66" s="432">
        <f>IF(Inicio!$E$49&gt;=O58,(+O63/O64),0)</f>
        <v>0</v>
      </c>
      <c r="P66" s="432">
        <f>IF(Inicio!$E$49&gt;=P58,(+P63/P64),0)</f>
        <v>0</v>
      </c>
      <c r="Q66" s="433">
        <f>IF(Inicio!$E$49&gt;=Q58,(+Q63/Q64),0)</f>
        <v>0</v>
      </c>
    </row>
    <row r="67" spans="1:17" x14ac:dyDescent="0.2">
      <c r="A67" s="434"/>
      <c r="B67" s="442"/>
      <c r="C67" s="443"/>
      <c r="D67" s="444"/>
      <c r="E67" s="444"/>
      <c r="F67" s="444"/>
      <c r="G67" s="444"/>
      <c r="H67" s="444"/>
      <c r="I67" s="444"/>
      <c r="J67" s="444"/>
      <c r="K67" s="444"/>
      <c r="L67" s="444"/>
      <c r="M67" s="444"/>
      <c r="N67" s="444"/>
      <c r="O67" s="444"/>
      <c r="P67" s="444"/>
      <c r="Q67" s="445"/>
    </row>
    <row r="68" spans="1:17" x14ac:dyDescent="0.2">
      <c r="A68" s="439" t="s">
        <v>229</v>
      </c>
      <c r="B68" s="442"/>
      <c r="C68" s="443"/>
      <c r="D68" s="444"/>
      <c r="E68" s="444"/>
      <c r="F68" s="444"/>
      <c r="G68" s="444"/>
      <c r="H68" s="444"/>
      <c r="I68" s="444"/>
      <c r="J68" s="444"/>
      <c r="K68" s="444"/>
      <c r="L68" s="444"/>
      <c r="M68" s="444"/>
      <c r="N68" s="444"/>
      <c r="O68" s="444"/>
      <c r="P68" s="444"/>
      <c r="Q68" s="445"/>
    </row>
    <row r="69" spans="1:17" x14ac:dyDescent="0.2">
      <c r="A69" s="434"/>
      <c r="B69" s="442"/>
      <c r="C69" s="443"/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444"/>
      <c r="O69" s="444"/>
      <c r="P69" s="444"/>
      <c r="Q69" s="445"/>
    </row>
    <row r="70" spans="1:17" hidden="1" x14ac:dyDescent="0.2">
      <c r="A70" s="440" t="s">
        <v>230</v>
      </c>
      <c r="B70" s="442" t="s">
        <v>1</v>
      </c>
      <c r="C70" s="419">
        <f>+'Estado de Resultado '!B47</f>
        <v>50315.037619127179</v>
      </c>
      <c r="D70" s="419">
        <f>+'Estado de Resultado '!C47</f>
        <v>124409.97082860219</v>
      </c>
      <c r="E70" s="419">
        <f>+'Estado de Resultado '!D47</f>
        <v>172065.90982595462</v>
      </c>
      <c r="F70" s="419">
        <f>+'Estado de Resultado '!E47</f>
        <v>227898.53873554638</v>
      </c>
      <c r="G70" s="419">
        <f>+'Estado de Resultado '!F47</f>
        <v>293000.42160605517</v>
      </c>
      <c r="H70" s="419">
        <f>+'Estado de Resultado '!G47</f>
        <v>0</v>
      </c>
      <c r="I70" s="419">
        <f>+'Estado de Resultado '!H47</f>
        <v>0</v>
      </c>
      <c r="J70" s="419">
        <f>+'Estado de Resultado '!I47</f>
        <v>0</v>
      </c>
      <c r="K70" s="419">
        <f>+'Estado de Resultado '!J47</f>
        <v>0</v>
      </c>
      <c r="L70" s="419">
        <f>+'Estado de Resultado '!K47</f>
        <v>0</v>
      </c>
      <c r="M70" s="419">
        <f>+'Estado de Resultado '!L47</f>
        <v>0</v>
      </c>
      <c r="N70" s="419">
        <f>+'Estado de Resultado '!M47</f>
        <v>0</v>
      </c>
      <c r="O70" s="419">
        <f>+'Estado de Resultado '!N47</f>
        <v>0</v>
      </c>
      <c r="P70" s="419">
        <f>+'Estado de Resultado '!O47</f>
        <v>0</v>
      </c>
      <c r="Q70" s="420">
        <f>+'Estado de Resultado '!P47</f>
        <v>0</v>
      </c>
    </row>
    <row r="71" spans="1:17" hidden="1" x14ac:dyDescent="0.2">
      <c r="A71" s="440" t="s">
        <v>228</v>
      </c>
      <c r="B71" s="442" t="s">
        <v>1</v>
      </c>
      <c r="C71" s="419">
        <f>+C64</f>
        <v>2433692.7999999998</v>
      </c>
      <c r="D71" s="419">
        <f t="shared" ref="D71:Q71" si="4">+D64</f>
        <v>2770891.1999999997</v>
      </c>
      <c r="E71" s="419">
        <f t="shared" si="4"/>
        <v>3006416.9519999996</v>
      </c>
      <c r="F71" s="419">
        <f t="shared" si="4"/>
        <v>3258568.0511999996</v>
      </c>
      <c r="G71" s="419">
        <f t="shared" si="4"/>
        <v>3564058.8059999994</v>
      </c>
      <c r="H71" s="419">
        <f t="shared" si="4"/>
        <v>0</v>
      </c>
      <c r="I71" s="419">
        <f t="shared" si="4"/>
        <v>0</v>
      </c>
      <c r="J71" s="419">
        <f t="shared" si="4"/>
        <v>0</v>
      </c>
      <c r="K71" s="419">
        <f t="shared" si="4"/>
        <v>0</v>
      </c>
      <c r="L71" s="419">
        <f t="shared" si="4"/>
        <v>0</v>
      </c>
      <c r="M71" s="419">
        <f t="shared" si="4"/>
        <v>0</v>
      </c>
      <c r="N71" s="419">
        <f t="shared" si="4"/>
        <v>0</v>
      </c>
      <c r="O71" s="419">
        <f t="shared" si="4"/>
        <v>0</v>
      </c>
      <c r="P71" s="419">
        <f t="shared" si="4"/>
        <v>0</v>
      </c>
      <c r="Q71" s="420">
        <f t="shared" si="4"/>
        <v>0</v>
      </c>
    </row>
    <row r="72" spans="1:17" x14ac:dyDescent="0.2">
      <c r="A72" s="434"/>
      <c r="B72" s="442"/>
      <c r="C72" s="443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5"/>
    </row>
    <row r="73" spans="1:17" x14ac:dyDescent="0.2">
      <c r="A73" s="431" t="s">
        <v>246</v>
      </c>
      <c r="B73" s="450"/>
      <c r="C73" s="432">
        <f>IF(Inicio!$E$49&gt;=C58,(+C70/C71),0)</f>
        <v>2.0674358579327343E-2</v>
      </c>
      <c r="D73" s="432">
        <f>IF(Inicio!$E$49&gt;=D58,(+D70/D71),0)</f>
        <v>4.4898901417927274E-2</v>
      </c>
      <c r="E73" s="432">
        <f>IF(Inicio!$E$49&gt;=E58,(+E70/E71),0)</f>
        <v>5.7232883054191427E-2</v>
      </c>
      <c r="F73" s="432">
        <f>IF(Inicio!$E$49&gt;=F58,(+F70/F71),0)</f>
        <v>6.9938247461678912E-2</v>
      </c>
      <c r="G73" s="432">
        <f>IF(Inicio!$E$49&gt;=G58,(+G70/G71),0)</f>
        <v>8.220976071236441E-2</v>
      </c>
      <c r="H73" s="432">
        <f>IF(Inicio!$E$49&gt;=H58,(+H70/H71),0)</f>
        <v>0</v>
      </c>
      <c r="I73" s="432">
        <f>IF(Inicio!$E$49&gt;=I58,(+I70/I71),0)</f>
        <v>0</v>
      </c>
      <c r="J73" s="432">
        <f>IF(Inicio!$E$49&gt;=J58,(+J70/J71),0)</f>
        <v>0</v>
      </c>
      <c r="K73" s="432">
        <f>IF(Inicio!$E$49&gt;=K58,(+K70/K71),0)</f>
        <v>0</v>
      </c>
      <c r="L73" s="432">
        <f>IF(Inicio!$E$49&gt;=L58,(+L70/L71),0)</f>
        <v>0</v>
      </c>
      <c r="M73" s="432">
        <f>IF(Inicio!$E$49&gt;=M58,(+M70/M71),0)</f>
        <v>0</v>
      </c>
      <c r="N73" s="432">
        <f>IF(Inicio!$E$49&gt;=N58,(+N70/N71),0)</f>
        <v>0</v>
      </c>
      <c r="O73" s="432">
        <f>IF(Inicio!$E$49&gt;=O58,(+O70/O71),0)</f>
        <v>0</v>
      </c>
      <c r="P73" s="432">
        <f>IF(Inicio!$E$49&gt;=P58,(+P70/P71),0)</f>
        <v>0</v>
      </c>
      <c r="Q73" s="433">
        <f>IF(Inicio!$E$49&gt;=Q58,(+Q70/Q71),0)</f>
        <v>0</v>
      </c>
    </row>
    <row r="74" spans="1:17" x14ac:dyDescent="0.2">
      <c r="A74" s="434"/>
      <c r="B74" s="435"/>
      <c r="C74" s="436"/>
      <c r="D74" s="437"/>
      <c r="E74" s="437"/>
      <c r="F74" s="437"/>
      <c r="G74" s="437"/>
      <c r="H74" s="437"/>
      <c r="I74" s="437"/>
      <c r="J74" s="437"/>
      <c r="K74" s="437"/>
      <c r="L74" s="437"/>
      <c r="M74" s="437"/>
      <c r="N74" s="437"/>
      <c r="O74" s="437"/>
      <c r="P74" s="437"/>
      <c r="Q74" s="438"/>
    </row>
    <row r="75" spans="1:17" x14ac:dyDescent="0.2">
      <c r="A75" s="439" t="s">
        <v>231</v>
      </c>
      <c r="B75" s="435"/>
      <c r="C75" s="436"/>
      <c r="D75" s="437"/>
      <c r="E75" s="437"/>
      <c r="F75" s="437"/>
      <c r="G75" s="437"/>
      <c r="H75" s="437"/>
      <c r="I75" s="437"/>
      <c r="J75" s="437"/>
      <c r="K75" s="437"/>
      <c r="L75" s="437"/>
      <c r="M75" s="437"/>
      <c r="N75" s="437"/>
      <c r="O75" s="437"/>
      <c r="P75" s="437"/>
      <c r="Q75" s="438"/>
    </row>
    <row r="76" spans="1:17" x14ac:dyDescent="0.2">
      <c r="A76" s="434"/>
      <c r="B76" s="435"/>
      <c r="C76" s="436"/>
      <c r="D76" s="437"/>
      <c r="E76" s="437"/>
      <c r="F76" s="437"/>
      <c r="G76" s="437"/>
      <c r="H76" s="437"/>
      <c r="I76" s="437"/>
      <c r="J76" s="437"/>
      <c r="K76" s="437"/>
      <c r="L76" s="437"/>
      <c r="M76" s="437"/>
      <c r="N76" s="437"/>
      <c r="O76" s="437"/>
      <c r="P76" s="437"/>
      <c r="Q76" s="438"/>
    </row>
    <row r="77" spans="1:17" hidden="1" x14ac:dyDescent="0.2">
      <c r="A77" s="440" t="s">
        <v>232</v>
      </c>
      <c r="B77" s="435" t="s">
        <v>1</v>
      </c>
      <c r="C77" s="413">
        <f>+'Estado de Resultado '!B11</f>
        <v>1747142.1285737599</v>
      </c>
      <c r="D77" s="413">
        <f>+'Estado de Resultado '!C11</f>
        <v>1929827.7900281039</v>
      </c>
      <c r="E77" s="413">
        <f>+'Estado de Resultado '!D11</f>
        <v>2061698.9811948063</v>
      </c>
      <c r="F77" s="413">
        <f>+'Estado de Resultado '!E11</f>
        <v>2202267.7654508762</v>
      </c>
      <c r="G77" s="413">
        <f>+'Estado de Resultado '!F11</f>
        <v>2370009.8160077082</v>
      </c>
      <c r="H77" s="413">
        <f>+'Estado de Resultado '!G11</f>
        <v>0</v>
      </c>
      <c r="I77" s="413">
        <f>+'Estado de Resultado '!H11</f>
        <v>0</v>
      </c>
      <c r="J77" s="413">
        <f>+'Estado de Resultado '!I11</f>
        <v>0</v>
      </c>
      <c r="K77" s="413">
        <f>+'Estado de Resultado '!J11</f>
        <v>0</v>
      </c>
      <c r="L77" s="413">
        <f>+'Estado de Resultado '!K11</f>
        <v>0</v>
      </c>
      <c r="M77" s="413">
        <f>+'Estado de Resultado '!L11</f>
        <v>0</v>
      </c>
      <c r="N77" s="413">
        <f>+'Estado de Resultado '!M11</f>
        <v>0</v>
      </c>
      <c r="O77" s="413">
        <f>+'Estado de Resultado '!N11</f>
        <v>0</v>
      </c>
      <c r="P77" s="413">
        <f>+'Estado de Resultado '!O11</f>
        <v>0</v>
      </c>
      <c r="Q77" s="414">
        <f>+'Estado de Resultado '!P11</f>
        <v>0</v>
      </c>
    </row>
    <row r="78" spans="1:17" hidden="1" x14ac:dyDescent="0.2">
      <c r="A78" s="440" t="s">
        <v>228</v>
      </c>
      <c r="B78" s="435" t="s">
        <v>1</v>
      </c>
      <c r="C78" s="413">
        <f>+C71</f>
        <v>2433692.7999999998</v>
      </c>
      <c r="D78" s="413">
        <f t="shared" ref="D78:Q78" si="5">+D71</f>
        <v>2770891.1999999997</v>
      </c>
      <c r="E78" s="413">
        <f t="shared" si="5"/>
        <v>3006416.9519999996</v>
      </c>
      <c r="F78" s="413">
        <f t="shared" si="5"/>
        <v>3258568.0511999996</v>
      </c>
      <c r="G78" s="413">
        <f t="shared" si="5"/>
        <v>3564058.8059999994</v>
      </c>
      <c r="H78" s="413">
        <f t="shared" si="5"/>
        <v>0</v>
      </c>
      <c r="I78" s="413">
        <f t="shared" si="5"/>
        <v>0</v>
      </c>
      <c r="J78" s="413">
        <f t="shared" si="5"/>
        <v>0</v>
      </c>
      <c r="K78" s="413">
        <f t="shared" si="5"/>
        <v>0</v>
      </c>
      <c r="L78" s="413">
        <f t="shared" si="5"/>
        <v>0</v>
      </c>
      <c r="M78" s="413">
        <f t="shared" si="5"/>
        <v>0</v>
      </c>
      <c r="N78" s="413">
        <f t="shared" si="5"/>
        <v>0</v>
      </c>
      <c r="O78" s="413">
        <f t="shared" si="5"/>
        <v>0</v>
      </c>
      <c r="P78" s="413">
        <f t="shared" si="5"/>
        <v>0</v>
      </c>
      <c r="Q78" s="414">
        <f t="shared" si="5"/>
        <v>0</v>
      </c>
    </row>
    <row r="79" spans="1:17" x14ac:dyDescent="0.2">
      <c r="A79" s="440"/>
      <c r="B79" s="435"/>
      <c r="C79" s="435"/>
      <c r="D79" s="437"/>
      <c r="E79" s="437"/>
      <c r="F79" s="437"/>
      <c r="G79" s="437"/>
      <c r="H79" s="437"/>
      <c r="I79" s="437"/>
      <c r="J79" s="437"/>
      <c r="K79" s="437"/>
      <c r="L79" s="437"/>
      <c r="M79" s="437"/>
      <c r="N79" s="437"/>
      <c r="O79" s="437"/>
      <c r="P79" s="437"/>
      <c r="Q79" s="438"/>
    </row>
    <row r="80" spans="1:17" x14ac:dyDescent="0.2">
      <c r="A80" s="451" t="s">
        <v>246</v>
      </c>
      <c r="B80" s="450"/>
      <c r="C80" s="432">
        <f>IF(Inicio!$E$49&gt;=C58,(+C77/C78),0)</f>
        <v>0.71789756232740631</v>
      </c>
      <c r="D80" s="432">
        <f>IF(Inicio!$E$49&gt;=D58,(+D77/D78),0)</f>
        <v>0.69646465730163065</v>
      </c>
      <c r="E80" s="432">
        <f>IF(Inicio!$E$49&gt;=E58,(+E77/E78),0)</f>
        <v>0.68576615090707038</v>
      </c>
      <c r="F80" s="432">
        <f>IF(Inicio!$E$49&gt;=F58,(+F77/F78),0)</f>
        <v>0.67583912038905236</v>
      </c>
      <c r="G80" s="432">
        <f>IF(Inicio!$E$49&gt;=G58,(+G77/G78),0)</f>
        <v>0.66497494710745486</v>
      </c>
      <c r="H80" s="432">
        <f>IF(Inicio!$E$49&gt;=H58,(+H77/H78),0)</f>
        <v>0</v>
      </c>
      <c r="I80" s="432">
        <f>IF(Inicio!$E$49&gt;=I58,(+I77/I78),0)</f>
        <v>0</v>
      </c>
      <c r="J80" s="432">
        <f>IF(Inicio!$E$49&gt;=J58,(+J77/J78),0)</f>
        <v>0</v>
      </c>
      <c r="K80" s="432">
        <f>IF(Inicio!$E$49&gt;=K58,(+K77/K78),0)</f>
        <v>0</v>
      </c>
      <c r="L80" s="432">
        <f>IF(Inicio!$E$49&gt;=L58,(+L77/L78),0)</f>
        <v>0</v>
      </c>
      <c r="M80" s="432">
        <f>IF(Inicio!$E$49&gt;=M58,(+M77/M78),0)</f>
        <v>0</v>
      </c>
      <c r="N80" s="432">
        <f>IF(Inicio!$E$49&gt;=N58,(+N77/N78),0)</f>
        <v>0</v>
      </c>
      <c r="O80" s="432">
        <f>IF(Inicio!$E$49&gt;=O58,(+O77/O78),0)</f>
        <v>0</v>
      </c>
      <c r="P80" s="432">
        <f>IF(Inicio!$E$49&gt;=P58,(+P77/P78),0)</f>
        <v>0</v>
      </c>
      <c r="Q80" s="433">
        <f>IF(Inicio!$E$49&gt;=Q58,(+Q77/Q78),0)</f>
        <v>0</v>
      </c>
    </row>
    <row r="81" spans="1:17" x14ac:dyDescent="0.2">
      <c r="A81" s="434"/>
      <c r="B81" s="435"/>
      <c r="C81" s="436"/>
      <c r="D81" s="437"/>
      <c r="E81" s="437"/>
      <c r="F81" s="437"/>
      <c r="G81" s="437"/>
      <c r="H81" s="437"/>
      <c r="I81" s="437"/>
      <c r="J81" s="437"/>
      <c r="K81" s="437"/>
      <c r="L81" s="437"/>
      <c r="M81" s="437"/>
      <c r="N81" s="437"/>
      <c r="O81" s="437"/>
      <c r="P81" s="437"/>
      <c r="Q81" s="438"/>
    </row>
    <row r="82" spans="1:17" x14ac:dyDescent="0.2">
      <c r="A82" s="439" t="s">
        <v>233</v>
      </c>
      <c r="B82" s="435"/>
      <c r="C82" s="436"/>
      <c r="D82" s="437"/>
      <c r="E82" s="437"/>
      <c r="F82" s="437"/>
      <c r="G82" s="437"/>
      <c r="H82" s="437"/>
      <c r="I82" s="437"/>
      <c r="J82" s="437"/>
      <c r="K82" s="437"/>
      <c r="L82" s="437"/>
      <c r="M82" s="437"/>
      <c r="N82" s="437"/>
      <c r="O82" s="437"/>
      <c r="P82" s="437"/>
      <c r="Q82" s="438"/>
    </row>
    <row r="83" spans="1:17" x14ac:dyDescent="0.2">
      <c r="A83" s="434"/>
      <c r="B83" s="435"/>
      <c r="C83" s="436"/>
      <c r="D83" s="437"/>
      <c r="E83" s="437"/>
      <c r="F83" s="437"/>
      <c r="G83" s="437"/>
      <c r="H83" s="437"/>
      <c r="I83" s="437"/>
      <c r="J83" s="437"/>
      <c r="K83" s="437"/>
      <c r="L83" s="437"/>
      <c r="M83" s="437"/>
      <c r="N83" s="437"/>
      <c r="O83" s="437"/>
      <c r="P83" s="437"/>
      <c r="Q83" s="438"/>
    </row>
    <row r="84" spans="1:17" hidden="1" x14ac:dyDescent="0.2">
      <c r="A84" s="440" t="s">
        <v>234</v>
      </c>
      <c r="B84" s="435" t="s">
        <v>1</v>
      </c>
      <c r="C84" s="413">
        <f>+'Estado de Resultado '!B34</f>
        <v>590161.71047005756</v>
      </c>
      <c r="D84" s="413">
        <f>+'Estado de Resultado '!C34</f>
        <v>602730.13252246636</v>
      </c>
      <c r="E84" s="413">
        <f>+'Estado de Resultado '!D34</f>
        <v>615089.79106198519</v>
      </c>
      <c r="F84" s="413">
        <f>+'Estado de Resultado '!E34</f>
        <v>619713.04679213802</v>
      </c>
      <c r="G84" s="413">
        <f>+'Estado de Resultado '!F34</f>
        <v>632745.50032551889</v>
      </c>
      <c r="H84" s="413">
        <f>+'Estado de Resultado '!G34</f>
        <v>0</v>
      </c>
      <c r="I84" s="413">
        <f>+'Estado de Resultado '!H34</f>
        <v>0</v>
      </c>
      <c r="J84" s="413">
        <f>+'Estado de Resultado '!I34</f>
        <v>0</v>
      </c>
      <c r="K84" s="413">
        <f>+'Estado de Resultado '!J34</f>
        <v>0</v>
      </c>
      <c r="L84" s="413">
        <f>+'Estado de Resultado '!K34</f>
        <v>0</v>
      </c>
      <c r="M84" s="413">
        <f>+'Estado de Resultado '!L34</f>
        <v>0</v>
      </c>
      <c r="N84" s="413">
        <f>+'Estado de Resultado '!M34</f>
        <v>0</v>
      </c>
      <c r="O84" s="413">
        <f>+'Estado de Resultado '!N34</f>
        <v>0</v>
      </c>
      <c r="P84" s="413">
        <f>+'Estado de Resultado '!O34</f>
        <v>0</v>
      </c>
      <c r="Q84" s="414">
        <f>+'Estado de Resultado '!P34</f>
        <v>0</v>
      </c>
    </row>
    <row r="85" spans="1:17" hidden="1" x14ac:dyDescent="0.2">
      <c r="A85" s="440" t="s">
        <v>228</v>
      </c>
      <c r="B85" s="435" t="s">
        <v>1</v>
      </c>
      <c r="C85" s="413">
        <f>+C78</f>
        <v>2433692.7999999998</v>
      </c>
      <c r="D85" s="413">
        <f t="shared" ref="D85:Q85" si="6">+D78</f>
        <v>2770891.1999999997</v>
      </c>
      <c r="E85" s="413">
        <f t="shared" si="6"/>
        <v>3006416.9519999996</v>
      </c>
      <c r="F85" s="413">
        <f t="shared" si="6"/>
        <v>3258568.0511999996</v>
      </c>
      <c r="G85" s="413">
        <f t="shared" si="6"/>
        <v>3564058.8059999994</v>
      </c>
      <c r="H85" s="413">
        <f t="shared" si="6"/>
        <v>0</v>
      </c>
      <c r="I85" s="413">
        <f t="shared" si="6"/>
        <v>0</v>
      </c>
      <c r="J85" s="413">
        <f t="shared" si="6"/>
        <v>0</v>
      </c>
      <c r="K85" s="413">
        <f t="shared" si="6"/>
        <v>0</v>
      </c>
      <c r="L85" s="413">
        <f t="shared" si="6"/>
        <v>0</v>
      </c>
      <c r="M85" s="413">
        <f t="shared" si="6"/>
        <v>0</v>
      </c>
      <c r="N85" s="413">
        <f t="shared" si="6"/>
        <v>0</v>
      </c>
      <c r="O85" s="413">
        <f t="shared" si="6"/>
        <v>0</v>
      </c>
      <c r="P85" s="413">
        <f t="shared" si="6"/>
        <v>0</v>
      </c>
      <c r="Q85" s="414">
        <f t="shared" si="6"/>
        <v>0</v>
      </c>
    </row>
    <row r="86" spans="1:17" x14ac:dyDescent="0.2">
      <c r="A86" s="434"/>
      <c r="B86" s="435"/>
      <c r="C86" s="437"/>
      <c r="D86" s="437"/>
      <c r="E86" s="437"/>
      <c r="F86" s="437"/>
      <c r="G86" s="437"/>
      <c r="H86" s="437"/>
      <c r="I86" s="437"/>
      <c r="J86" s="437"/>
      <c r="K86" s="437"/>
      <c r="L86" s="437"/>
      <c r="M86" s="437"/>
      <c r="N86" s="437"/>
      <c r="O86" s="437"/>
      <c r="P86" s="437"/>
      <c r="Q86" s="438"/>
    </row>
    <row r="87" spans="1:17" x14ac:dyDescent="0.2">
      <c r="A87" s="431" t="s">
        <v>246</v>
      </c>
      <c r="B87" s="450"/>
      <c r="C87" s="432">
        <f>IF(Inicio!$E$49&gt;=C58,(+C84/C85),0)</f>
        <v>0.24249638675434204</v>
      </c>
      <c r="D87" s="432">
        <f>IF(Inicio!$E$49&gt;=D58,(+D84/D85),0)</f>
        <v>0.217522121591229</v>
      </c>
      <c r="E87" s="432">
        <f>IF(Inicio!$E$49&gt;=E58,(+E84/E85),0)</f>
        <v>0.20459231067493838</v>
      </c>
      <c r="F87" s="432">
        <f>IF(Inicio!$E$49&gt;=F58,(+F84/F85),0)</f>
        <v>0.19017956263455127</v>
      </c>
      <c r="G87" s="432">
        <f>IF(Inicio!$E$49&gt;=G58,(+G84/G85),0)</f>
        <v>0.17753508984203864</v>
      </c>
      <c r="H87" s="432">
        <f>IF(Inicio!$E$49&gt;=H58,(+H84/H85),0)</f>
        <v>0</v>
      </c>
      <c r="I87" s="432">
        <f>IF(Inicio!$E$49&gt;=I58,(+I84/I85),0)</f>
        <v>0</v>
      </c>
      <c r="J87" s="432">
        <f>IF(Inicio!$E$49&gt;=J58,(+J84/J85),0)</f>
        <v>0</v>
      </c>
      <c r="K87" s="432">
        <f>IF(Inicio!$E$49&gt;=K58,(+K84/K85),0)</f>
        <v>0</v>
      </c>
      <c r="L87" s="432">
        <f>IF(Inicio!$E$49&gt;=L58,(+L84/L85),0)</f>
        <v>0</v>
      </c>
      <c r="M87" s="432">
        <f>IF(Inicio!$E$49&gt;=M58,(+M84/M85),0)</f>
        <v>0</v>
      </c>
      <c r="N87" s="432">
        <f>IF(Inicio!$E$49&gt;=N58,(+N84/N85),0)</f>
        <v>0</v>
      </c>
      <c r="O87" s="432">
        <f>IF(Inicio!$E$49&gt;=O58,(+O84/O85),0)</f>
        <v>0</v>
      </c>
      <c r="P87" s="432">
        <f>IF(Inicio!$E$49&gt;=P58,(+P84/P85),0)</f>
        <v>0</v>
      </c>
      <c r="Q87" s="433">
        <f>IF(Inicio!$E$49&gt;=Q58,(+Q84/Q85),0)</f>
        <v>0</v>
      </c>
    </row>
    <row r="88" spans="1:17" x14ac:dyDescent="0.2">
      <c r="A88" s="440"/>
      <c r="B88" s="435"/>
      <c r="C88" s="437"/>
      <c r="D88" s="437"/>
      <c r="E88" s="437"/>
      <c r="F88" s="437"/>
      <c r="G88" s="437"/>
      <c r="H88" s="437"/>
      <c r="I88" s="437"/>
      <c r="J88" s="437"/>
      <c r="K88" s="437"/>
      <c r="L88" s="437"/>
      <c r="M88" s="437"/>
      <c r="N88" s="437"/>
      <c r="O88" s="437"/>
      <c r="P88" s="437"/>
      <c r="Q88" s="438"/>
    </row>
    <row r="89" spans="1:17" x14ac:dyDescent="0.2">
      <c r="A89" s="439" t="s">
        <v>235</v>
      </c>
      <c r="B89" s="435"/>
      <c r="C89" s="437"/>
      <c r="D89" s="437"/>
      <c r="E89" s="437"/>
      <c r="F89" s="437"/>
      <c r="G89" s="437"/>
      <c r="H89" s="437"/>
      <c r="I89" s="437"/>
      <c r="J89" s="437"/>
      <c r="K89" s="437"/>
      <c r="L89" s="437"/>
      <c r="M89" s="437"/>
      <c r="N89" s="437"/>
      <c r="O89" s="437"/>
      <c r="P89" s="437"/>
      <c r="Q89" s="438"/>
    </row>
    <row r="90" spans="1:17" x14ac:dyDescent="0.2">
      <c r="A90" s="434"/>
      <c r="B90" s="435"/>
      <c r="C90" s="437"/>
      <c r="D90" s="437"/>
      <c r="E90" s="437"/>
      <c r="F90" s="437"/>
      <c r="G90" s="437"/>
      <c r="H90" s="437"/>
      <c r="I90" s="437"/>
      <c r="J90" s="437"/>
      <c r="K90" s="437"/>
      <c r="L90" s="437"/>
      <c r="M90" s="437"/>
      <c r="N90" s="437"/>
      <c r="O90" s="437"/>
      <c r="P90" s="437"/>
      <c r="Q90" s="438"/>
    </row>
    <row r="91" spans="1:17" hidden="1" x14ac:dyDescent="0.2">
      <c r="A91" s="440" t="s">
        <v>230</v>
      </c>
      <c r="B91" s="435" t="s">
        <v>1</v>
      </c>
      <c r="C91" s="413">
        <f>+C70</f>
        <v>50315.037619127179</v>
      </c>
      <c r="D91" s="413">
        <f t="shared" ref="D91:Q91" si="7">+D70</f>
        <v>124409.97082860219</v>
      </c>
      <c r="E91" s="413">
        <f t="shared" si="7"/>
        <v>172065.90982595462</v>
      </c>
      <c r="F91" s="413">
        <f t="shared" si="7"/>
        <v>227898.53873554638</v>
      </c>
      <c r="G91" s="413">
        <f t="shared" si="7"/>
        <v>293000.42160605517</v>
      </c>
      <c r="H91" s="413">
        <f t="shared" si="7"/>
        <v>0</v>
      </c>
      <c r="I91" s="413">
        <f t="shared" si="7"/>
        <v>0</v>
      </c>
      <c r="J91" s="413">
        <f t="shared" si="7"/>
        <v>0</v>
      </c>
      <c r="K91" s="413">
        <f t="shared" si="7"/>
        <v>0</v>
      </c>
      <c r="L91" s="413">
        <f t="shared" si="7"/>
        <v>0</v>
      </c>
      <c r="M91" s="413">
        <f t="shared" si="7"/>
        <v>0</v>
      </c>
      <c r="N91" s="413">
        <f t="shared" si="7"/>
        <v>0</v>
      </c>
      <c r="O91" s="413">
        <f t="shared" si="7"/>
        <v>0</v>
      </c>
      <c r="P91" s="413">
        <f t="shared" si="7"/>
        <v>0</v>
      </c>
      <c r="Q91" s="414">
        <f t="shared" si="7"/>
        <v>0</v>
      </c>
    </row>
    <row r="92" spans="1:17" hidden="1" x14ac:dyDescent="0.2">
      <c r="A92" s="440" t="s">
        <v>224</v>
      </c>
      <c r="B92" s="435" t="s">
        <v>1</v>
      </c>
      <c r="C92" s="413">
        <f>+balance!C38</f>
        <v>351705.11148155597</v>
      </c>
      <c r="D92" s="413">
        <f>+balance!D38</f>
        <v>351705.11148155597</v>
      </c>
      <c r="E92" s="413">
        <f>+balance!E38</f>
        <v>351705.11148155597</v>
      </c>
      <c r="F92" s="413">
        <f>+balance!F38</f>
        <v>351705.11148155597</v>
      </c>
      <c r="G92" s="413">
        <f>+balance!G38</f>
        <v>351705.11148155597</v>
      </c>
      <c r="H92" s="413">
        <f>+balance!H38</f>
        <v>0</v>
      </c>
      <c r="I92" s="413">
        <f>+balance!I38</f>
        <v>0</v>
      </c>
      <c r="J92" s="413">
        <f>+balance!J38</f>
        <v>0</v>
      </c>
      <c r="K92" s="413">
        <f>+balance!K38</f>
        <v>0</v>
      </c>
      <c r="L92" s="413">
        <f>+balance!L38</f>
        <v>0</v>
      </c>
      <c r="M92" s="413">
        <f>+balance!M38</f>
        <v>0</v>
      </c>
      <c r="N92" s="413">
        <f>+balance!N38</f>
        <v>0</v>
      </c>
      <c r="O92" s="413">
        <f>+balance!O38</f>
        <v>0</v>
      </c>
      <c r="P92" s="413">
        <f>+balance!P38</f>
        <v>0</v>
      </c>
      <c r="Q92" s="414">
        <f>+balance!Q38</f>
        <v>0</v>
      </c>
    </row>
    <row r="93" spans="1:17" x14ac:dyDescent="0.2">
      <c r="A93" s="440"/>
      <c r="B93" s="435"/>
      <c r="C93" s="435"/>
      <c r="D93" s="435"/>
      <c r="E93" s="435"/>
      <c r="F93" s="435"/>
      <c r="G93" s="435"/>
      <c r="H93" s="435"/>
      <c r="I93" s="435"/>
      <c r="J93" s="435"/>
      <c r="K93" s="435"/>
      <c r="L93" s="435"/>
      <c r="M93" s="435"/>
      <c r="N93" s="435"/>
      <c r="O93" s="435"/>
      <c r="P93" s="435"/>
      <c r="Q93" s="441"/>
    </row>
    <row r="94" spans="1:17" x14ac:dyDescent="0.2">
      <c r="A94" s="451" t="s">
        <v>246</v>
      </c>
      <c r="B94" s="450"/>
      <c r="C94" s="432">
        <f>IF(Inicio!$E$49&gt;=C58,(+C91/C92),0)</f>
        <v>0.14306029675592527</v>
      </c>
      <c r="D94" s="432">
        <f>IF(Inicio!$E$49&gt;=D58,(+D91/D92),0)</f>
        <v>0.35373375810355961</v>
      </c>
      <c r="E94" s="432">
        <f>IF(Inicio!$E$49&gt;=E58,(+E91/E92),0)</f>
        <v>0.48923346351472646</v>
      </c>
      <c r="F94" s="432">
        <f>IF(Inicio!$E$49&gt;=F58,(+F91/F92),0)</f>
        <v>0.64798187827161502</v>
      </c>
      <c r="G94" s="432">
        <f>IF(Inicio!$E$49&gt;=G58,(+G91/G92),0)</f>
        <v>0.8330854799686942</v>
      </c>
      <c r="H94" s="432">
        <f>IF(Inicio!$E$49&gt;=H58,(+H91/H92),0)</f>
        <v>0</v>
      </c>
      <c r="I94" s="432">
        <f>IF(Inicio!$E$49&gt;=I58,(+I91/I92),0)</f>
        <v>0</v>
      </c>
      <c r="J94" s="432">
        <f>IF(Inicio!$E$49&gt;=J58,(+J91/J92),0)</f>
        <v>0</v>
      </c>
      <c r="K94" s="432">
        <f>IF(Inicio!$E$49&gt;=K58,(+K91/K92),0)</f>
        <v>0</v>
      </c>
      <c r="L94" s="432">
        <f>IF(Inicio!$E$49&gt;=L58,(+L91/L92),0)</f>
        <v>0</v>
      </c>
      <c r="M94" s="432">
        <f>IF(Inicio!$E$49&gt;=M58,(+M91/M92),0)</f>
        <v>0</v>
      </c>
      <c r="N94" s="432">
        <f>IF(Inicio!$E$49&gt;=N58,(+N91/N92),0)</f>
        <v>0</v>
      </c>
      <c r="O94" s="432">
        <f>IF(Inicio!$E$49&gt;=O58,(+O91/O92),0)</f>
        <v>0</v>
      </c>
      <c r="P94" s="432">
        <f>IF(Inicio!$E$49&gt;=P58,(+P91/P92),0)</f>
        <v>0</v>
      </c>
      <c r="Q94" s="433">
        <f>IF(Inicio!$E$49&gt;=Q58,(+Q91/Q92),0)</f>
        <v>0</v>
      </c>
    </row>
    <row r="95" spans="1:17" x14ac:dyDescent="0.2">
      <c r="A95" s="434"/>
      <c r="B95" s="435"/>
      <c r="C95" s="437"/>
      <c r="D95" s="437"/>
      <c r="E95" s="437"/>
      <c r="F95" s="437"/>
      <c r="G95" s="437"/>
      <c r="H95" s="437"/>
      <c r="I95" s="437"/>
      <c r="J95" s="437"/>
      <c r="K95" s="437"/>
      <c r="L95" s="437"/>
      <c r="M95" s="437"/>
      <c r="N95" s="437"/>
      <c r="O95" s="437"/>
      <c r="P95" s="437"/>
      <c r="Q95" s="438"/>
    </row>
    <row r="96" spans="1:17" x14ac:dyDescent="0.2">
      <c r="A96" s="439" t="s">
        <v>291</v>
      </c>
      <c r="B96" s="435"/>
      <c r="C96" s="437"/>
      <c r="D96" s="437"/>
      <c r="E96" s="437"/>
      <c r="F96" s="437"/>
      <c r="G96" s="437"/>
      <c r="H96" s="437"/>
      <c r="I96" s="437"/>
      <c r="J96" s="437"/>
      <c r="K96" s="437"/>
      <c r="L96" s="437"/>
      <c r="M96" s="437"/>
      <c r="N96" s="437"/>
      <c r="O96" s="437"/>
      <c r="P96" s="437"/>
      <c r="Q96" s="438"/>
    </row>
    <row r="97" spans="1:17" x14ac:dyDescent="0.2">
      <c r="A97" s="434"/>
      <c r="B97" s="435"/>
      <c r="C97" s="437"/>
      <c r="D97" s="437"/>
      <c r="E97" s="437"/>
      <c r="F97" s="437"/>
      <c r="G97" s="437"/>
      <c r="H97" s="437"/>
      <c r="I97" s="437"/>
      <c r="J97" s="437"/>
      <c r="K97" s="437"/>
      <c r="L97" s="437"/>
      <c r="M97" s="437"/>
      <c r="N97" s="437"/>
      <c r="O97" s="437"/>
      <c r="P97" s="437"/>
      <c r="Q97" s="438"/>
    </row>
    <row r="98" spans="1:17" hidden="1" x14ac:dyDescent="0.2">
      <c r="A98" s="440" t="s">
        <v>230</v>
      </c>
      <c r="B98" s="435" t="str">
        <f>+B91</f>
        <v xml:space="preserve"> </v>
      </c>
      <c r="C98" s="413">
        <f>+C91</f>
        <v>50315.037619127179</v>
      </c>
      <c r="D98" s="413">
        <f t="shared" ref="D98:Q98" si="8">+D91</f>
        <v>124409.97082860219</v>
      </c>
      <c r="E98" s="413">
        <f t="shared" si="8"/>
        <v>172065.90982595462</v>
      </c>
      <c r="F98" s="413">
        <f t="shared" si="8"/>
        <v>227898.53873554638</v>
      </c>
      <c r="G98" s="413">
        <f t="shared" si="8"/>
        <v>293000.42160605517</v>
      </c>
      <c r="H98" s="413">
        <f t="shared" si="8"/>
        <v>0</v>
      </c>
      <c r="I98" s="413">
        <f t="shared" si="8"/>
        <v>0</v>
      </c>
      <c r="J98" s="413">
        <f t="shared" si="8"/>
        <v>0</v>
      </c>
      <c r="K98" s="413">
        <f t="shared" si="8"/>
        <v>0</v>
      </c>
      <c r="L98" s="413">
        <f t="shared" si="8"/>
        <v>0</v>
      </c>
      <c r="M98" s="413">
        <f t="shared" si="8"/>
        <v>0</v>
      </c>
      <c r="N98" s="413">
        <f t="shared" si="8"/>
        <v>0</v>
      </c>
      <c r="O98" s="413">
        <f t="shared" si="8"/>
        <v>0</v>
      </c>
      <c r="P98" s="413">
        <f t="shared" si="8"/>
        <v>0</v>
      </c>
      <c r="Q98" s="414">
        <f t="shared" si="8"/>
        <v>0</v>
      </c>
    </row>
    <row r="99" spans="1:17" hidden="1" x14ac:dyDescent="0.2">
      <c r="A99" s="440" t="s">
        <v>217</v>
      </c>
      <c r="B99" s="435" t="s">
        <v>1</v>
      </c>
      <c r="C99" s="413">
        <f>+balance!C27</f>
        <v>630347.01904449519</v>
      </c>
      <c r="D99" s="413">
        <f>+balance!D27</f>
        <v>807235.14511538984</v>
      </c>
      <c r="E99" s="413">
        <f>+balance!E27</f>
        <v>1012215.1180705687</v>
      </c>
      <c r="F99" s="413">
        <f>+balance!F27</f>
        <v>1284142.3276853287</v>
      </c>
      <c r="G99" s="413">
        <f>+balance!G27</f>
        <v>1634874.4255212743</v>
      </c>
      <c r="H99" s="413">
        <f>+balance!H27</f>
        <v>0</v>
      </c>
      <c r="I99" s="413">
        <f>+balance!I27</f>
        <v>0</v>
      </c>
      <c r="J99" s="413">
        <f>+balance!J27</f>
        <v>0</v>
      </c>
      <c r="K99" s="413">
        <f>+balance!K27</f>
        <v>0</v>
      </c>
      <c r="L99" s="413">
        <f>+balance!L27</f>
        <v>0</v>
      </c>
      <c r="M99" s="413">
        <f>+balance!M27</f>
        <v>0</v>
      </c>
      <c r="N99" s="413">
        <f>+balance!N27</f>
        <v>0</v>
      </c>
      <c r="O99" s="413">
        <f>+balance!O27</f>
        <v>0</v>
      </c>
      <c r="P99" s="413">
        <f>+balance!P27</f>
        <v>0</v>
      </c>
      <c r="Q99" s="414">
        <f>+balance!Q27</f>
        <v>0</v>
      </c>
    </row>
    <row r="100" spans="1:17" x14ac:dyDescent="0.2">
      <c r="A100" s="440"/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41"/>
    </row>
    <row r="101" spans="1:17" x14ac:dyDescent="0.2">
      <c r="A101" s="451" t="s">
        <v>246</v>
      </c>
      <c r="B101" s="450"/>
      <c r="C101" s="432">
        <f>IF(Inicio!$E$49&gt;=C58,(+C98/C99),0)</f>
        <v>7.9821171670481902E-2</v>
      </c>
      <c r="D101" s="432">
        <f>IF(Inicio!$E$49&gt;=D58,(+D98/D99),0)</f>
        <v>0.15411862526230627</v>
      </c>
      <c r="E101" s="432">
        <f>IF(Inicio!$E$49&gt;=E58,(+E98/E99),0)</f>
        <v>0.16998946839871115</v>
      </c>
      <c r="F101" s="432">
        <f>IF(Inicio!$E$49&gt;=F58,(+F98/F99),0)</f>
        <v>0.17747140159014488</v>
      </c>
      <c r="G101" s="432">
        <f>IF(Inicio!$E$49&gt;=G58,(+G98/G99),0)</f>
        <v>0.1792189155522651</v>
      </c>
      <c r="H101" s="432">
        <f>IF(Inicio!$E$49&gt;=H58,(+H98/H99),0)</f>
        <v>0</v>
      </c>
      <c r="I101" s="432">
        <f>IF(Inicio!$E$49&gt;=I58,(+I98/I99),0)</f>
        <v>0</v>
      </c>
      <c r="J101" s="432">
        <f>IF(Inicio!$E$49&gt;=J58,(+J98/J99),0)</f>
        <v>0</v>
      </c>
      <c r="K101" s="432">
        <f>IF(Inicio!$E$49&gt;=K58,(+K98/K99),0)</f>
        <v>0</v>
      </c>
      <c r="L101" s="432">
        <f>IF(Inicio!$E$49&gt;=L58,(+L98/L99),0)</f>
        <v>0</v>
      </c>
      <c r="M101" s="432">
        <f>IF(Inicio!$E$49&gt;=M58,(+M98/M99),0)</f>
        <v>0</v>
      </c>
      <c r="N101" s="432">
        <f>IF(Inicio!$E$49&gt;=N58,(+N98/N99),0)</f>
        <v>0</v>
      </c>
      <c r="O101" s="432">
        <f>IF(Inicio!$E$49&gt;=O58,(+O98/O99),0)</f>
        <v>0</v>
      </c>
      <c r="P101" s="432">
        <f>IF(Inicio!$E$49&gt;=P58,(+P98/P99),0)</f>
        <v>0</v>
      </c>
      <c r="Q101" s="433">
        <f>IF(Inicio!$E$49&gt;=Q58,(+Q98/Q99),0)</f>
        <v>0</v>
      </c>
    </row>
    <row r="102" spans="1:17" x14ac:dyDescent="0.2">
      <c r="A102" s="439"/>
      <c r="B102" s="435"/>
      <c r="C102" s="519"/>
      <c r="D102" s="519"/>
      <c r="E102" s="519"/>
      <c r="F102" s="519"/>
      <c r="G102" s="519"/>
      <c r="H102" s="519"/>
      <c r="I102" s="519"/>
      <c r="J102" s="519"/>
      <c r="K102" s="519"/>
      <c r="L102" s="519"/>
      <c r="M102" s="519"/>
      <c r="N102" s="519"/>
      <c r="O102" s="519"/>
      <c r="P102" s="519"/>
      <c r="Q102" s="520"/>
    </row>
    <row r="103" spans="1:17" x14ac:dyDescent="0.2">
      <c r="A103" s="439" t="s">
        <v>400</v>
      </c>
      <c r="B103" s="435"/>
      <c r="C103" s="519"/>
      <c r="D103" s="519"/>
      <c r="E103" s="519"/>
      <c r="F103" s="519"/>
      <c r="G103" s="519"/>
      <c r="H103" s="519"/>
      <c r="I103" s="519"/>
      <c r="J103" s="519"/>
      <c r="K103" s="519"/>
      <c r="L103" s="519"/>
      <c r="M103" s="519"/>
      <c r="N103" s="519"/>
      <c r="O103" s="519"/>
      <c r="P103" s="519"/>
      <c r="Q103" s="520"/>
    </row>
    <row r="104" spans="1:17" x14ac:dyDescent="0.2">
      <c r="A104" s="439"/>
      <c r="B104" s="435"/>
      <c r="C104" s="519"/>
      <c r="D104" s="519"/>
      <c r="E104" s="519"/>
      <c r="F104" s="519"/>
      <c r="G104" s="519"/>
      <c r="H104" s="519"/>
      <c r="I104" s="519"/>
      <c r="J104" s="519"/>
      <c r="K104" s="519"/>
      <c r="L104" s="519"/>
      <c r="M104" s="519"/>
      <c r="N104" s="519"/>
      <c r="O104" s="519"/>
      <c r="P104" s="519"/>
      <c r="Q104" s="520"/>
    </row>
    <row r="105" spans="1:17" hidden="1" x14ac:dyDescent="0.2">
      <c r="A105" s="439" t="s">
        <v>298</v>
      </c>
      <c r="B105" s="435"/>
      <c r="C105" s="521">
        <f>+'Estado de Resultado '!B47</f>
        <v>50315.037619127179</v>
      </c>
      <c r="D105" s="521">
        <f>+'Estado de Resultado '!C47</f>
        <v>124409.97082860219</v>
      </c>
      <c r="E105" s="521">
        <f>+'Estado de Resultado '!D47</f>
        <v>172065.90982595462</v>
      </c>
      <c r="F105" s="521">
        <f>+'Estado de Resultado '!E47</f>
        <v>227898.53873554638</v>
      </c>
      <c r="G105" s="521">
        <f>+'Estado de Resultado '!F47</f>
        <v>293000.42160605517</v>
      </c>
      <c r="H105" s="521">
        <f>+'Estado de Resultado '!G47</f>
        <v>0</v>
      </c>
      <c r="I105" s="521">
        <f>+'Estado de Resultado '!H47</f>
        <v>0</v>
      </c>
      <c r="J105" s="521">
        <f>+'Estado de Resultado '!I47</f>
        <v>0</v>
      </c>
      <c r="K105" s="521">
        <f>+'Estado de Resultado '!J47</f>
        <v>0</v>
      </c>
      <c r="L105" s="521">
        <f>+'Estado de Resultado '!K47</f>
        <v>0</v>
      </c>
      <c r="M105" s="521">
        <f>+'Estado de Resultado '!L47</f>
        <v>0</v>
      </c>
      <c r="N105" s="521">
        <f>+'Estado de Resultado '!M47</f>
        <v>0</v>
      </c>
      <c r="O105" s="521">
        <f>+'Estado de Resultado '!N47</f>
        <v>0</v>
      </c>
      <c r="P105" s="521">
        <f>+'Estado de Resultado '!O47</f>
        <v>0</v>
      </c>
      <c r="Q105" s="522">
        <f>+'Estado de Resultado '!P47</f>
        <v>0</v>
      </c>
    </row>
    <row r="106" spans="1:17" hidden="1" x14ac:dyDescent="0.2">
      <c r="A106" s="439" t="s">
        <v>401</v>
      </c>
      <c r="B106" s="435"/>
      <c r="C106" s="521">
        <f>+balance!C38*Inicio!$E$48</f>
        <v>84409.226755573429</v>
      </c>
      <c r="D106" s="521">
        <f>+balance!D38*Inicio!$E$48</f>
        <v>84409.226755573429</v>
      </c>
      <c r="E106" s="521">
        <f>+balance!E38*Inicio!$E$48</f>
        <v>84409.226755573429</v>
      </c>
      <c r="F106" s="521">
        <f>+balance!F38*Inicio!$E$48</f>
        <v>84409.226755573429</v>
      </c>
      <c r="G106" s="521">
        <f>+balance!G38*Inicio!$E$48</f>
        <v>84409.226755573429</v>
      </c>
      <c r="H106" s="521">
        <f>+balance!H38*Inicio!$E$48</f>
        <v>0</v>
      </c>
      <c r="I106" s="521">
        <f>+balance!I38*Inicio!$E$48</f>
        <v>0</v>
      </c>
      <c r="J106" s="521">
        <f>+balance!J38*Inicio!$E$48</f>
        <v>0</v>
      </c>
      <c r="K106" s="521">
        <f>+balance!K38*Inicio!$E$48</f>
        <v>0</v>
      </c>
      <c r="L106" s="521">
        <f>+balance!L38*Inicio!$E$48</f>
        <v>0</v>
      </c>
      <c r="M106" s="521">
        <f>+balance!M38*Inicio!$E$48</f>
        <v>0</v>
      </c>
      <c r="N106" s="521">
        <f>+balance!N38*Inicio!$E$48</f>
        <v>0</v>
      </c>
      <c r="O106" s="521">
        <f>+balance!O38*Inicio!$E$48</f>
        <v>0</v>
      </c>
      <c r="P106" s="521">
        <f>+balance!P38*Inicio!$E$48</f>
        <v>0</v>
      </c>
      <c r="Q106" s="522">
        <f>+balance!Q38*Inicio!$E$48</f>
        <v>0</v>
      </c>
    </row>
    <row r="107" spans="1:17" x14ac:dyDescent="0.2">
      <c r="A107" s="439"/>
      <c r="B107" s="435"/>
      <c r="C107" s="519"/>
      <c r="D107" s="519"/>
      <c r="E107" s="519"/>
      <c r="F107" s="519"/>
      <c r="G107" s="519"/>
      <c r="H107" s="519"/>
      <c r="I107" s="519"/>
      <c r="J107" s="519"/>
      <c r="K107" s="519"/>
      <c r="L107" s="519"/>
      <c r="M107" s="519"/>
      <c r="N107" s="519"/>
      <c r="O107" s="519"/>
      <c r="P107" s="519"/>
      <c r="Q107" s="520"/>
    </row>
    <row r="108" spans="1:17" x14ac:dyDescent="0.2">
      <c r="A108" s="451" t="s">
        <v>246</v>
      </c>
      <c r="B108" s="450"/>
      <c r="C108" s="523">
        <f>+C105-C106</f>
        <v>-34094.18913644625</v>
      </c>
      <c r="D108" s="523">
        <f t="shared" ref="D108:Q108" si="9">+D105-D106</f>
        <v>40000.744073028764</v>
      </c>
      <c r="E108" s="523">
        <f t="shared" si="9"/>
        <v>87656.683070381187</v>
      </c>
      <c r="F108" s="523">
        <f t="shared" si="9"/>
        <v>143489.31197997293</v>
      </c>
      <c r="G108" s="523">
        <f t="shared" si="9"/>
        <v>208591.19485048176</v>
      </c>
      <c r="H108" s="523">
        <f t="shared" si="9"/>
        <v>0</v>
      </c>
      <c r="I108" s="523">
        <f t="shared" si="9"/>
        <v>0</v>
      </c>
      <c r="J108" s="523">
        <f t="shared" si="9"/>
        <v>0</v>
      </c>
      <c r="K108" s="523">
        <f t="shared" si="9"/>
        <v>0</v>
      </c>
      <c r="L108" s="523">
        <f t="shared" si="9"/>
        <v>0</v>
      </c>
      <c r="M108" s="523">
        <f t="shared" si="9"/>
        <v>0</v>
      </c>
      <c r="N108" s="523">
        <f t="shared" si="9"/>
        <v>0</v>
      </c>
      <c r="O108" s="523">
        <f t="shared" si="9"/>
        <v>0</v>
      </c>
      <c r="P108" s="523">
        <f t="shared" si="9"/>
        <v>0</v>
      </c>
      <c r="Q108" s="524">
        <f t="shared" si="9"/>
        <v>0</v>
      </c>
    </row>
    <row r="109" spans="1:17" ht="13.5" thickBot="1" x14ac:dyDescent="0.25">
      <c r="A109" s="507"/>
      <c r="B109" s="508"/>
      <c r="C109" s="509"/>
      <c r="D109" s="455"/>
      <c r="E109" s="455"/>
      <c r="F109" s="455"/>
      <c r="G109" s="455"/>
      <c r="H109" s="455"/>
      <c r="I109" s="455"/>
      <c r="J109" s="455"/>
      <c r="K109" s="455"/>
      <c r="L109" s="455"/>
      <c r="M109" s="455"/>
      <c r="N109" s="455"/>
      <c r="O109" s="455"/>
      <c r="P109" s="455"/>
      <c r="Q109" s="456"/>
    </row>
    <row r="110" spans="1:17" ht="13.5" thickBot="1" x14ac:dyDescent="0.25">
      <c r="A110" s="685" t="s">
        <v>236</v>
      </c>
      <c r="B110" s="686"/>
      <c r="C110" s="686"/>
      <c r="D110" s="686"/>
      <c r="E110" s="686"/>
      <c r="F110" s="205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7"/>
    </row>
    <row r="111" spans="1:17" ht="13.5" thickBot="1" x14ac:dyDescent="0.25">
      <c r="A111" s="448" t="s">
        <v>259</v>
      </c>
      <c r="B111" s="392">
        <v>0</v>
      </c>
      <c r="C111" s="393">
        <v>1</v>
      </c>
      <c r="D111" s="392">
        <v>2</v>
      </c>
      <c r="E111" s="393">
        <v>3</v>
      </c>
      <c r="F111" s="249">
        <v>4</v>
      </c>
      <c r="G111" s="393">
        <v>5</v>
      </c>
      <c r="H111" s="392">
        <v>6</v>
      </c>
      <c r="I111" s="393">
        <v>7</v>
      </c>
      <c r="J111" s="392">
        <v>8</v>
      </c>
      <c r="K111" s="393">
        <v>9</v>
      </c>
      <c r="L111" s="392">
        <v>10</v>
      </c>
      <c r="M111" s="393">
        <v>11</v>
      </c>
      <c r="N111" s="392">
        <v>12</v>
      </c>
      <c r="O111" s="393">
        <v>13</v>
      </c>
      <c r="P111" s="392">
        <v>14</v>
      </c>
      <c r="Q111" s="392">
        <v>15</v>
      </c>
    </row>
    <row r="112" spans="1:17" x14ac:dyDescent="0.2">
      <c r="A112" s="460" t="s">
        <v>237</v>
      </c>
      <c r="B112" s="461"/>
      <c r="C112" s="462"/>
      <c r="D112" s="463"/>
      <c r="E112" s="463"/>
      <c r="F112" s="463"/>
      <c r="G112" s="463"/>
      <c r="H112" s="463"/>
      <c r="I112" s="463"/>
      <c r="J112" s="463"/>
      <c r="K112" s="463"/>
      <c r="L112" s="463"/>
      <c r="M112" s="463"/>
      <c r="N112" s="463"/>
      <c r="O112" s="463"/>
      <c r="P112" s="463"/>
      <c r="Q112" s="464"/>
    </row>
    <row r="113" spans="1:197" x14ac:dyDescent="0.2">
      <c r="A113" s="452" t="s">
        <v>238</v>
      </c>
      <c r="B113" s="442"/>
      <c r="C113" s="443"/>
      <c r="D113" s="444"/>
      <c r="E113" s="444"/>
      <c r="F113" s="444"/>
      <c r="G113" s="444"/>
      <c r="H113" s="444"/>
      <c r="I113" s="444"/>
      <c r="J113" s="444"/>
      <c r="K113" s="444"/>
      <c r="L113" s="444"/>
      <c r="M113" s="444"/>
      <c r="N113" s="444"/>
      <c r="O113" s="444"/>
      <c r="P113" s="444"/>
      <c r="Q113" s="445"/>
    </row>
    <row r="114" spans="1:197" x14ac:dyDescent="0.2">
      <c r="A114" s="440"/>
      <c r="B114" s="442"/>
      <c r="C114" s="443"/>
      <c r="D114" s="444"/>
      <c r="E114" s="444"/>
      <c r="F114" s="444"/>
      <c r="G114" s="444"/>
      <c r="H114" s="444"/>
      <c r="I114" s="444"/>
      <c r="J114" s="444"/>
      <c r="K114" s="444"/>
      <c r="L114" s="444"/>
      <c r="M114" s="444"/>
      <c r="N114" s="444"/>
      <c r="O114" s="444"/>
      <c r="P114" s="444"/>
      <c r="Q114" s="445"/>
    </row>
    <row r="115" spans="1:197" x14ac:dyDescent="0.2">
      <c r="A115" s="439" t="s">
        <v>402</v>
      </c>
      <c r="B115" s="442"/>
      <c r="C115" s="443"/>
      <c r="D115" s="444"/>
      <c r="E115" s="444"/>
      <c r="F115" s="444"/>
      <c r="G115" s="444"/>
      <c r="H115" s="444"/>
      <c r="I115" s="444"/>
      <c r="J115" s="444"/>
      <c r="K115" s="444"/>
      <c r="L115" s="444"/>
      <c r="M115" s="444"/>
      <c r="N115" s="444"/>
      <c r="O115" s="444"/>
      <c r="P115" s="444"/>
      <c r="Q115" s="445"/>
    </row>
    <row r="116" spans="1:197" hidden="1" x14ac:dyDescent="0.2">
      <c r="A116" s="440" t="s">
        <v>239</v>
      </c>
      <c r="B116" s="442" t="s">
        <v>1</v>
      </c>
      <c r="C116" s="400">
        <f>+'Estado de Resultado '!B11</f>
        <v>1747142.1285737599</v>
      </c>
      <c r="D116" s="400">
        <f>+'Estado de Resultado '!C11</f>
        <v>1929827.7900281039</v>
      </c>
      <c r="E116" s="400">
        <f>+'Estado de Resultado '!D11</f>
        <v>2061698.9811948063</v>
      </c>
      <c r="F116" s="400">
        <f>+'Estado de Resultado '!E11</f>
        <v>2202267.7654508762</v>
      </c>
      <c r="G116" s="400">
        <f>+'Estado de Resultado '!F11</f>
        <v>2370009.8160077082</v>
      </c>
      <c r="H116" s="400">
        <f>+'Estado de Resultado '!G11</f>
        <v>0</v>
      </c>
      <c r="I116" s="400">
        <f>+'Estado de Resultado '!H11</f>
        <v>0</v>
      </c>
      <c r="J116" s="400">
        <f>+'Estado de Resultado '!I11</f>
        <v>0</v>
      </c>
      <c r="K116" s="400">
        <f>+'Estado de Resultado '!J11</f>
        <v>0</v>
      </c>
      <c r="L116" s="400">
        <f>+'Estado de Resultado '!K11</f>
        <v>0</v>
      </c>
      <c r="M116" s="400">
        <f>+'Estado de Resultado '!L11</f>
        <v>0</v>
      </c>
      <c r="N116" s="400">
        <f>+'Estado de Resultado '!M11</f>
        <v>0</v>
      </c>
      <c r="O116" s="400">
        <f>+'Estado de Resultado '!N11</f>
        <v>0</v>
      </c>
      <c r="P116" s="400">
        <f>+'Estado de Resultado '!O11</f>
        <v>0</v>
      </c>
      <c r="Q116" s="401">
        <f>+'Estado de Resultado '!P11</f>
        <v>0</v>
      </c>
    </row>
    <row r="117" spans="1:197" hidden="1" x14ac:dyDescent="0.2">
      <c r="A117" s="440" t="s">
        <v>240</v>
      </c>
      <c r="B117" s="442" t="s">
        <v>1</v>
      </c>
      <c r="C117" s="400">
        <f>+balance!C11</f>
        <v>23802.867635555554</v>
      </c>
      <c r="D117" s="400">
        <f>+balance!D11</f>
        <v>27100.855320000002</v>
      </c>
      <c r="E117" s="400">
        <f>+balance!E11</f>
        <v>29404.428022199994</v>
      </c>
      <c r="F117" s="400">
        <f>+balance!F11</f>
        <v>31870.605856319995</v>
      </c>
      <c r="G117" s="400">
        <f>+balance!G11</f>
        <v>34858.475155349995</v>
      </c>
      <c r="H117" s="400">
        <f>+balance!H11</f>
        <v>0</v>
      </c>
      <c r="I117" s="400">
        <f>+balance!I11</f>
        <v>0</v>
      </c>
      <c r="J117" s="400">
        <f>+balance!J11</f>
        <v>0</v>
      </c>
      <c r="K117" s="400">
        <f>+balance!K11</f>
        <v>0</v>
      </c>
      <c r="L117" s="400">
        <f>+balance!L11</f>
        <v>0</v>
      </c>
      <c r="M117" s="400">
        <f>+balance!M11</f>
        <v>0</v>
      </c>
      <c r="N117" s="400">
        <f>+balance!N11</f>
        <v>0</v>
      </c>
      <c r="O117" s="400">
        <f>+balance!O11</f>
        <v>0</v>
      </c>
      <c r="P117" s="400">
        <f>+balance!P11</f>
        <v>0</v>
      </c>
      <c r="Q117" s="401">
        <f>+balance!Q11</f>
        <v>0</v>
      </c>
    </row>
    <row r="118" spans="1:197" ht="13.5" thickBot="1" x14ac:dyDescent="0.25">
      <c r="A118" s="454"/>
      <c r="B118" s="455"/>
      <c r="C118" s="455"/>
      <c r="D118" s="455"/>
      <c r="E118" s="455"/>
      <c r="F118" s="455"/>
      <c r="G118" s="455"/>
      <c r="H118" s="455"/>
      <c r="I118" s="455"/>
      <c r="J118" s="455"/>
      <c r="K118" s="455"/>
      <c r="L118" s="455"/>
      <c r="M118" s="455"/>
      <c r="N118" s="455"/>
      <c r="O118" s="455"/>
      <c r="P118" s="455"/>
      <c r="Q118" s="456"/>
    </row>
    <row r="119" spans="1:197" x14ac:dyDescent="0.2">
      <c r="A119" s="458" t="s">
        <v>246</v>
      </c>
      <c r="B119" s="459" t="s">
        <v>1</v>
      </c>
      <c r="C119" s="501">
        <f>IF(C117&gt;0,(IF(Inicio!$E$49&gt;=C111,(+C116/C117),0)),0)</f>
        <v>73.400489189964858</v>
      </c>
      <c r="D119" s="501">
        <f>IF(D117&gt;0,(IF(Inicio!$E$49&gt;=D111,(+D116/D117),0)),0)</f>
        <v>71.209110090481957</v>
      </c>
      <c r="E119" s="501">
        <f>IF(E117&gt;0,(IF(Inicio!$E$49&gt;=E111,(+E116/E117),0)),0)</f>
        <v>70.115255417933923</v>
      </c>
      <c r="F119" s="501">
        <f>IF(F117&gt;0,(IF(Inicio!$E$49&gt;=F111,(+F116/F117),0)),0)</f>
        <v>69.100279278630751</v>
      </c>
      <c r="G119" s="501">
        <f>IF(G117&gt;0,(IF(Inicio!$E$49&gt;=G111,(+G116/G117),0)),0)</f>
        <v>67.989486213769879</v>
      </c>
      <c r="H119" s="501">
        <f>IF(H117&gt;0,(IF(Inicio!$E$49&gt;=H111,(+H116/H117),0)),0)</f>
        <v>0</v>
      </c>
      <c r="I119" s="501">
        <f>IF(I117&gt;0,(IF(Inicio!$E$49&gt;=I111,(+I116/I117),0)),0)</f>
        <v>0</v>
      </c>
      <c r="J119" s="501">
        <f>IF(J117&gt;0,(IF(Inicio!$E$49&gt;=J111,(+J116/J117),0)),0)</f>
        <v>0</v>
      </c>
      <c r="K119" s="501">
        <f>IF(K117&gt;0,(IF(Inicio!$E$49&gt;=K111,(+K116/K117),0)),0)</f>
        <v>0</v>
      </c>
      <c r="L119" s="501">
        <f>IF(L117&gt;0,(IF(Inicio!$E$49&gt;=L111,(+L116/L117),0)),0)</f>
        <v>0</v>
      </c>
      <c r="M119" s="501">
        <f>IF(M117&gt;0,(IF(Inicio!$E$49&gt;=M111,(+M116/M117),0)),0)</f>
        <v>0</v>
      </c>
      <c r="N119" s="501">
        <f>IF(N117&gt;0,(IF(Inicio!$E$49&gt;=N111,(+N116/N117),0)),0)</f>
        <v>0</v>
      </c>
      <c r="O119" s="501">
        <f>IF(O117&gt;0,(IF(Inicio!$E$49&gt;=O111,(+O116/O117),0)),0)</f>
        <v>0</v>
      </c>
      <c r="P119" s="501">
        <f>IF(P117&gt;0,(IF(Inicio!$E$49&gt;=P111,(+P116/P117),0)),0)</f>
        <v>0</v>
      </c>
      <c r="Q119" s="502">
        <f>IF(Q117&gt;0,(IF(Inicio!$E$49&gt;=Q111,(+Q116/Q117),0)),0)</f>
        <v>0</v>
      </c>
    </row>
    <row r="120" spans="1:197" x14ac:dyDescent="0.2">
      <c r="A120" s="434"/>
      <c r="B120" s="437"/>
      <c r="C120" s="437"/>
      <c r="D120" s="437"/>
      <c r="E120" s="437"/>
      <c r="F120" s="437"/>
      <c r="G120" s="437"/>
      <c r="H120" s="437"/>
      <c r="I120" s="437"/>
      <c r="J120" s="437"/>
      <c r="K120" s="437"/>
      <c r="L120" s="437"/>
      <c r="M120" s="437"/>
      <c r="N120" s="437"/>
      <c r="O120" s="437"/>
      <c r="P120" s="437"/>
      <c r="Q120" s="438"/>
    </row>
    <row r="121" spans="1:197" x14ac:dyDescent="0.2">
      <c r="A121" s="439" t="s">
        <v>403</v>
      </c>
      <c r="B121" s="437"/>
      <c r="C121" s="437"/>
      <c r="D121" s="437"/>
      <c r="E121" s="437"/>
      <c r="F121" s="437"/>
      <c r="G121" s="437"/>
      <c r="H121" s="437"/>
      <c r="I121" s="437"/>
      <c r="J121" s="437"/>
      <c r="K121" s="437"/>
      <c r="L121" s="437"/>
      <c r="M121" s="437"/>
      <c r="N121" s="437"/>
      <c r="O121" s="437"/>
      <c r="P121" s="437"/>
      <c r="Q121" s="438"/>
    </row>
    <row r="122" spans="1:197" hidden="1" x14ac:dyDescent="0.2">
      <c r="A122" s="434" t="s">
        <v>404</v>
      </c>
      <c r="B122" s="437"/>
      <c r="C122" s="465">
        <f>+'presupuesto compras y ventas'!B46</f>
        <v>0</v>
      </c>
      <c r="D122" s="465">
        <f>+'presupuesto compras y ventas'!C46</f>
        <v>0</v>
      </c>
      <c r="E122" s="465">
        <f>+'presupuesto compras y ventas'!D46</f>
        <v>0</v>
      </c>
      <c r="F122" s="465">
        <f>+'presupuesto compras y ventas'!E46</f>
        <v>0</v>
      </c>
      <c r="G122" s="465">
        <f>+'presupuesto compras y ventas'!F46</f>
        <v>0</v>
      </c>
      <c r="H122" s="465">
        <f>+'presupuesto compras y ventas'!G46</f>
        <v>0</v>
      </c>
      <c r="I122" s="465">
        <f>+'presupuesto compras y ventas'!H46</f>
        <v>0</v>
      </c>
      <c r="J122" s="465">
        <f>+'presupuesto compras y ventas'!I46</f>
        <v>0</v>
      </c>
      <c r="K122" s="465">
        <f>+'presupuesto compras y ventas'!J46</f>
        <v>0</v>
      </c>
      <c r="L122" s="465">
        <f>+'presupuesto compras y ventas'!K46</f>
        <v>0</v>
      </c>
      <c r="M122" s="465">
        <f>+'presupuesto compras y ventas'!L46</f>
        <v>0</v>
      </c>
      <c r="N122" s="465">
        <f>+'presupuesto compras y ventas'!M46</f>
        <v>0</v>
      </c>
      <c r="O122" s="465">
        <f>+'presupuesto compras y ventas'!N46</f>
        <v>0</v>
      </c>
      <c r="P122" s="465">
        <f>+'presupuesto compras y ventas'!O46</f>
        <v>0</v>
      </c>
      <c r="Q122" s="466">
        <f>+'presupuesto compras y ventas'!P46</f>
        <v>0</v>
      </c>
    </row>
    <row r="123" spans="1:197" hidden="1" x14ac:dyDescent="0.2">
      <c r="A123" s="434" t="s">
        <v>254</v>
      </c>
      <c r="B123" s="437"/>
      <c r="C123" s="465">
        <f>+balance!C12</f>
        <v>0</v>
      </c>
      <c r="D123" s="465">
        <f>+balance!D12</f>
        <v>0</v>
      </c>
      <c r="E123" s="465">
        <f>+balance!E12</f>
        <v>0</v>
      </c>
      <c r="F123" s="465">
        <f>+balance!F12</f>
        <v>0</v>
      </c>
      <c r="G123" s="465">
        <f>+balance!G12</f>
        <v>0</v>
      </c>
      <c r="H123" s="465">
        <f>+balance!H12</f>
        <v>0</v>
      </c>
      <c r="I123" s="465">
        <f>+balance!I12</f>
        <v>0</v>
      </c>
      <c r="J123" s="465">
        <f>+balance!J12</f>
        <v>0</v>
      </c>
      <c r="K123" s="465">
        <f>+balance!K12</f>
        <v>0</v>
      </c>
      <c r="L123" s="465">
        <f>+balance!L12</f>
        <v>0</v>
      </c>
      <c r="M123" s="465">
        <f>+balance!M12</f>
        <v>0</v>
      </c>
      <c r="N123" s="465">
        <f>+balance!N12</f>
        <v>0</v>
      </c>
      <c r="O123" s="465">
        <f>+balance!O12</f>
        <v>0</v>
      </c>
      <c r="P123" s="465">
        <f>+balance!P12</f>
        <v>0</v>
      </c>
      <c r="Q123" s="466">
        <f>+balance!Q12</f>
        <v>0</v>
      </c>
    </row>
    <row r="124" spans="1:197" x14ac:dyDescent="0.2">
      <c r="A124" s="434"/>
      <c r="B124" s="437"/>
      <c r="C124" s="437"/>
      <c r="D124" s="437"/>
      <c r="E124" s="437"/>
      <c r="F124" s="437"/>
      <c r="G124" s="437"/>
      <c r="H124" s="437"/>
      <c r="I124" s="437"/>
      <c r="J124" s="437"/>
      <c r="K124" s="437"/>
      <c r="L124" s="437"/>
      <c r="M124" s="437"/>
      <c r="N124" s="437"/>
      <c r="O124" s="437"/>
      <c r="P124" s="437"/>
      <c r="Q124" s="438"/>
    </row>
    <row r="125" spans="1:197" x14ac:dyDescent="0.2">
      <c r="A125" s="431" t="s">
        <v>246</v>
      </c>
      <c r="B125" s="453"/>
      <c r="C125" s="503">
        <f>IF(C123&gt;0,(IF(Inicio!$E$49&gt;=C111,(+C122/C123),0)),0)</f>
        <v>0</v>
      </c>
      <c r="D125" s="503">
        <f>IF(D123&gt;0,(IF(Inicio!$E$49&gt;=D111,(+D122/D123),0)),0)</f>
        <v>0</v>
      </c>
      <c r="E125" s="503">
        <f>IF(E123&gt;0,(IF(Inicio!$E$49&gt;=E111,(+E122/E123),0)),0)</f>
        <v>0</v>
      </c>
      <c r="F125" s="503">
        <f>IF(F123&gt;0,(IF(Inicio!$E$49&gt;=F111,(+F122/F123),0)),0)</f>
        <v>0</v>
      </c>
      <c r="G125" s="503">
        <f>IF(G123&gt;0,(IF(Inicio!$E$49&gt;=G111,(+G122/G123),0)),0)</f>
        <v>0</v>
      </c>
      <c r="H125" s="503">
        <f>IF(H123&gt;0,(IF(Inicio!$E$49&gt;=H111,(+H122/H123),0)),0)</f>
        <v>0</v>
      </c>
      <c r="I125" s="503">
        <f>IF(I123&gt;0,(IF(Inicio!$E$49&gt;=I111,(+I122/I123),0)),0)</f>
        <v>0</v>
      </c>
      <c r="J125" s="503">
        <f>IF(J123&gt;0,(IF(Inicio!$E$49&gt;=J111,(+J122/J123),0)),0)</f>
        <v>0</v>
      </c>
      <c r="K125" s="503">
        <f>IF(K123&gt;0,(IF(Inicio!$E$49&gt;=K111,(+K122/K123),0)),0)</f>
        <v>0</v>
      </c>
      <c r="L125" s="503">
        <f>IF(L123&gt;0,(IF(Inicio!$E$49&gt;=L111,(+L122/L123),0)),0)</f>
        <v>0</v>
      </c>
      <c r="M125" s="503">
        <f>IF(M123&gt;0,(IF(Inicio!$E$49&gt;=M111,(+M122/M123),0)),0)</f>
        <v>0</v>
      </c>
      <c r="N125" s="503">
        <f>IF(N123&gt;0,(IF(Inicio!$E$49&gt;=N111,(+N122/N123),0)),0)</f>
        <v>0</v>
      </c>
      <c r="O125" s="503">
        <f>IF(O123&gt;0,(IF(Inicio!$E$49&gt;=O111,(+O122/O123),0)),0)</f>
        <v>0</v>
      </c>
      <c r="P125" s="503">
        <f>IF(P123&gt;0,(IF(Inicio!$E$49&gt;=P111,(+P122/P123),0)),0)</f>
        <v>0</v>
      </c>
      <c r="Q125" s="504">
        <f>IF(Q123&gt;0,(IF(Inicio!$E$49&gt;=Q111,(+Q122/Q123),0)),0)</f>
        <v>0</v>
      </c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  <c r="EK125" s="51"/>
      <c r="EL125" s="51"/>
      <c r="EM125" s="51"/>
      <c r="EN125" s="51"/>
      <c r="EO125" s="51"/>
      <c r="EP125" s="51"/>
      <c r="EQ125" s="51"/>
      <c r="ER125" s="51"/>
      <c r="ES125" s="51"/>
      <c r="ET125" s="51"/>
      <c r="EU125" s="51"/>
      <c r="EV125" s="51"/>
      <c r="EW125" s="51"/>
      <c r="EX125" s="51"/>
      <c r="EY125" s="51"/>
      <c r="EZ125" s="51"/>
      <c r="FA125" s="51"/>
      <c r="FB125" s="51"/>
      <c r="FC125" s="51"/>
      <c r="FD125" s="51"/>
      <c r="FE125" s="51"/>
      <c r="FF125" s="51"/>
      <c r="FG125" s="51"/>
      <c r="FH125" s="51"/>
      <c r="FI125" s="51"/>
      <c r="FJ125" s="51"/>
      <c r="FK125" s="51"/>
      <c r="FL125" s="51"/>
      <c r="FM125" s="51"/>
      <c r="FN125" s="51"/>
      <c r="FO125" s="51"/>
      <c r="FP125" s="51"/>
      <c r="FQ125" s="51"/>
      <c r="FR125" s="51"/>
      <c r="FS125" s="51"/>
      <c r="FT125" s="51"/>
      <c r="FU125" s="51"/>
      <c r="FV125" s="51"/>
      <c r="FW125" s="51"/>
      <c r="FX125" s="51"/>
      <c r="FY125" s="51"/>
      <c r="FZ125" s="51"/>
      <c r="GA125" s="51"/>
      <c r="GB125" s="51"/>
      <c r="GC125" s="51"/>
      <c r="GD125" s="51"/>
      <c r="GE125" s="51"/>
      <c r="GF125" s="51"/>
      <c r="GG125" s="51"/>
      <c r="GH125" s="51"/>
      <c r="GI125" s="51"/>
      <c r="GJ125" s="51"/>
      <c r="GK125" s="51"/>
      <c r="GL125" s="51"/>
      <c r="GM125" s="51"/>
      <c r="GN125" s="51"/>
      <c r="GO125" s="51"/>
    </row>
    <row r="126" spans="1:197" ht="13.5" thickBot="1" x14ac:dyDescent="0.25">
      <c r="A126" s="454"/>
      <c r="B126" s="455"/>
      <c r="C126" s="455"/>
      <c r="D126" s="455"/>
      <c r="E126" s="455"/>
      <c r="F126" s="455"/>
      <c r="G126" s="455"/>
      <c r="H126" s="455"/>
      <c r="I126" s="455"/>
      <c r="J126" s="455"/>
      <c r="K126" s="455"/>
      <c r="L126" s="455"/>
      <c r="M126" s="455"/>
      <c r="N126" s="455"/>
      <c r="O126" s="455"/>
      <c r="P126" s="455"/>
      <c r="Q126" s="456"/>
    </row>
    <row r="127" spans="1:197" x14ac:dyDescent="0.2">
      <c r="A127" s="457"/>
      <c r="B127" s="457"/>
      <c r="C127" s="457"/>
      <c r="D127" s="457"/>
      <c r="E127" s="457"/>
      <c r="F127" s="457"/>
      <c r="G127" s="457"/>
      <c r="H127" s="457"/>
      <c r="I127" s="457"/>
      <c r="J127" s="457"/>
      <c r="K127" s="457"/>
      <c r="L127" s="457"/>
      <c r="M127" s="457"/>
      <c r="N127" s="457"/>
      <c r="O127" s="457"/>
      <c r="P127" s="457"/>
      <c r="Q127" s="457"/>
    </row>
    <row r="128" spans="1:197" x14ac:dyDescent="0.2">
      <c r="A128" s="457"/>
      <c r="B128" s="457"/>
      <c r="C128" s="457"/>
      <c r="D128" s="457"/>
      <c r="E128" s="457"/>
      <c r="F128" s="457"/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57"/>
    </row>
    <row r="129" spans="1:17" x14ac:dyDescent="0.2">
      <c r="A129" s="457"/>
      <c r="B129" s="457"/>
      <c r="C129" s="457"/>
      <c r="D129" s="457"/>
      <c r="E129" s="457"/>
      <c r="F129" s="457"/>
      <c r="G129" s="457"/>
      <c r="H129" s="457"/>
      <c r="I129" s="457"/>
      <c r="J129" s="457"/>
      <c r="K129" s="457"/>
      <c r="L129" s="457"/>
      <c r="M129" s="457"/>
      <c r="N129" s="457"/>
      <c r="O129" s="457"/>
      <c r="P129" s="457"/>
      <c r="Q129" s="457"/>
    </row>
    <row r="130" spans="1:17" x14ac:dyDescent="0.2">
      <c r="A130" s="457"/>
      <c r="B130" s="457"/>
      <c r="C130" s="457"/>
      <c r="D130" s="457"/>
      <c r="E130" s="457"/>
      <c r="F130" s="457"/>
      <c r="G130" s="457"/>
      <c r="H130" s="457"/>
      <c r="I130" s="457"/>
      <c r="J130" s="457"/>
      <c r="K130" s="457"/>
      <c r="L130" s="457"/>
      <c r="M130" s="457"/>
      <c r="N130" s="457"/>
      <c r="O130" s="457"/>
      <c r="P130" s="457"/>
      <c r="Q130" s="457"/>
    </row>
    <row r="131" spans="1:17" x14ac:dyDescent="0.2">
      <c r="A131" s="167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</row>
    <row r="132" spans="1:17" x14ac:dyDescent="0.2">
      <c r="A132" s="167"/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</row>
    <row r="133" spans="1:17" x14ac:dyDescent="0.2">
      <c r="A133" s="167"/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</row>
    <row r="134" spans="1:17" x14ac:dyDescent="0.2">
      <c r="A134" s="167"/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</row>
    <row r="135" spans="1:17" x14ac:dyDescent="0.2">
      <c r="A135" s="167"/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</row>
    <row r="136" spans="1:17" x14ac:dyDescent="0.2">
      <c r="A136" s="167"/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</row>
    <row r="137" spans="1:17" x14ac:dyDescent="0.2">
      <c r="A137" s="167"/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</row>
    <row r="138" spans="1:17" x14ac:dyDescent="0.2">
      <c r="A138" s="167"/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</row>
    <row r="139" spans="1:17" x14ac:dyDescent="0.2">
      <c r="A139" s="167"/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</row>
    <row r="140" spans="1:17" x14ac:dyDescent="0.2">
      <c r="A140" s="167"/>
      <c r="B140" s="167"/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</row>
    <row r="141" spans="1:17" x14ac:dyDescent="0.2">
      <c r="A141" s="167"/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</row>
    <row r="142" spans="1:17" x14ac:dyDescent="0.2">
      <c r="A142" s="167"/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</row>
    <row r="143" spans="1:17" x14ac:dyDescent="0.2">
      <c r="A143" s="167"/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</row>
    <row r="144" spans="1:17" x14ac:dyDescent="0.2">
      <c r="A144" s="167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</row>
    <row r="145" spans="1:17" x14ac:dyDescent="0.2">
      <c r="A145" s="167"/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</row>
    <row r="146" spans="1:17" x14ac:dyDescent="0.2">
      <c r="A146" s="167"/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</row>
    <row r="147" spans="1:17" x14ac:dyDescent="0.2">
      <c r="A147" s="167"/>
      <c r="B147" s="167"/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</row>
    <row r="148" spans="1:17" x14ac:dyDescent="0.2">
      <c r="A148" s="167"/>
      <c r="B148" s="167"/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</row>
    <row r="149" spans="1:17" x14ac:dyDescent="0.2">
      <c r="A149" s="167"/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</row>
    <row r="150" spans="1:17" x14ac:dyDescent="0.2">
      <c r="A150" s="167"/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</row>
    <row r="151" spans="1:17" x14ac:dyDescent="0.2">
      <c r="A151" s="167"/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</row>
    <row r="152" spans="1:17" x14ac:dyDescent="0.2">
      <c r="A152" s="167"/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</row>
    <row r="153" spans="1:17" x14ac:dyDescent="0.2">
      <c r="A153" s="167"/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</row>
    <row r="154" spans="1:17" x14ac:dyDescent="0.2">
      <c r="A154" s="167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</row>
    <row r="155" spans="1:17" x14ac:dyDescent="0.2">
      <c r="A155" s="167"/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</row>
    <row r="156" spans="1:17" x14ac:dyDescent="0.2">
      <c r="A156" s="167"/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</row>
    <row r="157" spans="1:17" x14ac:dyDescent="0.2">
      <c r="A157" s="167"/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</row>
    <row r="158" spans="1:17" x14ac:dyDescent="0.2">
      <c r="A158" s="167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</row>
    <row r="159" spans="1:17" x14ac:dyDescent="0.2">
      <c r="A159" s="167"/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</row>
    <row r="160" spans="1:17" x14ac:dyDescent="0.2">
      <c r="A160" s="167"/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</row>
    <row r="161" spans="1:17" x14ac:dyDescent="0.2">
      <c r="A161" s="167"/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</row>
    <row r="162" spans="1:17" x14ac:dyDescent="0.2">
      <c r="A162" s="167"/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</row>
  </sheetData>
  <sheetProtection password="F88E" sheet="1" objects="1" scenarios="1"/>
  <mergeCells count="7">
    <mergeCell ref="A1:L1"/>
    <mergeCell ref="A2:L2"/>
    <mergeCell ref="A3:L3"/>
    <mergeCell ref="A110:E110"/>
    <mergeCell ref="A57:E57"/>
    <mergeCell ref="A6:E6"/>
    <mergeCell ref="A37:E37"/>
  </mergeCells>
  <phoneticPr fontId="11" type="noConversion"/>
  <printOptions horizontalCentered="1" verticalCentered="1"/>
  <pageMargins left="0.19685039370078741" right="0.19685039370078741" top="0.98425196850393704" bottom="0.98425196850393704" header="0" footer="0"/>
  <pageSetup scale="55" orientation="landscape" horizontalDpi="120" verticalDpi="144" r:id="rId1"/>
  <headerFooter alignWithMargins="0"/>
  <rowBreaks count="1" manualBreakCount="1">
    <brk id="5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78" r:id="rId4" name="Button 18">
              <controlPr locked="0" defaultSize="0" autoFill="0" autoPict="0" macro="[0]!Módulo5.INICI5">
                <anchor moveWithCells="1" sizeWithCells="1">
                  <from>
                    <xdr:col>0</xdr:col>
                    <xdr:colOff>790575</xdr:colOff>
                    <xdr:row>3</xdr:row>
                    <xdr:rowOff>0</xdr:rowOff>
                  </from>
                  <to>
                    <xdr:col>1</xdr:col>
                    <xdr:colOff>723900</xdr:colOff>
                    <xdr:row>4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autoPageBreaks="0"/>
  </sheetPr>
  <dimension ref="A1:AP168"/>
  <sheetViews>
    <sheetView showGridLines="0" topLeftCell="A67" zoomScale="90" zoomScaleNormal="90" workbookViewId="0">
      <selection activeCell="B17" sqref="B17"/>
    </sheetView>
  </sheetViews>
  <sheetFormatPr baseColWidth="10" defaultRowHeight="12.75" x14ac:dyDescent="0.2"/>
  <cols>
    <col min="1" max="1" width="36.140625" style="26" bestFit="1" customWidth="1"/>
    <col min="2" max="16" width="13.7109375" style="26" customWidth="1"/>
    <col min="17" max="16384" width="11.42578125" style="26"/>
  </cols>
  <sheetData>
    <row r="1" spans="1:42" ht="18.2" customHeight="1" x14ac:dyDescent="0.2">
      <c r="A1" s="657" t="str">
        <f>Inicio!D41</f>
        <v>PREFACTIBILIDAD PARA LA CREACIÓN DE UN PRODUCTO; PARA LA FABRICACION DE BLOQUE CON COMPONENTE DE MATERIAL PET</v>
      </c>
      <c r="B1" s="657"/>
      <c r="C1" s="657"/>
      <c r="D1" s="657"/>
      <c r="E1" s="657"/>
      <c r="F1" s="657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42" ht="20.25" x14ac:dyDescent="0.2">
      <c r="A2" s="657" t="s">
        <v>264</v>
      </c>
      <c r="B2" s="657"/>
      <c r="C2" s="657"/>
      <c r="D2" s="657"/>
      <c r="E2" s="657"/>
      <c r="F2" s="657"/>
      <c r="G2" s="655"/>
      <c r="H2" s="655"/>
      <c r="I2" s="655"/>
      <c r="J2" s="655"/>
      <c r="K2" s="655"/>
      <c r="L2" s="655"/>
      <c r="M2" s="655"/>
      <c r="N2" s="655"/>
      <c r="O2" s="655"/>
      <c r="P2" s="655"/>
    </row>
    <row r="3" spans="1:42" ht="20.25" x14ac:dyDescent="0.2">
      <c r="A3" s="657" t="str">
        <f>IF(Inicio!$E$51="Años","En Años","En Meses")</f>
        <v>En Años</v>
      </c>
      <c r="B3" s="657"/>
      <c r="C3" s="657"/>
      <c r="D3" s="657"/>
      <c r="E3" s="657"/>
      <c r="F3" s="657"/>
      <c r="G3" s="48" t="s">
        <v>1</v>
      </c>
      <c r="H3" s="48"/>
      <c r="I3" s="48"/>
      <c r="J3" s="48"/>
      <c r="K3" s="48"/>
      <c r="L3" s="48"/>
      <c r="M3" s="655"/>
      <c r="N3" s="655"/>
      <c r="O3" s="655"/>
      <c r="P3" s="655"/>
    </row>
    <row r="4" spans="1:42" ht="18.75" thickBot="1" x14ac:dyDescent="0.25">
      <c r="A4" s="658" t="s">
        <v>276</v>
      </c>
      <c r="B4" s="658"/>
      <c r="C4" s="658"/>
      <c r="D4" s="658"/>
      <c r="E4" s="658"/>
      <c r="F4" s="658"/>
      <c r="G4" s="48"/>
      <c r="H4" s="48"/>
      <c r="I4" s="48"/>
      <c r="J4" s="48"/>
      <c r="K4" s="48"/>
      <c r="L4" s="48"/>
      <c r="M4" s="82"/>
      <c r="N4" s="82"/>
      <c r="O4" s="82"/>
      <c r="P4" s="82"/>
    </row>
    <row r="5" spans="1:42" ht="13.5" thickBot="1" x14ac:dyDescent="0.25">
      <c r="A5" s="22" t="s">
        <v>4</v>
      </c>
      <c r="B5" s="23">
        <v>1</v>
      </c>
      <c r="C5" s="23">
        <v>2</v>
      </c>
      <c r="D5" s="23">
        <v>3</v>
      </c>
      <c r="E5" s="23">
        <v>4</v>
      </c>
      <c r="F5" s="23">
        <v>5</v>
      </c>
      <c r="G5" s="23">
        <v>6</v>
      </c>
      <c r="H5" s="23">
        <v>7</v>
      </c>
      <c r="I5" s="23">
        <v>8</v>
      </c>
      <c r="J5" s="23">
        <v>9</v>
      </c>
      <c r="K5" s="23">
        <v>10</v>
      </c>
      <c r="L5" s="23">
        <v>11</v>
      </c>
      <c r="M5" s="23">
        <v>12</v>
      </c>
      <c r="N5" s="23">
        <v>13</v>
      </c>
      <c r="O5" s="23">
        <v>14</v>
      </c>
      <c r="P5" s="24">
        <v>15</v>
      </c>
    </row>
    <row r="6" spans="1:42" x14ac:dyDescent="0.2">
      <c r="A6" s="94" t="s">
        <v>124</v>
      </c>
      <c r="B6" s="95">
        <f>IF(B5&lt;=Inicio!$E$49,(((B36*$B$12)+(B37*$B$13)+(B38*$B$14))),0)</f>
        <v>1224147.4783999999</v>
      </c>
      <c r="C6" s="95">
        <f>IF(C5&lt;=Inicio!$E$49,(((C36*$B$12)+(C37*$B$13)+(C38*$B$14))),0)</f>
        <v>1393758.2736</v>
      </c>
      <c r="D6" s="95">
        <f>IF(D5&lt;=Inicio!$E$49,(((D36*$B$12)+(D37*$B$13)+(D38*$B$14))),0)</f>
        <v>1512227.7268559998</v>
      </c>
      <c r="E6" s="95">
        <f>IF(E5&lt;=Inicio!$E$49,(((E36*$B$12)+(E37*$B$13)+(E38*$B$14))),0)</f>
        <v>1639059.7297535997</v>
      </c>
      <c r="F6" s="95">
        <f>IF(F5&lt;=Inicio!$E$49,(((F36*$B$12)+(F37*$B$13)+(F38*$B$14))),0)</f>
        <v>1792721.5794179996</v>
      </c>
      <c r="G6" s="95">
        <f>IF(G5&lt;=Inicio!$E$49,(((G36*$B$12)+(G37*$B$13)+(G38*$B$14))),0)</f>
        <v>0</v>
      </c>
      <c r="H6" s="95">
        <f>IF(H5&lt;=Inicio!$E$49,(((H36*$B$12)+(H37*$B$13)+(H38*$B$14))),0)</f>
        <v>0</v>
      </c>
      <c r="I6" s="95">
        <f>IF(I5&lt;=Inicio!$E$49,(((I36*$B$12)+(I37*$B$13)+(I38*$B$14))),0)</f>
        <v>0</v>
      </c>
      <c r="J6" s="95">
        <f>IF(J5&lt;=Inicio!$E$49,(((J36*$B$12)+(J37*$B$13)+(J38*$B$14))),0)</f>
        <v>0</v>
      </c>
      <c r="K6" s="95">
        <f>IF(K5&lt;=Inicio!$E$49,(((K36*$B$12)+(K37*$B$13)+(K38*$B$14))),0)</f>
        <v>0</v>
      </c>
      <c r="L6" s="95">
        <f>IF(L5&lt;=Inicio!$E$49,(((L36*$B$12)+(L37*$B$13)+(L38*$B$14))),0)</f>
        <v>0</v>
      </c>
      <c r="M6" s="95">
        <f>IF(M5&lt;=Inicio!$E$49,(((M36*$B$12)+(M37*$B$13)+(M38*$B$14))),0)</f>
        <v>0</v>
      </c>
      <c r="N6" s="95">
        <f>IF(N5&lt;=Inicio!$E$49,(((N36*$B$12)+(N37*$B$13)+(N38*$B$14))),0)</f>
        <v>0</v>
      </c>
      <c r="O6" s="95">
        <f>IF(O5&lt;=Inicio!$E$49,(((O36*$B$12)+(O37*$B$13)+(O38*$B$14))),0)</f>
        <v>0</v>
      </c>
      <c r="P6" s="96">
        <f>IF(P5&lt;=Inicio!$E$49,(((P36*$B$12)+(P37*$B$13)+(P38*$B$14))),0)</f>
        <v>0</v>
      </c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x14ac:dyDescent="0.2">
      <c r="A7" s="94" t="s">
        <v>125</v>
      </c>
      <c r="B7" s="93">
        <f>IF(B5&lt;=Inicio!$E$49,+'gastos personal'!C81,0)</f>
        <v>387394.65017376002</v>
      </c>
      <c r="C7" s="93">
        <f>IF(C5&lt;=Inicio!$E$49,+'gastos personal'!D81,0)</f>
        <v>397079.51642810396</v>
      </c>
      <c r="D7" s="93">
        <f>IF(D5&lt;=Inicio!$E$49,+'gastos personal'!E81,0)</f>
        <v>407006.50433880655</v>
      </c>
      <c r="E7" s="93">
        <f>IF(E5&lt;=Inicio!$E$49,+'gastos personal'!F81,0)</f>
        <v>417181.66694727668</v>
      </c>
      <c r="F7" s="93">
        <f>IF(F5&lt;=Inicio!$E$49,+'gastos personal'!G81,0)</f>
        <v>427611.20862095867</v>
      </c>
      <c r="G7" s="93">
        <f>IF(G5&lt;=Inicio!$E$49,+'gastos personal'!H81,0)</f>
        <v>0</v>
      </c>
      <c r="H7" s="93">
        <f>IF(H5&lt;=Inicio!$E$49,+'gastos personal'!I81,0)</f>
        <v>0</v>
      </c>
      <c r="I7" s="93">
        <f>IF(I5&lt;=Inicio!$E$49,+'gastos personal'!J81,0)</f>
        <v>0</v>
      </c>
      <c r="J7" s="93">
        <f>IF(J5&lt;=Inicio!$E$49,+'gastos personal'!K81,0)</f>
        <v>0</v>
      </c>
      <c r="K7" s="93">
        <f>IF(K5&lt;=Inicio!$E$49,+'gastos personal'!L81,0)</f>
        <v>0</v>
      </c>
      <c r="L7" s="93">
        <f>IF(L5&lt;=Inicio!$E$49,+'gastos personal'!M81,0)</f>
        <v>0</v>
      </c>
      <c r="M7" s="93">
        <f>IF(M5&lt;=Inicio!$E$49,+'gastos personal'!N81,0)</f>
        <v>0</v>
      </c>
      <c r="N7" s="93">
        <f>IF(N5&lt;=Inicio!$E$49,+'gastos personal'!O81,0)</f>
        <v>0</v>
      </c>
      <c r="O7" s="93">
        <f>IF(O5&lt;=Inicio!$E$49,+'gastos personal'!P81,0)</f>
        <v>0</v>
      </c>
      <c r="P7" s="98">
        <f>IF(P5&lt;=Inicio!$E$49,+'gastos personal'!Q81,0)</f>
        <v>0</v>
      </c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ht="13.5" thickBot="1" x14ac:dyDescent="0.25">
      <c r="A8" s="94" t="s">
        <v>128</v>
      </c>
      <c r="B8" s="93">
        <f>IF(B5&lt;=Inicio!$E$49,+'gastos generales'!B68,0)</f>
        <v>135600</v>
      </c>
      <c r="C8" s="93">
        <f>IF(C5&lt;=Inicio!$E$49,+'gastos generales'!C68,0)</f>
        <v>138990</v>
      </c>
      <c r="D8" s="93">
        <f>IF(D5&lt;=Inicio!$E$49,+'gastos generales'!D68,0)</f>
        <v>142464.75</v>
      </c>
      <c r="E8" s="93">
        <f>IF(E5&lt;=Inicio!$E$49,+'gastos generales'!E68,0)</f>
        <v>146026.36874999999</v>
      </c>
      <c r="F8" s="93">
        <f>IF(F5&lt;=Inicio!$E$49,+'gastos generales'!F68,0)</f>
        <v>149677.02796875002</v>
      </c>
      <c r="G8" s="93">
        <f>IF(G5&lt;=Inicio!$E$49,+'gastos generales'!G68,0)</f>
        <v>0</v>
      </c>
      <c r="H8" s="93">
        <f>IF(H5&lt;=Inicio!$E$49,+'gastos generales'!H68,0)</f>
        <v>0</v>
      </c>
      <c r="I8" s="93">
        <f>IF(I5&lt;=Inicio!$E$49,+'gastos generales'!I68,0)</f>
        <v>0</v>
      </c>
      <c r="J8" s="93">
        <f>IF(J5&lt;=Inicio!$E$49,+'gastos generales'!J68,0)</f>
        <v>0</v>
      </c>
      <c r="K8" s="93">
        <f>IF(K5&lt;=Inicio!$E$49,+'gastos generales'!K68,0)</f>
        <v>0</v>
      </c>
      <c r="L8" s="93">
        <f>IF(L5&lt;=Inicio!$E$49,+'gastos generales'!L68,0)</f>
        <v>0</v>
      </c>
      <c r="M8" s="93">
        <f>IF(M5&lt;=Inicio!$E$49,+'gastos generales'!M68,0)</f>
        <v>0</v>
      </c>
      <c r="N8" s="93">
        <f>IF(N5&lt;=Inicio!$E$49,+'gastos generales'!N68,0)</f>
        <v>0</v>
      </c>
      <c r="O8" s="93">
        <f>IF(O5&lt;=Inicio!$E$49,+'gastos generales'!O68,0)</f>
        <v>0</v>
      </c>
      <c r="P8" s="98">
        <f>IF(P5&lt;=Inicio!$E$49,+'gastos generales'!P68,0)</f>
        <v>0</v>
      </c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</row>
    <row r="9" spans="1:42" ht="13.5" thickBot="1" x14ac:dyDescent="0.25">
      <c r="A9" s="99" t="s">
        <v>126</v>
      </c>
      <c r="B9" s="100">
        <f t="shared" ref="B9:P9" si="0">SUM(B6:B8)</f>
        <v>1747142.1285737599</v>
      </c>
      <c r="C9" s="101">
        <f t="shared" si="0"/>
        <v>1929827.7900281039</v>
      </c>
      <c r="D9" s="101">
        <f t="shared" si="0"/>
        <v>2061698.9811948063</v>
      </c>
      <c r="E9" s="101">
        <f t="shared" si="0"/>
        <v>2202267.7654508762</v>
      </c>
      <c r="F9" s="101">
        <f t="shared" si="0"/>
        <v>2370009.8160077082</v>
      </c>
      <c r="G9" s="101">
        <f t="shared" si="0"/>
        <v>0</v>
      </c>
      <c r="H9" s="101">
        <f t="shared" si="0"/>
        <v>0</v>
      </c>
      <c r="I9" s="101">
        <f t="shared" si="0"/>
        <v>0</v>
      </c>
      <c r="J9" s="101">
        <f t="shared" si="0"/>
        <v>0</v>
      </c>
      <c r="K9" s="101">
        <f t="shared" si="0"/>
        <v>0</v>
      </c>
      <c r="L9" s="101">
        <f t="shared" si="0"/>
        <v>0</v>
      </c>
      <c r="M9" s="101">
        <f t="shared" si="0"/>
        <v>0</v>
      </c>
      <c r="N9" s="101">
        <f t="shared" si="0"/>
        <v>0</v>
      </c>
      <c r="O9" s="101">
        <f t="shared" si="0"/>
        <v>0</v>
      </c>
      <c r="P9" s="102">
        <f t="shared" si="0"/>
        <v>0</v>
      </c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</row>
    <row r="10" spans="1:42" ht="13.5" thickBot="1" x14ac:dyDescent="0.25">
      <c r="A10" s="103" t="s">
        <v>275</v>
      </c>
      <c r="B10" s="104">
        <f>IF(B5&lt;=Inicio!$E$49,(+B9/B39),0)</f>
        <v>0.71789756232740631</v>
      </c>
      <c r="C10" s="104">
        <f>IF(C5&lt;=Inicio!$E$49,(+C9/C39),0)</f>
        <v>0.69646465730163065</v>
      </c>
      <c r="D10" s="104">
        <f>IF(D5&lt;=Inicio!$E$49,(+D9/D39),0)</f>
        <v>0.68576615090707038</v>
      </c>
      <c r="E10" s="104">
        <f>IF(E5&lt;=Inicio!$E$49,(+E9/E39),0)</f>
        <v>0.67583912038905236</v>
      </c>
      <c r="F10" s="104">
        <f>IF(F5&lt;=Inicio!$E$49,(+F9/F39),0)</f>
        <v>0.66497494710745486</v>
      </c>
      <c r="G10" s="104">
        <f>IF(G5&lt;=Inicio!$E$49,(+G9/G39),0)</f>
        <v>0</v>
      </c>
      <c r="H10" s="104">
        <f>IF(H5&lt;=Inicio!$E$49,(+H9/H39),0)</f>
        <v>0</v>
      </c>
      <c r="I10" s="104">
        <f>IF(I5&lt;=Inicio!$E$49,(+I9/I39),0)</f>
        <v>0</v>
      </c>
      <c r="J10" s="104">
        <f>IF(J5&lt;=Inicio!$E$49,(+J9/J39),0)</f>
        <v>0</v>
      </c>
      <c r="K10" s="104">
        <f>IF(K5&lt;=Inicio!$E$49,(+K9/K39),0)</f>
        <v>0</v>
      </c>
      <c r="L10" s="104">
        <f>IF(L5&lt;=Inicio!$E$49,(+L9/L39),0)</f>
        <v>0</v>
      </c>
      <c r="M10" s="104">
        <f>IF(M5&lt;=Inicio!$E$49,(+M9/M39),0)</f>
        <v>0</v>
      </c>
      <c r="N10" s="104">
        <f>IF(N5&lt;=Inicio!$E$49,(+N9/N39),0)</f>
        <v>0</v>
      </c>
      <c r="O10" s="104">
        <f>IF(O5&lt;=Inicio!$E$49,(+O9/O39),0)</f>
        <v>0</v>
      </c>
      <c r="P10" s="104">
        <f>IF(P5&lt;=Inicio!$E$49,(+P9/P39),0)</f>
        <v>0</v>
      </c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</row>
    <row r="11" spans="1:42" ht="13.5" thickBot="1" x14ac:dyDescent="0.25">
      <c r="A11" s="105" t="s">
        <v>267</v>
      </c>
      <c r="B11" s="106">
        <f>IF(Inicio!$E$49&gt;=B5,(+B6/B39),0)</f>
        <v>0.503</v>
      </c>
      <c r="C11" s="106">
        <f>IF(Inicio!$E$49&gt;=C5,(+C6/C39),0)</f>
        <v>0.503</v>
      </c>
      <c r="D11" s="106">
        <f>IF(Inicio!$E$49&gt;=D5,(+D6/D39),0)</f>
        <v>0.503</v>
      </c>
      <c r="E11" s="106">
        <f>IF(Inicio!$E$49&gt;=E5,(+E6/E39),0)</f>
        <v>0.503</v>
      </c>
      <c r="F11" s="106">
        <f>IF(Inicio!$E$49&gt;=F5,(+F6/F39),0)</f>
        <v>0.503</v>
      </c>
      <c r="G11" s="106">
        <f>IF(Inicio!$E$49&gt;=G5,(+G6/G39),0)</f>
        <v>0</v>
      </c>
      <c r="H11" s="106">
        <f>IF(Inicio!$E$49&gt;=H5,(+H6/H39),0)</f>
        <v>0</v>
      </c>
      <c r="I11" s="106">
        <f>IF(Inicio!$E$49&gt;=I5,(+I6/I39),0)</f>
        <v>0</v>
      </c>
      <c r="J11" s="106">
        <f>IF(Inicio!$E$49&gt;=J5,(+J6/J39),0)</f>
        <v>0</v>
      </c>
      <c r="K11" s="106">
        <f>IF(Inicio!$E$49&gt;=K5,(+K6/K39),0)</f>
        <v>0</v>
      </c>
      <c r="L11" s="106">
        <f>IF(Inicio!$E$49&gt;=L5,(+L6/L39),0)</f>
        <v>0</v>
      </c>
      <c r="M11" s="106">
        <f>IF(Inicio!$E$49&gt;=M5,(+M6/M39),0)</f>
        <v>0</v>
      </c>
      <c r="N11" s="106">
        <f>IF(Inicio!$E$49&gt;=N5,(+N6/N39),0)</f>
        <v>0</v>
      </c>
      <c r="O11" s="106">
        <f>IF(Inicio!$E$49&gt;=O5,(+O6/O39),0)</f>
        <v>0</v>
      </c>
      <c r="P11" s="107">
        <f>IF(Inicio!$E$49&gt;=P5,(+P6/P39),0)</f>
        <v>0</v>
      </c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</row>
    <row r="12" spans="1:42" ht="13.5" thickBot="1" x14ac:dyDescent="0.25">
      <c r="A12" s="105" t="s">
        <v>190</v>
      </c>
      <c r="B12" s="108">
        <f>Inicio!D61</f>
        <v>0.503</v>
      </c>
      <c r="C12" s="109" t="s">
        <v>1</v>
      </c>
      <c r="D12" s="109" t="s">
        <v>1</v>
      </c>
      <c r="E12" s="109" t="s">
        <v>1</v>
      </c>
      <c r="F12" s="109" t="s">
        <v>1</v>
      </c>
      <c r="G12" s="109" t="s">
        <v>1</v>
      </c>
      <c r="H12" s="110" t="s">
        <v>1</v>
      </c>
      <c r="I12" s="110" t="s">
        <v>1</v>
      </c>
      <c r="J12" s="110" t="s">
        <v>1</v>
      </c>
      <c r="K12" s="110" t="s">
        <v>1</v>
      </c>
      <c r="L12" s="110" t="s">
        <v>1</v>
      </c>
      <c r="M12" s="110" t="s">
        <v>1</v>
      </c>
      <c r="N12" s="110" t="s">
        <v>1</v>
      </c>
      <c r="O12" s="110" t="s">
        <v>1</v>
      </c>
      <c r="P12" s="110" t="s">
        <v>1</v>
      </c>
      <c r="Q12" s="97" t="s">
        <v>1</v>
      </c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</row>
    <row r="13" spans="1:42" ht="13.5" thickBot="1" x14ac:dyDescent="0.25">
      <c r="A13" s="105" t="s">
        <v>191</v>
      </c>
      <c r="B13" s="111">
        <f>Inicio!E61</f>
        <v>0</v>
      </c>
      <c r="C13" s="97"/>
      <c r="D13" s="97"/>
      <c r="E13" s="97"/>
      <c r="F13" s="112"/>
      <c r="G13" s="112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</row>
    <row r="14" spans="1:42" ht="13.5" thickBot="1" x14ac:dyDescent="0.25">
      <c r="A14" s="113" t="s">
        <v>192</v>
      </c>
      <c r="B14" s="104">
        <f>Inicio!F61</f>
        <v>0</v>
      </c>
      <c r="C14" s="112"/>
      <c r="D14" s="112"/>
      <c r="E14" s="112"/>
      <c r="F14" s="112"/>
      <c r="G14" s="112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</row>
    <row r="15" spans="1:42" ht="13.5" thickBot="1" x14ac:dyDescent="0.25">
      <c r="A15" s="114" t="s">
        <v>4</v>
      </c>
      <c r="B15" s="115">
        <v>1</v>
      </c>
      <c r="C15" s="115">
        <v>2</v>
      </c>
      <c r="D15" s="115">
        <v>3</v>
      </c>
      <c r="E15" s="115">
        <v>4</v>
      </c>
      <c r="F15" s="115">
        <v>5</v>
      </c>
      <c r="G15" s="115">
        <v>6</v>
      </c>
      <c r="H15" s="115">
        <v>7</v>
      </c>
      <c r="I15" s="115">
        <v>8</v>
      </c>
      <c r="J15" s="115">
        <v>9</v>
      </c>
      <c r="K15" s="115">
        <v>10</v>
      </c>
      <c r="L15" s="115">
        <v>11</v>
      </c>
      <c r="M15" s="115">
        <v>12</v>
      </c>
      <c r="N15" s="115">
        <v>13</v>
      </c>
      <c r="O15" s="115">
        <v>14</v>
      </c>
      <c r="P15" s="116">
        <v>15</v>
      </c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</row>
    <row r="16" spans="1:42" x14ac:dyDescent="0.2">
      <c r="A16" s="113" t="s">
        <v>51</v>
      </c>
      <c r="B16" s="470"/>
      <c r="C16" s="470"/>
      <c r="D16" s="470"/>
      <c r="E16" s="470"/>
      <c r="F16" s="470"/>
      <c r="G16" s="470"/>
      <c r="H16" s="470"/>
      <c r="I16" s="470"/>
      <c r="J16" s="470"/>
      <c r="K16" s="470"/>
      <c r="L16" s="470"/>
      <c r="M16" s="470"/>
      <c r="N16" s="470"/>
      <c r="O16" s="470"/>
      <c r="P16" s="471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</row>
    <row r="17" spans="1:42" x14ac:dyDescent="0.2">
      <c r="A17" s="94" t="str">
        <f>Inicio!C70</f>
        <v>Bloque de cemento PET</v>
      </c>
      <c r="B17" s="93">
        <f>Inicio!D70*Inicio!F70</f>
        <v>730400</v>
      </c>
      <c r="C17" s="93">
        <f>IF(Inicio!$E$49&gt;=$C$15,(IF(Inicio!$E$51="AÑOS",(IF($B17&gt;0,IF(C$5&lt;=Inicio!$E$49,+(C$22)*$B$22,0),0)),$B$17)),0)</f>
        <v>792000</v>
      </c>
      <c r="D17" s="93">
        <f>IF(Inicio!$E$49&gt;=$C$15,(IF(Inicio!$E$51="AÑOS",(IF($B17&gt;0,IF(D$5&lt;=Inicio!$E$49,+(D$22)*$B$22,0),0)),$B$17)),0)</f>
        <v>818400</v>
      </c>
      <c r="E17" s="93">
        <f>IF(Inicio!$E$49&gt;=$C$15,(IF(Inicio!$E$51="AÑOS",(IF($B17&gt;0,IF(E$5&lt;=Inicio!$E$49,+(E$22)*$B$22,0),0)),$B$17)),0)</f>
        <v>844800</v>
      </c>
      <c r="F17" s="93">
        <f>IF(Inicio!$E$49&gt;=$C$15,(IF(Inicio!$E$51="AÑOS",(IF($B17&gt;0,IF(F$5&lt;=Inicio!$E$49,+(F$22)*$B$22,0),0)),$B$17)),0)</f>
        <v>880000</v>
      </c>
      <c r="G17" s="93">
        <f>IF(Inicio!$E$49&gt;=$C$15,(IF(Inicio!$E$51="AÑOS",(IF($B17&gt;0,IF(G$5&lt;=Inicio!$E$49,+(G$22)*$B$22,0),0)),$B$17)),0)</f>
        <v>0</v>
      </c>
      <c r="H17" s="93">
        <f>IF(Inicio!$E$49&gt;=$C$15,(IF(Inicio!$E$51="AÑOS",(IF($B17&gt;0,IF(H$5&lt;=Inicio!$E$49,+(H$22)*$B$22,0),0)),$B$17)),0)</f>
        <v>0</v>
      </c>
      <c r="I17" s="93">
        <f>IF(Inicio!$E$49&gt;=$C$15,(IF(Inicio!$E$51="AÑOS",(IF($B17&gt;0,IF(I$5&lt;=Inicio!$E$49,+(I$22)*$B$22,0),0)),$B$17)),0)</f>
        <v>0</v>
      </c>
      <c r="J17" s="93">
        <f>IF(Inicio!$E$49&gt;=$C$15,(IF(Inicio!$E$51="AÑOS",(IF($B17&gt;0,IF(J$5&lt;=Inicio!$E$49,+(J$22)*$B$22,0),0)),$B$17)),0)</f>
        <v>0</v>
      </c>
      <c r="K17" s="93">
        <f>IF(Inicio!$E$49&gt;=$C$15,(IF(Inicio!$E$51="AÑOS",(IF($B17&gt;0,IF(K$5&lt;=Inicio!$E$49,+(K$22)*$B$22,0),0)),$B$17)),0)</f>
        <v>0</v>
      </c>
      <c r="L17" s="93">
        <f>IF(Inicio!$E$49&gt;=$C$15,(IF(Inicio!$E$51="AÑOS",(IF($B17&gt;0,IF(L$5&lt;=Inicio!$E$49,+(L$22)*$B$22,0),0)),$B$17)),0)</f>
        <v>0</v>
      </c>
      <c r="M17" s="93">
        <f>IF(Inicio!$E$49&gt;=$C$15,(IF(Inicio!$E$51="AÑOS",(IF($B17&gt;0,IF(M$5&lt;=Inicio!$E$49,+(M$22)*$B$22,0),0)),$B$17)),0)</f>
        <v>0</v>
      </c>
      <c r="N17" s="93">
        <f>IF(Inicio!$E$49&gt;=$C$15,(IF(Inicio!$E$51="AÑOS",(IF($B17&gt;0,IF(N$5&lt;=Inicio!$E$49,+(N$22)*$B$22,0),0)),$B$17)),0)</f>
        <v>0</v>
      </c>
      <c r="O17" s="93">
        <f>IF(Inicio!$E$49&gt;=$C$15,(IF(Inicio!$E$51="AÑOS",(IF($B17&gt;0,IF(O$5&lt;=Inicio!$E$49,+(O$22)*$B$22,0),0)),$B$17)),0)</f>
        <v>0</v>
      </c>
      <c r="P17" s="98">
        <f>IF(Inicio!$E$49&gt;=$C$15,(IF(Inicio!$E$51="AÑOS",(IF($B17&gt;0,IF(P$5&lt;=Inicio!$E$49,+(P$22)*$B$22,0),0)),$B$17)),0)</f>
        <v>0</v>
      </c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</row>
    <row r="18" spans="1:42" x14ac:dyDescent="0.2">
      <c r="A18" s="94">
        <f>Inicio!C71</f>
        <v>0</v>
      </c>
      <c r="B18" s="93">
        <f>Inicio!D71*Inicio!F71</f>
        <v>0</v>
      </c>
      <c r="C18" s="93">
        <f>IF(Inicio!$E$49&gt;=$C$15,(IF(Inicio!$E$51="AÑOS",(IF($B18&gt;0,IF(C$5&lt;=Inicio!$E$49,+(C23)*$B$23,0),0)),$B$18)),0)</f>
        <v>0</v>
      </c>
      <c r="D18" s="93">
        <f>IF(Inicio!$E$49&gt;=$C$15,(IF(Inicio!$E$51="AÑOS",(IF($B18&gt;0,IF(D$5&lt;=Inicio!$E$49,+(D23)*$B$23,0),0)),$B$18)),0)</f>
        <v>0</v>
      </c>
      <c r="E18" s="93">
        <f>IF(Inicio!$E$49&gt;=$C$15,(IF(Inicio!$E$51="AÑOS",(IF($B18&gt;0,IF(E$5&lt;=Inicio!$E$49,+(E23)*$B$23,0),0)),$B$18)),0)</f>
        <v>0</v>
      </c>
      <c r="F18" s="93">
        <f>IF(Inicio!$E$49&gt;=$C$15,(IF(Inicio!$E$51="AÑOS",(IF($B18&gt;0,IF(F$5&lt;=Inicio!$E$49,+(F23)*$B$23,0),0)),$B$18)),0)</f>
        <v>0</v>
      </c>
      <c r="G18" s="93">
        <f>IF(Inicio!$E$49&gt;=$C$15,(IF(Inicio!$E$51="AÑOS",(IF($B18&gt;0,IF(G$5&lt;=Inicio!$E$49,+(G23)*$B$23,0),0)),$B$18)),0)</f>
        <v>0</v>
      </c>
      <c r="H18" s="93">
        <f>IF(Inicio!$E$49&gt;=$C$15,(IF(Inicio!$E$51="AÑOS",(IF($B18&gt;0,IF(H$5&lt;=Inicio!$E$49,+(H23)*$B$23,0),0)),$B$18)),0)</f>
        <v>0</v>
      </c>
      <c r="I18" s="93">
        <f>IF(Inicio!$E$49&gt;=$C$15,(IF(Inicio!$E$51="AÑOS",(IF($B18&gt;0,IF(I$5&lt;=Inicio!$E$49,+(I23)*$B$23,0),0)),$B$18)),0)</f>
        <v>0</v>
      </c>
      <c r="J18" s="93">
        <f>IF(Inicio!$E$49&gt;=$C$15,(IF(Inicio!$E$51="AÑOS",(IF($B18&gt;0,IF(J$5&lt;=Inicio!$E$49,+(J23)*$B$23,0),0)),$B$18)),0)</f>
        <v>0</v>
      </c>
      <c r="K18" s="93">
        <f>IF(Inicio!$E$49&gt;=$C$15,(IF(Inicio!$E$51="AÑOS",(IF($B18&gt;0,IF(K$5&lt;=Inicio!$E$49,+(K23)*$B$23,0),0)),$B$18)),0)</f>
        <v>0</v>
      </c>
      <c r="L18" s="93">
        <f>IF(Inicio!$E$49&gt;=$C$15,(IF(Inicio!$E$51="AÑOS",(IF($B18&gt;0,IF(L$5&lt;=Inicio!$E$49,+(L23)*$B$23,0),0)),$B$18)),0)</f>
        <v>0</v>
      </c>
      <c r="M18" s="93">
        <f>IF(Inicio!$E$49&gt;=$C$15,(IF(Inicio!$E$51="AÑOS",(IF($B18&gt;0,IF(M$5&lt;=Inicio!$E$49,+(M23)*$B$23,0),0)),$B$18)),0)</f>
        <v>0</v>
      </c>
      <c r="N18" s="93">
        <f>IF(Inicio!$E$49&gt;=$C$15,(IF(Inicio!$E$51="AÑOS",(IF($B18&gt;0,IF(N$5&lt;=Inicio!$E$49,+(N23)*$B$23,0),0)),$B$18)),0)</f>
        <v>0</v>
      </c>
      <c r="O18" s="93">
        <f>IF(Inicio!$E$49&gt;=$C$15,(IF(Inicio!$E$51="AÑOS",(IF($B18&gt;0,IF(O$5&lt;=Inicio!$E$49,+(O23)*$B$23,0),0)),$B$18)),0)</f>
        <v>0</v>
      </c>
      <c r="P18" s="98">
        <f>IF(Inicio!$E$49&gt;=$C$15,(IF(Inicio!$E$51="AÑOS",(IF($B18&gt;0,IF(P$5&lt;=Inicio!$E$49,+(P23)*$B$23,0),0)),$B$18)),0)</f>
        <v>0</v>
      </c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</row>
    <row r="19" spans="1:42" ht="13.5" thickBot="1" x14ac:dyDescent="0.25">
      <c r="A19" s="134">
        <f>Inicio!C72</f>
        <v>0</v>
      </c>
      <c r="B19" s="135">
        <f>Inicio!D72*Inicio!F72</f>
        <v>0</v>
      </c>
      <c r="C19" s="135">
        <f>IF(Inicio!$E$49&gt;=$C$15,(IF(Inicio!$E$51="AÑOS",(IF($B19&gt;0,IF(C$5&lt;=Inicio!$E$49,+(C24)*$B$24,0),0)),$B$19)),0)</f>
        <v>0</v>
      </c>
      <c r="D19" s="135">
        <f>IF(Inicio!$E$49&gt;=$C$15,(IF(Inicio!$E$51="AÑOS",(IF($B19&gt;0,IF(D$5&lt;=Inicio!$E$49,+(D24)*$B$24,0),0)),$B$19)),0)</f>
        <v>0</v>
      </c>
      <c r="E19" s="135">
        <f>IF(Inicio!$E$49&gt;=$C$15,(IF(Inicio!$E$51="AÑOS",(IF($B19&gt;0,IF(E$5&lt;=Inicio!$E$49,+(E24)*$B$24,0),0)),$B$19)),0)</f>
        <v>0</v>
      </c>
      <c r="F19" s="135">
        <f>IF(Inicio!$E$49&gt;=$C$15,(IF(Inicio!$E$51="AÑOS",(IF($B19&gt;0,IF(F$5&lt;=Inicio!$E$49,+(F24)*$B$24,0),0)),$B$19)),0)</f>
        <v>0</v>
      </c>
      <c r="G19" s="135">
        <f>IF(Inicio!$E$49&gt;=$C$15,(IF(Inicio!$E$51="AÑOS",(IF($B19&gt;0,IF(G$5&lt;=Inicio!$E$49,+(G24)*$B$24,0),0)),$B$19)),0)</f>
        <v>0</v>
      </c>
      <c r="H19" s="135">
        <f>IF(Inicio!$E$49&gt;=$C$15,(IF(Inicio!$E$51="AÑOS",(IF($B19&gt;0,IF(H$5&lt;=Inicio!$E$49,+(H24)*$B$24,0),0)),$B$19)),0)</f>
        <v>0</v>
      </c>
      <c r="I19" s="135">
        <f>IF(Inicio!$E$49&gt;=$C$15,(IF(Inicio!$E$51="AÑOS",(IF($B19&gt;0,IF(I$5&lt;=Inicio!$E$49,+(I24)*$B$24,0),0)),$B$19)),0)</f>
        <v>0</v>
      </c>
      <c r="J19" s="135">
        <f>IF(Inicio!$E$49&gt;=$C$15,(IF(Inicio!$E$51="AÑOS",(IF($B19&gt;0,IF(J$5&lt;=Inicio!$E$49,+(J24)*$B$24,0),0)),$B$19)),0)</f>
        <v>0</v>
      </c>
      <c r="K19" s="135">
        <f>IF(Inicio!$E$49&gt;=$C$15,(IF(Inicio!$E$51="AÑOS",(IF($B19&gt;0,IF(K$5&lt;=Inicio!$E$49,+(K24)*$B$24,0),0)),$B$19)),0)</f>
        <v>0</v>
      </c>
      <c r="L19" s="135">
        <f>IF(Inicio!$E$49&gt;=$C$15,(IF(Inicio!$E$51="AÑOS",(IF($B19&gt;0,IF(L$5&lt;=Inicio!$E$49,+(L24)*$B$24,0),0)),$B$19)),0)</f>
        <v>0</v>
      </c>
      <c r="M19" s="135">
        <f>IF(Inicio!$E$49&gt;=$C$15,(IF(Inicio!$E$51="AÑOS",(IF($B19&gt;0,IF(M$5&lt;=Inicio!$E$49,+(M24)*$B$24,0),0)),$B$19)),0)</f>
        <v>0</v>
      </c>
      <c r="N19" s="135">
        <f>IF(Inicio!$E$49&gt;=$C$15,(IF(Inicio!$E$51="AÑOS",(IF($B19&gt;0,IF(N$5&lt;=Inicio!$E$49,+(N24)*$B$24,0),0)),$B$19)),0)</f>
        <v>0</v>
      </c>
      <c r="O19" s="135">
        <f>IF(Inicio!$E$49&gt;=$C$15,(IF(Inicio!$E$51="AÑOS",(IF($B19&gt;0,IF(O$5&lt;=Inicio!$E$49,+(O24)*$B$24,0),0)),$B$19)),0)</f>
        <v>0</v>
      </c>
      <c r="P19" s="136">
        <f>IF(Inicio!$E$49&gt;=$C$15,(IF(Inicio!$E$51="AÑOS",(IF($B19&gt;0,IF(P$5&lt;=Inicio!$E$49,+(P24)*$B$24,0),0)),$B$19)),0)</f>
        <v>0</v>
      </c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</row>
    <row r="20" spans="1:42" ht="13.5" thickBot="1" x14ac:dyDescent="0.25">
      <c r="A20" s="99" t="s">
        <v>126</v>
      </c>
      <c r="B20" s="101">
        <f>SUM(B17:B19)</f>
        <v>730400</v>
      </c>
      <c r="C20" s="101">
        <f t="shared" ref="C20:P20" si="1">SUM(C17:C19)</f>
        <v>792000</v>
      </c>
      <c r="D20" s="101">
        <f t="shared" si="1"/>
        <v>818400</v>
      </c>
      <c r="E20" s="101">
        <f t="shared" si="1"/>
        <v>844800</v>
      </c>
      <c r="F20" s="101">
        <f t="shared" si="1"/>
        <v>880000</v>
      </c>
      <c r="G20" s="101">
        <f t="shared" si="1"/>
        <v>0</v>
      </c>
      <c r="H20" s="101">
        <f t="shared" si="1"/>
        <v>0</v>
      </c>
      <c r="I20" s="101">
        <f t="shared" si="1"/>
        <v>0</v>
      </c>
      <c r="J20" s="101">
        <f t="shared" si="1"/>
        <v>0</v>
      </c>
      <c r="K20" s="101">
        <f t="shared" si="1"/>
        <v>0</v>
      </c>
      <c r="L20" s="101">
        <f t="shared" si="1"/>
        <v>0</v>
      </c>
      <c r="M20" s="101">
        <f t="shared" si="1"/>
        <v>0</v>
      </c>
      <c r="N20" s="101">
        <f t="shared" si="1"/>
        <v>0</v>
      </c>
      <c r="O20" s="101">
        <f t="shared" si="1"/>
        <v>0</v>
      </c>
      <c r="P20" s="102">
        <f t="shared" si="1"/>
        <v>0</v>
      </c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</row>
    <row r="21" spans="1:42" ht="13.5" thickBot="1" x14ac:dyDescent="0.25">
      <c r="A21" s="118"/>
      <c r="B21" s="112"/>
      <c r="C21" s="119" t="s">
        <v>200</v>
      </c>
      <c r="D21" s="120"/>
      <c r="E21" s="121"/>
      <c r="F21" s="112"/>
      <c r="G21" s="112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</row>
    <row r="22" spans="1:42" ht="13.5" thickBot="1" x14ac:dyDescent="0.25">
      <c r="A22" s="122" t="str">
        <f>"Capacidad Instalada " &amp; Inicio!C70</f>
        <v>Capacidad Instalada Bloque de cemento PET</v>
      </c>
      <c r="B22" s="123">
        <f>Inicio!F70</f>
        <v>880000</v>
      </c>
      <c r="C22" s="124">
        <f>Inicio!D75</f>
        <v>0.9</v>
      </c>
      <c r="D22" s="125">
        <f>Inicio!D76</f>
        <v>0.93</v>
      </c>
      <c r="E22" s="125">
        <f>Inicio!D77</f>
        <v>0.96</v>
      </c>
      <c r="F22" s="125">
        <f>Inicio!D78</f>
        <v>1</v>
      </c>
      <c r="G22" s="125">
        <f>Inicio!D79</f>
        <v>0</v>
      </c>
      <c r="H22" s="125">
        <f>Inicio!D80</f>
        <v>0</v>
      </c>
      <c r="I22" s="125">
        <f>Inicio!D81</f>
        <v>0</v>
      </c>
      <c r="J22" s="125">
        <f>Inicio!D82</f>
        <v>0</v>
      </c>
      <c r="K22" s="125">
        <f>Inicio!D83</f>
        <v>0</v>
      </c>
      <c r="L22" s="125">
        <f>Inicio!D84</f>
        <v>0</v>
      </c>
      <c r="M22" s="125">
        <f>Inicio!D85</f>
        <v>0</v>
      </c>
      <c r="N22" s="125">
        <f>Inicio!D86</f>
        <v>0</v>
      </c>
      <c r="O22" s="125">
        <f>Inicio!D87</f>
        <v>0</v>
      </c>
      <c r="P22" s="126">
        <f>Inicio!D88</f>
        <v>0</v>
      </c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</row>
    <row r="23" spans="1:42" ht="13.5" thickBot="1" x14ac:dyDescent="0.25">
      <c r="A23" s="127" t="str">
        <f>"Capacidad Instalada " &amp; Inicio!C71</f>
        <v xml:space="preserve">Capacidad Instalada </v>
      </c>
      <c r="B23" s="128">
        <f>Inicio!F71</f>
        <v>0</v>
      </c>
      <c r="C23" s="129">
        <f>Inicio!E75</f>
        <v>0</v>
      </c>
      <c r="D23" s="130">
        <f>Inicio!E76</f>
        <v>0</v>
      </c>
      <c r="E23" s="130">
        <f>Inicio!E77</f>
        <v>0</v>
      </c>
      <c r="F23" s="130">
        <f>Inicio!$E78</f>
        <v>0</v>
      </c>
      <c r="G23" s="130">
        <f>Inicio!$E79</f>
        <v>0</v>
      </c>
      <c r="H23" s="130">
        <f>Inicio!$E80</f>
        <v>0</v>
      </c>
      <c r="I23" s="130">
        <f>Inicio!$E81</f>
        <v>0</v>
      </c>
      <c r="J23" s="130">
        <f>Inicio!$E82</f>
        <v>0</v>
      </c>
      <c r="K23" s="130">
        <f>Inicio!$E83</f>
        <v>0</v>
      </c>
      <c r="L23" s="130">
        <f>Inicio!$E84</f>
        <v>0</v>
      </c>
      <c r="M23" s="130">
        <f>Inicio!$E85</f>
        <v>0</v>
      </c>
      <c r="N23" s="130">
        <f>Inicio!$E86</f>
        <v>0</v>
      </c>
      <c r="O23" s="130">
        <f>Inicio!$E87</f>
        <v>0</v>
      </c>
      <c r="P23" s="131">
        <f>Inicio!$E88</f>
        <v>0</v>
      </c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</row>
    <row r="24" spans="1:42" ht="13.5" thickBot="1" x14ac:dyDescent="0.25">
      <c r="A24" s="127" t="str">
        <f>"Capacidad Instalada " &amp; Inicio!C72</f>
        <v xml:space="preserve">Capacidad Instalada </v>
      </c>
      <c r="B24" s="128">
        <f>Inicio!F72</f>
        <v>0</v>
      </c>
      <c r="C24" s="124">
        <f>Inicio!$F75</f>
        <v>0</v>
      </c>
      <c r="D24" s="125">
        <f>Inicio!$F76</f>
        <v>0</v>
      </c>
      <c r="E24" s="125">
        <f>Inicio!$F77</f>
        <v>0</v>
      </c>
      <c r="F24" s="125">
        <f>Inicio!$F78</f>
        <v>0</v>
      </c>
      <c r="G24" s="125">
        <f>Inicio!$F79</f>
        <v>0</v>
      </c>
      <c r="H24" s="125">
        <f>Inicio!$F80</f>
        <v>0</v>
      </c>
      <c r="I24" s="125">
        <f>Inicio!$F81</f>
        <v>0</v>
      </c>
      <c r="J24" s="125">
        <f>Inicio!$F82</f>
        <v>0</v>
      </c>
      <c r="K24" s="125">
        <f>Inicio!$F83</f>
        <v>0</v>
      </c>
      <c r="L24" s="125">
        <f>Inicio!$F84</f>
        <v>0</v>
      </c>
      <c r="M24" s="125">
        <f>Inicio!$F85</f>
        <v>0</v>
      </c>
      <c r="N24" s="125">
        <f>Inicio!$F86</f>
        <v>0</v>
      </c>
      <c r="O24" s="125">
        <f>Inicio!$F87</f>
        <v>0</v>
      </c>
      <c r="P24" s="126">
        <f>Inicio!$F88</f>
        <v>0</v>
      </c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</row>
    <row r="25" spans="1:42" ht="13.5" thickBot="1" x14ac:dyDescent="0.25">
      <c r="A25" s="114" t="s">
        <v>165</v>
      </c>
      <c r="B25" s="115">
        <v>1</v>
      </c>
      <c r="C25" s="115">
        <v>2</v>
      </c>
      <c r="D25" s="115">
        <v>3</v>
      </c>
      <c r="E25" s="115">
        <v>4</v>
      </c>
      <c r="F25" s="115">
        <v>5</v>
      </c>
      <c r="G25" s="115">
        <v>6</v>
      </c>
      <c r="H25" s="115">
        <v>7</v>
      </c>
      <c r="I25" s="115">
        <v>8</v>
      </c>
      <c r="J25" s="115">
        <v>9</v>
      </c>
      <c r="K25" s="115">
        <v>10</v>
      </c>
      <c r="L25" s="115">
        <v>11</v>
      </c>
      <c r="M25" s="115">
        <v>12</v>
      </c>
      <c r="N25" s="115">
        <v>13</v>
      </c>
      <c r="O25" s="115">
        <v>14</v>
      </c>
      <c r="P25" s="116">
        <v>15</v>
      </c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</row>
    <row r="26" spans="1:42" x14ac:dyDescent="0.2">
      <c r="A26" s="113" t="str">
        <f>+Inicio!C70</f>
        <v>Bloque de cemento PET</v>
      </c>
      <c r="B26" s="476">
        <f>Inicio!E70</f>
        <v>3.3319999999999999</v>
      </c>
      <c r="C26" s="476">
        <f>IF(C5&lt;=Inicio!$E$49,+(B26*$C$30)+B26,0)</f>
        <v>3.4985999999999997</v>
      </c>
      <c r="D26" s="476">
        <f>IF(D5&lt;=Inicio!$E$49,+(C26*$D$30)+C26,0)</f>
        <v>3.6735299999999995</v>
      </c>
      <c r="E26" s="476">
        <f>IF(E5&lt;=Inicio!$E$49,+(D26*$E$30)+D26,0)</f>
        <v>3.8572064999999993</v>
      </c>
      <c r="F26" s="476">
        <f>IF(F5&lt;=Inicio!$E$49,+(E26*$F$30)+E26,0)</f>
        <v>4.0500668249999991</v>
      </c>
      <c r="G26" s="476">
        <f>IF(G5&lt;=Inicio!$E$49,+(F26*$F$30)+F26,0)</f>
        <v>0</v>
      </c>
      <c r="H26" s="476">
        <f>IF(H5&lt;=Inicio!$E$49,+(G26*$F$30)+G26,0)</f>
        <v>0</v>
      </c>
      <c r="I26" s="476">
        <f>IF(I5&lt;=Inicio!$E$49,+(H26*$F$30)+H26,0)</f>
        <v>0</v>
      </c>
      <c r="J26" s="476">
        <f>IF(J5&lt;=Inicio!$E$49,+(I26*$F$30)+I26,0)</f>
        <v>0</v>
      </c>
      <c r="K26" s="476">
        <f>IF(K5&lt;=Inicio!$E$49,+(J26*$F$30)+J26,0)</f>
        <v>0</v>
      </c>
      <c r="L26" s="476">
        <f>IF(L5&lt;=Inicio!$E$49,+(K26*$F$30)+K26,0)</f>
        <v>0</v>
      </c>
      <c r="M26" s="476">
        <f>IF(M5&lt;=Inicio!$E$49,+(L26*$F$30)+L26,0)</f>
        <v>0</v>
      </c>
      <c r="N26" s="476">
        <f>IF(N5&lt;=Inicio!$E$49,+(M26*$F$30)+M26,0)</f>
        <v>0</v>
      </c>
      <c r="O26" s="476">
        <f>IF(O5&lt;=Inicio!$E$49,+(N26*$F$30)+N26,0)</f>
        <v>0</v>
      </c>
      <c r="P26" s="479">
        <f>IF(P5&lt;=Inicio!$E$49,+(O26*$F$30)+O26,0)</f>
        <v>0</v>
      </c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</row>
    <row r="27" spans="1:42" x14ac:dyDescent="0.2">
      <c r="A27" s="94">
        <f>+Inicio!C71</f>
        <v>0</v>
      </c>
      <c r="B27" s="477">
        <f>Inicio!E71</f>
        <v>0</v>
      </c>
      <c r="C27" s="477">
        <f>IF(C5&lt;=Inicio!$E$49,+(B27*$C$30)+B27,0)</f>
        <v>0</v>
      </c>
      <c r="D27" s="477">
        <f>IF(D5&lt;=Inicio!$E$49,+(C27*$D$30)+C27,0)</f>
        <v>0</v>
      </c>
      <c r="E27" s="477">
        <f>IF(E5&lt;=Inicio!$E$49,+(D27*$E$30)+D27,0)</f>
        <v>0</v>
      </c>
      <c r="F27" s="477">
        <f>IF(F5&lt;=Inicio!$E$49,+(E27*$F$30)+E27,0)</f>
        <v>0</v>
      </c>
      <c r="G27" s="477">
        <f>IF(G5&lt;=Inicio!$E$49,+(F27*$F$30)+F27,0)</f>
        <v>0</v>
      </c>
      <c r="H27" s="477">
        <f>IF(H5&lt;=Inicio!$E$49,+(G27*$F$30)+G27,0)</f>
        <v>0</v>
      </c>
      <c r="I27" s="477">
        <f>IF(I5&lt;=Inicio!$E$49,+(H27*$F$30)+H27,0)</f>
        <v>0</v>
      </c>
      <c r="J27" s="477">
        <f>IF(J5&lt;=Inicio!$E$49,+(I27*$F$30)+I27,0)</f>
        <v>0</v>
      </c>
      <c r="K27" s="477">
        <f>IF(K5&lt;=Inicio!$E$49,+(J27*$F$30)+J27,0)</f>
        <v>0</v>
      </c>
      <c r="L27" s="477">
        <f>IF(L5&lt;=Inicio!$E$49,+(K27*$F$30)+K27,0)</f>
        <v>0</v>
      </c>
      <c r="M27" s="477">
        <f>IF(M5&lt;=Inicio!$E$49,+(L27*$F$30)+L27,0)</f>
        <v>0</v>
      </c>
      <c r="N27" s="477">
        <f>IF(N5&lt;=Inicio!$E$49,+(M27*$F$30)+M27,0)</f>
        <v>0</v>
      </c>
      <c r="O27" s="477">
        <f>IF(O5&lt;=Inicio!$E$49,+(N27*$F$30)+N27,0)</f>
        <v>0</v>
      </c>
      <c r="P27" s="480">
        <f>IF(P5&lt;=Inicio!$E$49,+(O27*$F$30)+O27,0)</f>
        <v>0</v>
      </c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</row>
    <row r="28" spans="1:42" ht="13.5" thickBot="1" x14ac:dyDescent="0.25">
      <c r="A28" s="134">
        <f>+Inicio!C72</f>
        <v>0</v>
      </c>
      <c r="B28" s="478">
        <f>Inicio!E72</f>
        <v>0</v>
      </c>
      <c r="C28" s="478">
        <f>IF(C5&lt;=Inicio!$E$49,+(B28*$C$30)+B28,0)</f>
        <v>0</v>
      </c>
      <c r="D28" s="478">
        <f>IF(D5&lt;=Inicio!$E$49,+(C28*$D$30)+C28,0)</f>
        <v>0</v>
      </c>
      <c r="E28" s="478">
        <f>IF(E5&lt;=Inicio!$E$49,+(D28*$E$30)+D28,0)</f>
        <v>0</v>
      </c>
      <c r="F28" s="478">
        <f>IF(F5&lt;=Inicio!$E$49,+(E28*$F$30)+E28,0)</f>
        <v>0</v>
      </c>
      <c r="G28" s="478">
        <f>IF(G5&lt;=Inicio!$E$49,+(F28*$F$30)+F28,0)</f>
        <v>0</v>
      </c>
      <c r="H28" s="478">
        <f>IF(H5&lt;=Inicio!$E$49,+(G28*$F$30)+G28,0)</f>
        <v>0</v>
      </c>
      <c r="I28" s="478">
        <f>IF(I5&lt;=Inicio!$E$49,+(H28*$F$30)+H28,0)</f>
        <v>0</v>
      </c>
      <c r="J28" s="478">
        <f>IF(J5&lt;=Inicio!$E$49,+(I28*$F$30)+I28,0)</f>
        <v>0</v>
      </c>
      <c r="K28" s="478">
        <f>IF(K5&lt;=Inicio!$E$49,+(J28*$F$30)+J28,0)</f>
        <v>0</v>
      </c>
      <c r="L28" s="478">
        <f>IF(L5&lt;=Inicio!$E$49,+(K28*$F$30)+K28,0)</f>
        <v>0</v>
      </c>
      <c r="M28" s="478">
        <f>IF(M5&lt;=Inicio!$E$49,+(L28*$F$30)+L28,0)</f>
        <v>0</v>
      </c>
      <c r="N28" s="478">
        <f>IF(N5&lt;=Inicio!$E$49,+(M28*$F$30)+M28,0)</f>
        <v>0</v>
      </c>
      <c r="O28" s="478">
        <f>IF(O5&lt;=Inicio!$E$49,+(N28*$F$30)+N28,0)</f>
        <v>0</v>
      </c>
      <c r="P28" s="481">
        <f>IF(P5&lt;=Inicio!$E$49,+(O28*$F$30)+O28,0)</f>
        <v>0</v>
      </c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</row>
    <row r="29" spans="1:42" ht="13.5" thickBot="1" x14ac:dyDescent="0.25">
      <c r="A29" s="118"/>
      <c r="B29" s="112"/>
      <c r="C29" s="112"/>
      <c r="D29" s="112"/>
      <c r="E29" s="112"/>
      <c r="F29" s="112"/>
      <c r="G29" s="112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</row>
    <row r="30" spans="1:42" ht="13.5" thickBot="1" x14ac:dyDescent="0.25">
      <c r="A30" s="105" t="s">
        <v>127</v>
      </c>
      <c r="B30" s="107">
        <v>0</v>
      </c>
      <c r="C30" s="107">
        <f>IF(Inicio!$E$51="AÑOS",Inicio!D62,0)</f>
        <v>0.05</v>
      </c>
      <c r="D30" s="107">
        <f>IF(Inicio!$E$51="AÑOS",Inicio!D63,0)</f>
        <v>0.05</v>
      </c>
      <c r="E30" s="107">
        <f>IF(Inicio!$E$51="AÑOS",Inicio!D64,0)</f>
        <v>0.05</v>
      </c>
      <c r="F30" s="107">
        <f>IF(Inicio!$E$51="AÑOS",Inicio!D65,0)</f>
        <v>0.05</v>
      </c>
      <c r="G30" s="109" t="s">
        <v>1</v>
      </c>
      <c r="H30" s="110" t="s">
        <v>1</v>
      </c>
      <c r="I30" s="110" t="s">
        <v>1</v>
      </c>
      <c r="J30" s="110" t="s">
        <v>1</v>
      </c>
      <c r="K30" s="110" t="s">
        <v>1</v>
      </c>
      <c r="L30" s="110" t="s">
        <v>1</v>
      </c>
      <c r="M30" s="110" t="s">
        <v>1</v>
      </c>
      <c r="N30" s="110" t="s">
        <v>1</v>
      </c>
      <c r="O30" s="110" t="s">
        <v>1</v>
      </c>
      <c r="P30" s="110" t="s">
        <v>53</v>
      </c>
      <c r="Q30" s="97" t="s">
        <v>1</v>
      </c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</row>
    <row r="31" spans="1:42" x14ac:dyDescent="0.2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</row>
    <row r="32" spans="1:42" x14ac:dyDescent="0.2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</row>
    <row r="33" spans="1:42" ht="18.75" thickBot="1" x14ac:dyDescent="0.3">
      <c r="A33" s="656" t="str">
        <f>A1</f>
        <v>PREFACTIBILIDAD PARA LA CREACIÓN DE UN PRODUCTO; PARA LA FABRICACION DE BLOQUE CON COMPONENTE DE MATERIAL PET</v>
      </c>
      <c r="B33" s="656"/>
      <c r="C33" s="656"/>
      <c r="D33" s="656"/>
      <c r="E33" s="656"/>
      <c r="F33" s="656"/>
      <c r="G33" s="656"/>
      <c r="H33" s="656"/>
      <c r="I33" s="656"/>
      <c r="J33" s="656"/>
      <c r="K33" s="656"/>
      <c r="L33" s="656"/>
      <c r="M33" s="656"/>
      <c r="N33" s="656"/>
      <c r="O33" s="656"/>
      <c r="P33" s="656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</row>
    <row r="34" spans="1:42" ht="13.5" thickBot="1" x14ac:dyDescent="0.25">
      <c r="A34" s="137"/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9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</row>
    <row r="35" spans="1:42" ht="13.5" thickBot="1" x14ac:dyDescent="0.25">
      <c r="A35" s="140" t="s">
        <v>176</v>
      </c>
      <c r="B35" s="141">
        <v>1</v>
      </c>
      <c r="C35" s="141">
        <v>2</v>
      </c>
      <c r="D35" s="141">
        <v>3</v>
      </c>
      <c r="E35" s="141">
        <v>4</v>
      </c>
      <c r="F35" s="141">
        <v>5</v>
      </c>
      <c r="G35" s="141">
        <v>6</v>
      </c>
      <c r="H35" s="141">
        <v>7</v>
      </c>
      <c r="I35" s="141">
        <v>8</v>
      </c>
      <c r="J35" s="141">
        <v>9</v>
      </c>
      <c r="K35" s="141">
        <v>10</v>
      </c>
      <c r="L35" s="141">
        <v>11</v>
      </c>
      <c r="M35" s="141">
        <v>12</v>
      </c>
      <c r="N35" s="141">
        <v>13</v>
      </c>
      <c r="O35" s="141">
        <v>14</v>
      </c>
      <c r="P35" s="142">
        <v>15</v>
      </c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</row>
    <row r="36" spans="1:42" x14ac:dyDescent="0.2">
      <c r="A36" s="113" t="str">
        <f>+Inicio!C70</f>
        <v>Bloque de cemento PET</v>
      </c>
      <c r="B36" s="132">
        <f>IF(Inicio!$E$51="AÑOS",(+B26*B17),((B26*B17)/12))</f>
        <v>2433692.7999999998</v>
      </c>
      <c r="C36" s="132">
        <f>IF(Inicio!$E$51="AÑOS",(+C26*C17),((C26*C17)/12))</f>
        <v>2770891.1999999997</v>
      </c>
      <c r="D36" s="132">
        <f>IF(Inicio!$E$51="AÑOS",(+D26*D17),((D26*D17)/12))</f>
        <v>3006416.9519999996</v>
      </c>
      <c r="E36" s="132">
        <f>IF(Inicio!$E$51="AÑOS",(+E26*E17),((E26*E17)/12))</f>
        <v>3258568.0511999996</v>
      </c>
      <c r="F36" s="132">
        <f>IF(Inicio!$E$51="AÑOS",(+F26*F17),((F26*F17)/12))</f>
        <v>3564058.8059999994</v>
      </c>
      <c r="G36" s="132">
        <f>IF(Inicio!$E$51="AÑOS",(+G26*G17),((G26*G17)/12))</f>
        <v>0</v>
      </c>
      <c r="H36" s="132">
        <f>IF(Inicio!$E$51="AÑOS",(+H26*H17),((H26*H17)/12))</f>
        <v>0</v>
      </c>
      <c r="I36" s="132">
        <f>IF(Inicio!$E$51="AÑOS",(+I26*I17),((I26*I17)/12))</f>
        <v>0</v>
      </c>
      <c r="J36" s="132">
        <f>IF(Inicio!$E$51="AÑOS",(+J26*J17),((J26*J17)/12))</f>
        <v>0</v>
      </c>
      <c r="K36" s="132">
        <f>IF(Inicio!$E$51="AÑOS",(+K26*K17),((K26*K17)/12))</f>
        <v>0</v>
      </c>
      <c r="L36" s="132">
        <f>IF(Inicio!$E$51="AÑOS",(+L26*L17),((L26*L17)/12))</f>
        <v>0</v>
      </c>
      <c r="M36" s="132">
        <f>IF(Inicio!$E$51="AÑOS",(+M26*M17),((M26*M17)/12))</f>
        <v>0</v>
      </c>
      <c r="N36" s="132">
        <f>IF(Inicio!$E$51="AÑOS",(+N26*N17),((N26*N17)/12))</f>
        <v>0</v>
      </c>
      <c r="O36" s="132">
        <f>IF(Inicio!$E$51="AÑOS",(+O26*O17),((O26*O17)/12))</f>
        <v>0</v>
      </c>
      <c r="P36" s="133">
        <f>IF(Inicio!$E$51="AÑOS",(+P26*P17),((P26*P17)/12))</f>
        <v>0</v>
      </c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</row>
    <row r="37" spans="1:42" x14ac:dyDescent="0.2">
      <c r="A37" s="94">
        <f>+Inicio!C71</f>
        <v>0</v>
      </c>
      <c r="B37" s="93">
        <f>IF(Inicio!$E$51="AÑOS",(+B27*B18),((B27*B18)/12))</f>
        <v>0</v>
      </c>
      <c r="C37" s="93">
        <f>IF(Inicio!$E$51="AÑOS",(+C27*C18),((C27*C18)/12))</f>
        <v>0</v>
      </c>
      <c r="D37" s="93">
        <f>IF(Inicio!$E$51="AÑOS",(+D27*D18),((D27*D18)/12))</f>
        <v>0</v>
      </c>
      <c r="E37" s="93">
        <f>IF(Inicio!$E$51="AÑOS",(+E27*E18),((E27*E18)/12))</f>
        <v>0</v>
      </c>
      <c r="F37" s="93">
        <f>IF(Inicio!$E$51="AÑOS",(+F27*F18),((F27*F18)/12))</f>
        <v>0</v>
      </c>
      <c r="G37" s="93">
        <f>IF(Inicio!$E$51="AÑOS",(+G27*G18),((G27*G18)/12))</f>
        <v>0</v>
      </c>
      <c r="H37" s="93">
        <f>IF(Inicio!$E$51="AÑOS",(+H27*H18),((H27*H18)/12))</f>
        <v>0</v>
      </c>
      <c r="I37" s="93">
        <f>IF(Inicio!$E$51="AÑOS",(+I27*I18),((I27*I18)/12))</f>
        <v>0</v>
      </c>
      <c r="J37" s="93">
        <f>IF(Inicio!$E$51="AÑOS",(+J27*J18),((J27*J18)/12))</f>
        <v>0</v>
      </c>
      <c r="K37" s="93">
        <f>IF(Inicio!$E$51="AÑOS",(+K27*K18),((K27*K18)/12))</f>
        <v>0</v>
      </c>
      <c r="L37" s="93">
        <f>IF(Inicio!$E$51="AÑOS",(+L27*L18),((L27*L18)/12))</f>
        <v>0</v>
      </c>
      <c r="M37" s="93">
        <f>IF(Inicio!$E$51="AÑOS",(+M27*M18),((M27*M18)/12))</f>
        <v>0</v>
      </c>
      <c r="N37" s="93">
        <f>IF(Inicio!$E$51="AÑOS",(+N27*N18),((N27*N18)/12))</f>
        <v>0</v>
      </c>
      <c r="O37" s="93">
        <f>IF(Inicio!$E$51="AÑOS",(+O27*O18),((O27*O18)/12))</f>
        <v>0</v>
      </c>
      <c r="P37" s="98">
        <f>IF(Inicio!$E$51="AÑOS",(+P27*P18),((P27*P18)/12))</f>
        <v>0</v>
      </c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</row>
    <row r="38" spans="1:42" ht="13.5" thickBot="1" x14ac:dyDescent="0.25">
      <c r="A38" s="134">
        <f>+Inicio!C72</f>
        <v>0</v>
      </c>
      <c r="B38" s="135">
        <f>IF(Inicio!$E$51="AÑOS",(+B28*B19),((B28*B19)/12))</f>
        <v>0</v>
      </c>
      <c r="C38" s="135">
        <f>IF(Inicio!$E$51="AÑOS",(+C28*C19),((C28*C19)/12))</f>
        <v>0</v>
      </c>
      <c r="D38" s="135">
        <f>IF(Inicio!$E$51="AÑOS",(+D28*D19),((D28*D19)/12))</f>
        <v>0</v>
      </c>
      <c r="E38" s="135">
        <f>IF(Inicio!$E$51="AÑOS",(+E28*E19),((E28*E19)/12))</f>
        <v>0</v>
      </c>
      <c r="F38" s="135">
        <f>IF(Inicio!$E$51="AÑOS",(+F28*F19),((F28*F19)/12))</f>
        <v>0</v>
      </c>
      <c r="G38" s="135">
        <f>IF(Inicio!$E$51="AÑOS",(+G28*G19),((G28*G19)/12))</f>
        <v>0</v>
      </c>
      <c r="H38" s="135">
        <f>IF(Inicio!$E$51="AÑOS",(+H28*H19),((H28*H19)/12))</f>
        <v>0</v>
      </c>
      <c r="I38" s="135">
        <f>IF(Inicio!$E$51="AÑOS",(+I28*I19),((I28*I19)/12))</f>
        <v>0</v>
      </c>
      <c r="J38" s="135">
        <f>IF(Inicio!$E$51="AÑOS",(+J28*J19),((J28*J19)/12))</f>
        <v>0</v>
      </c>
      <c r="K38" s="135">
        <f>IF(Inicio!$E$51="AÑOS",(+K28*K19),((K28*K19)/12))</f>
        <v>0</v>
      </c>
      <c r="L38" s="135">
        <f>IF(Inicio!$E$51="AÑOS",(+L28*L19),((L28*L19)/12))</f>
        <v>0</v>
      </c>
      <c r="M38" s="135">
        <f>IF(Inicio!$E$51="AÑOS",(+M28*M19),((M28*M19)/12))</f>
        <v>0</v>
      </c>
      <c r="N38" s="135">
        <f>IF(Inicio!$E$51="AÑOS",(+N28*N19),((N28*N19)/12))</f>
        <v>0</v>
      </c>
      <c r="O38" s="135">
        <f>IF(Inicio!$E$51="AÑOS",(+O28*O19),((O28*O19)/12))</f>
        <v>0</v>
      </c>
      <c r="P38" s="136">
        <f>IF(Inicio!$E$51="AÑOS",(+P28*P19),((P28*P19)/12))</f>
        <v>0</v>
      </c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</row>
    <row r="39" spans="1:42" ht="13.5" thickBot="1" x14ac:dyDescent="0.25">
      <c r="A39" s="143" t="s">
        <v>52</v>
      </c>
      <c r="B39" s="144">
        <f>SUM(B36:B38)</f>
        <v>2433692.7999999998</v>
      </c>
      <c r="C39" s="144">
        <f t="shared" ref="C39:P39" si="2">SUM(C36:C38)</f>
        <v>2770891.1999999997</v>
      </c>
      <c r="D39" s="144">
        <f t="shared" si="2"/>
        <v>3006416.9519999996</v>
      </c>
      <c r="E39" s="144">
        <f t="shared" si="2"/>
        <v>3258568.0511999996</v>
      </c>
      <c r="F39" s="144">
        <f t="shared" si="2"/>
        <v>3564058.8059999994</v>
      </c>
      <c r="G39" s="144">
        <f t="shared" si="2"/>
        <v>0</v>
      </c>
      <c r="H39" s="144">
        <f t="shared" si="2"/>
        <v>0</v>
      </c>
      <c r="I39" s="144">
        <f t="shared" si="2"/>
        <v>0</v>
      </c>
      <c r="J39" s="144">
        <f t="shared" si="2"/>
        <v>0</v>
      </c>
      <c r="K39" s="144">
        <f t="shared" si="2"/>
        <v>0</v>
      </c>
      <c r="L39" s="144">
        <f t="shared" si="2"/>
        <v>0</v>
      </c>
      <c r="M39" s="144">
        <f t="shared" si="2"/>
        <v>0</v>
      </c>
      <c r="N39" s="144">
        <f t="shared" si="2"/>
        <v>0</v>
      </c>
      <c r="O39" s="144">
        <f t="shared" si="2"/>
        <v>0</v>
      </c>
      <c r="P39" s="145">
        <f t="shared" si="2"/>
        <v>0</v>
      </c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</row>
    <row r="40" spans="1:42" ht="13.5" thickBot="1" x14ac:dyDescent="0.25">
      <c r="A40" s="118"/>
      <c r="B40" s="112"/>
      <c r="C40" s="112"/>
      <c r="D40" s="112"/>
      <c r="E40" s="112"/>
      <c r="F40" s="112"/>
      <c r="G40" s="112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</row>
    <row r="41" spans="1:42" ht="13.5" thickBot="1" x14ac:dyDescent="0.25">
      <c r="A41" s="94" t="s">
        <v>350</v>
      </c>
      <c r="B41" s="146">
        <f>IF(Inicio!D58&lt;=30,(B46),0)</f>
        <v>0</v>
      </c>
      <c r="C41" s="147">
        <f>IF(Inicio!$D$58&gt;=60,(0),((IF(Inicio!$D$58&lt;=30,(C46),(B46)))))</f>
        <v>0</v>
      </c>
      <c r="D41" s="147">
        <f>IF(Inicio!$D$58&gt;=60,(B46),((IF(Inicio!$D$58&lt;=30,(D46),(C46)))))</f>
        <v>0</v>
      </c>
      <c r="E41" s="147">
        <f>IF(Inicio!$D$58&gt;=60,(C46),((IF(Inicio!$D$58&lt;=30,(E46),(D46)))))</f>
        <v>0</v>
      </c>
      <c r="F41" s="147">
        <f>IF(Inicio!$D$58&gt;=60,(D46),((IF(Inicio!$D$58&lt;=30,(F46),(E46)))))</f>
        <v>0</v>
      </c>
      <c r="G41" s="147">
        <f>IF(Inicio!$D$58&gt;=60,(E46),((IF(Inicio!$D$58&lt;=30,(G46),(F46)))))</f>
        <v>0</v>
      </c>
      <c r="H41" s="147">
        <f>IF(Inicio!$D$58&gt;=60,(F46),((IF(Inicio!$D$58&lt;=30,(H46),(G46)))))</f>
        <v>0</v>
      </c>
      <c r="I41" s="147">
        <f>IF(Inicio!$D$58&gt;=60,(G46),((IF(Inicio!$D$58&lt;=30,(I46),(H46)))))</f>
        <v>0</v>
      </c>
      <c r="J41" s="147">
        <f>IF(Inicio!$D$58&gt;=60,(H46),((IF(Inicio!$D$58&lt;=30,(J46),(I46)))))</f>
        <v>0</v>
      </c>
      <c r="K41" s="147">
        <f>IF(Inicio!$D$58&gt;=60,(I46),((IF(Inicio!$D$58&lt;=30,(K46),(J46)))))</f>
        <v>0</v>
      </c>
      <c r="L41" s="147">
        <f>IF(Inicio!$D$58&gt;=60,(J46),((IF(Inicio!$D$58&lt;=30,(L46),(K46)))))</f>
        <v>0</v>
      </c>
      <c r="M41" s="147">
        <f>IF(Inicio!$D$58&gt;=60,(K46),((IF(Inicio!$D$58&lt;=30,(M46),(L46)))))</f>
        <v>0</v>
      </c>
      <c r="N41" s="147">
        <f>IF(Inicio!$D$58&gt;=60,(L46),((IF(Inicio!$D$58&lt;=30,(N46),(M46)))))</f>
        <v>0</v>
      </c>
      <c r="O41" s="147">
        <f>IF(Inicio!$D$58&gt;=60,(M46),((IF(Inicio!$D$58&lt;=30,(O46),(N46)))))</f>
        <v>0</v>
      </c>
      <c r="P41" s="148">
        <f>IF(Inicio!$D$58&gt;=60,(N46),((IF(Inicio!$D$58&lt;=30,(P46),(O46)))))</f>
        <v>0</v>
      </c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</row>
    <row r="42" spans="1:42" x14ac:dyDescent="0.2">
      <c r="A42" s="94" t="s">
        <v>351</v>
      </c>
      <c r="B42" s="112"/>
      <c r="C42" s="112"/>
      <c r="D42" s="112"/>
      <c r="E42" s="112"/>
      <c r="F42" s="112"/>
      <c r="G42" s="112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</row>
    <row r="43" spans="1:42" x14ac:dyDescent="0.2">
      <c r="A43" s="118"/>
      <c r="B43" s="112"/>
      <c r="C43" s="112"/>
      <c r="D43" s="112"/>
      <c r="E43" s="112"/>
      <c r="F43" s="112"/>
      <c r="G43" s="112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</row>
    <row r="44" spans="1:42" ht="13.5" thickBot="1" x14ac:dyDescent="0.25">
      <c r="A44" s="118"/>
      <c r="B44" s="112"/>
      <c r="C44" s="112"/>
      <c r="D44" s="112"/>
      <c r="E44" s="112"/>
      <c r="F44" s="112"/>
      <c r="G44" s="112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</row>
    <row r="45" spans="1:42" ht="13.5" thickBot="1" x14ac:dyDescent="0.25">
      <c r="A45" s="149" t="s">
        <v>176</v>
      </c>
      <c r="B45" s="115">
        <v>1</v>
      </c>
      <c r="C45" s="115">
        <v>2</v>
      </c>
      <c r="D45" s="115">
        <v>3</v>
      </c>
      <c r="E45" s="115">
        <v>4</v>
      </c>
      <c r="F45" s="115">
        <v>5</v>
      </c>
      <c r="G45" s="115">
        <v>6</v>
      </c>
      <c r="H45" s="115">
        <v>7</v>
      </c>
      <c r="I45" s="115">
        <v>8</v>
      </c>
      <c r="J45" s="115">
        <v>9</v>
      </c>
      <c r="K45" s="115">
        <v>10</v>
      </c>
      <c r="L45" s="115">
        <v>11</v>
      </c>
      <c r="M45" s="115">
        <v>12</v>
      </c>
      <c r="N45" s="115">
        <v>13</v>
      </c>
      <c r="O45" s="115">
        <v>14</v>
      </c>
      <c r="P45" s="116">
        <v>15</v>
      </c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</row>
    <row r="46" spans="1:42" x14ac:dyDescent="0.2">
      <c r="A46" s="94" t="s">
        <v>326</v>
      </c>
      <c r="B46" s="150">
        <f>+B52</f>
        <v>0</v>
      </c>
      <c r="C46" s="132">
        <f>IF(C45&lt;=Inicio!$E$49,(+C52),0)</f>
        <v>0</v>
      </c>
      <c r="D46" s="132">
        <f>IF(D45&lt;=Inicio!$E$49,(+D52),0)</f>
        <v>0</v>
      </c>
      <c r="E46" s="132">
        <f>IF(E45&lt;=Inicio!$E$49,(+E52),0)</f>
        <v>0</v>
      </c>
      <c r="F46" s="132">
        <f>IF(F45&lt;=Inicio!$E$49,(+F52),0)</f>
        <v>0</v>
      </c>
      <c r="G46" s="132">
        <f>IF(G45&lt;=Inicio!$E$49,(+G52),0)</f>
        <v>0</v>
      </c>
      <c r="H46" s="132">
        <f>IF(H45&lt;=Inicio!$E$49,(+H52),0)</f>
        <v>0</v>
      </c>
      <c r="I46" s="132">
        <f>IF(I45&lt;=Inicio!$E$49,(+I52),0)</f>
        <v>0</v>
      </c>
      <c r="J46" s="132">
        <f>IF(J45&lt;=Inicio!$E$49,(+J52),0)</f>
        <v>0</v>
      </c>
      <c r="K46" s="132">
        <f>IF(K45&lt;=Inicio!$E$49,(+K52),0)</f>
        <v>0</v>
      </c>
      <c r="L46" s="132">
        <f>IF(L45&lt;=Inicio!$E$49,(+L52),0)</f>
        <v>0</v>
      </c>
      <c r="M46" s="132">
        <f>IF(M45&lt;=Inicio!$E$49,(+M52),0)</f>
        <v>0</v>
      </c>
      <c r="N46" s="132">
        <f>IF(N45&lt;=Inicio!$E$49,(+N52),0)</f>
        <v>0</v>
      </c>
      <c r="O46" s="132">
        <f>IF(O45&lt;=Inicio!$E$49,(+O52),0)</f>
        <v>0</v>
      </c>
      <c r="P46" s="133">
        <f>IF(P45&lt;=Inicio!$E$49,(+P52),0)</f>
        <v>0</v>
      </c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</row>
    <row r="47" spans="1:42" ht="13.5" thickBot="1" x14ac:dyDescent="0.25">
      <c r="A47" s="134" t="s">
        <v>193</v>
      </c>
      <c r="B47" s="151">
        <f>IF(Inicio!$E$51="AÑOS",(+B39-B46),(B39-B52))</f>
        <v>2433692.7999999998</v>
      </c>
      <c r="C47" s="135">
        <f>IF(Inicio!$E$51="AÑOS",(+C39-C46),(C39-C52))</f>
        <v>2770891.1999999997</v>
      </c>
      <c r="D47" s="135">
        <f>IF(Inicio!$E$51="AÑOS",(+D39-D46),(D39-D52))</f>
        <v>3006416.9519999996</v>
      </c>
      <c r="E47" s="135">
        <f>IF(Inicio!$E$51="AÑOS",(+E39-E46),(E39-E52))</f>
        <v>3258568.0511999996</v>
      </c>
      <c r="F47" s="135">
        <f>IF(Inicio!$E$51="AÑOS",(+F39-F46),(F39-F52))</f>
        <v>3564058.8059999994</v>
      </c>
      <c r="G47" s="135">
        <f>IF(Inicio!$E$51="AÑOS",(+G39-G46),(G39-G52))</f>
        <v>0</v>
      </c>
      <c r="H47" s="135">
        <f>IF(Inicio!$E$51="AÑOS",(+H39-H46),(H39-H52))</f>
        <v>0</v>
      </c>
      <c r="I47" s="135">
        <f>IF(Inicio!$E$51="AÑOS",(+I39-I46),(I39-I52))</f>
        <v>0</v>
      </c>
      <c r="J47" s="135">
        <f>IF(Inicio!$E$51="AÑOS",(+J39-J46),(J39-J52))</f>
        <v>0</v>
      </c>
      <c r="K47" s="135">
        <f>IF(Inicio!$E$51="AÑOS",(+K39-K46),(K39-K52))</f>
        <v>0</v>
      </c>
      <c r="L47" s="135">
        <f>IF(Inicio!$E$51="AÑOS",(+L39-L46),(L39-L52))</f>
        <v>0</v>
      </c>
      <c r="M47" s="135">
        <f>IF(Inicio!$E$51="AÑOS",(+M39-M46),(M39-M52))</f>
        <v>0</v>
      </c>
      <c r="N47" s="135">
        <f>IF(Inicio!$E$51="AÑOS",(+N39-N46),(N39-N52))</f>
        <v>0</v>
      </c>
      <c r="O47" s="135">
        <f>IF(Inicio!$E$51="AÑOS",(+O39-O46),(O39-O52))</f>
        <v>0</v>
      </c>
      <c r="P47" s="136">
        <f>IF(Inicio!$E$51="AÑOS",(+P39-P46),(P39-P52))</f>
        <v>0</v>
      </c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</row>
    <row r="48" spans="1:42" ht="13.5" thickBot="1" x14ac:dyDescent="0.25">
      <c r="A48" s="134" t="s">
        <v>52</v>
      </c>
      <c r="B48" s="144">
        <f>SUM(B46:B47)</f>
        <v>2433692.7999999998</v>
      </c>
      <c r="C48" s="144">
        <f t="shared" ref="C48:P48" si="3">SUM(C46:C47)</f>
        <v>2770891.1999999997</v>
      </c>
      <c r="D48" s="144">
        <f t="shared" si="3"/>
        <v>3006416.9519999996</v>
      </c>
      <c r="E48" s="144">
        <f t="shared" si="3"/>
        <v>3258568.0511999996</v>
      </c>
      <c r="F48" s="144">
        <f t="shared" si="3"/>
        <v>3564058.8059999994</v>
      </c>
      <c r="G48" s="144">
        <f t="shared" si="3"/>
        <v>0</v>
      </c>
      <c r="H48" s="144">
        <f t="shared" si="3"/>
        <v>0</v>
      </c>
      <c r="I48" s="144">
        <f t="shared" si="3"/>
        <v>0</v>
      </c>
      <c r="J48" s="144">
        <f t="shared" si="3"/>
        <v>0</v>
      </c>
      <c r="K48" s="144">
        <f t="shared" si="3"/>
        <v>0</v>
      </c>
      <c r="L48" s="144">
        <f t="shared" si="3"/>
        <v>0</v>
      </c>
      <c r="M48" s="144">
        <f t="shared" si="3"/>
        <v>0</v>
      </c>
      <c r="N48" s="144">
        <f t="shared" si="3"/>
        <v>0</v>
      </c>
      <c r="O48" s="144">
        <f t="shared" si="3"/>
        <v>0</v>
      </c>
      <c r="P48" s="145">
        <f t="shared" si="3"/>
        <v>0</v>
      </c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</row>
    <row r="49" spans="1:42" x14ac:dyDescent="0.2">
      <c r="A49" s="118"/>
      <c r="B49" s="112"/>
      <c r="C49" s="112"/>
      <c r="D49" s="112"/>
      <c r="E49" s="112"/>
      <c r="F49" s="112"/>
      <c r="G49" s="112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</row>
    <row r="50" spans="1:42" ht="13.5" thickBot="1" x14ac:dyDescent="0.25">
      <c r="A50" s="118"/>
      <c r="B50" s="112"/>
      <c r="C50" s="112"/>
      <c r="D50" s="112"/>
      <c r="E50" s="112"/>
      <c r="F50" s="112"/>
      <c r="G50" s="112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</row>
    <row r="51" spans="1:42" ht="13.5" thickBot="1" x14ac:dyDescent="0.25">
      <c r="A51" s="149" t="s">
        <v>352</v>
      </c>
      <c r="B51" s="115">
        <v>1</v>
      </c>
      <c r="C51" s="115">
        <v>2</v>
      </c>
      <c r="D51" s="115">
        <v>3</v>
      </c>
      <c r="E51" s="115">
        <v>4</v>
      </c>
      <c r="F51" s="115">
        <v>5</v>
      </c>
      <c r="G51" s="115">
        <v>6</v>
      </c>
      <c r="H51" s="115">
        <v>7</v>
      </c>
      <c r="I51" s="115">
        <v>8</v>
      </c>
      <c r="J51" s="115">
        <v>9</v>
      </c>
      <c r="K51" s="115">
        <v>10</v>
      </c>
      <c r="L51" s="115">
        <v>11</v>
      </c>
      <c r="M51" s="115">
        <v>12</v>
      </c>
      <c r="N51" s="115">
        <v>13</v>
      </c>
      <c r="O51" s="115">
        <v>14</v>
      </c>
      <c r="P51" s="116">
        <v>15</v>
      </c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</row>
    <row r="52" spans="1:42" x14ac:dyDescent="0.2">
      <c r="A52" s="113" t="s">
        <v>326</v>
      </c>
      <c r="B52" s="155">
        <f>IF(B51&lt;=Inicio!$E$49,(IF(Inicio!$E$51="AÑOS",(((B39/360)*Inicio!$D$58)*Inicio!$D$59),(B39)*Inicio!$D$59)),0)</f>
        <v>0</v>
      </c>
      <c r="C52" s="155">
        <f>IF(C51&lt;=Inicio!$E$49,(IF(Inicio!$E$51="AÑOS",(((C39/360)*Inicio!$D$58)*Inicio!$D$59),(C39)*Inicio!$D$59)),0)</f>
        <v>0</v>
      </c>
      <c r="D52" s="155">
        <f>IF(D51&lt;=Inicio!$E$49,(IF(Inicio!$E$51="AÑOS",(((D39/360)*Inicio!$D$58)*Inicio!$D$59),(D39)*Inicio!$D$59)),0)</f>
        <v>0</v>
      </c>
      <c r="E52" s="155">
        <f>IF(E51&lt;=Inicio!$E$49,(IF(Inicio!$E$51="AÑOS",(((E39/360)*Inicio!$D$58)*Inicio!$D$59),(E39)*Inicio!$D$59)),0)</f>
        <v>0</v>
      </c>
      <c r="F52" s="155">
        <f>IF(F51&lt;=Inicio!$E$49,(IF(Inicio!$E$51="AÑOS",(((F39/360)*Inicio!$D$58)*Inicio!$D$59),(F39)*Inicio!$D$59)),0)</f>
        <v>0</v>
      </c>
      <c r="G52" s="155">
        <f>IF(G51&lt;=Inicio!$E$49,(IF(Inicio!$E$51="AÑOS",(((G39/360)*Inicio!$D$58)*Inicio!$D$59),(G39)*Inicio!$D$59)),0)</f>
        <v>0</v>
      </c>
      <c r="H52" s="155">
        <f>IF(H51&lt;=Inicio!$E$49,(IF(Inicio!$E$51="AÑOS",(((H39/360)*Inicio!$D$58)*Inicio!$D$59),(H39)*Inicio!$D$59)),0)</f>
        <v>0</v>
      </c>
      <c r="I52" s="155">
        <f>IF(I51&lt;=Inicio!$E$49,(IF(Inicio!$E$51="AÑOS",(((I39/360)*Inicio!$D$58)*Inicio!$D$59),(I39)*Inicio!$D$59)),0)</f>
        <v>0</v>
      </c>
      <c r="J52" s="155">
        <f>IF(J51&lt;=Inicio!$E$49,(IF(Inicio!$E$51="AÑOS",(((J39/360)*Inicio!$D$58)*Inicio!$D$59),(J39)*Inicio!$D$59)),0)</f>
        <v>0</v>
      </c>
      <c r="K52" s="155">
        <f>IF(K51&lt;=Inicio!$E$49,(IF(Inicio!$E$51="AÑOS",(((K39/360)*Inicio!$D$58)*Inicio!$D$59),(K39)*Inicio!$D$59)),0)</f>
        <v>0</v>
      </c>
      <c r="L52" s="155">
        <f>IF(L51&lt;=Inicio!$E$49,(IF(Inicio!$E$51="AÑOS",(((L39/360)*Inicio!$D$58)*Inicio!$D$59),(L39)*Inicio!$D$59)),0)</f>
        <v>0</v>
      </c>
      <c r="M52" s="155">
        <f>IF(M51&lt;=Inicio!$E$49,(IF(Inicio!$E$51="AÑOS",(((M39/360)*Inicio!$D$58)*Inicio!$D$59),(M39)*Inicio!$D$59)),0)</f>
        <v>0</v>
      </c>
      <c r="N52" s="155">
        <f>IF(N51&lt;=Inicio!$E$49,(IF(Inicio!$E$51="AÑOS",(((N39/360)*Inicio!$D$58)*Inicio!$D$59),(N39)*Inicio!$D$59)),0)</f>
        <v>0</v>
      </c>
      <c r="O52" s="155">
        <f>IF(O51&lt;=Inicio!$E$49,(IF(Inicio!$E$51="AÑOS",(((O39/360)*Inicio!$D$58)*Inicio!$D$59),(O39)*Inicio!$D$59)),0)</f>
        <v>0</v>
      </c>
      <c r="P52" s="156">
        <f>IF(P51&lt;=Inicio!$E$49,(IF(Inicio!$E$51="AÑOS",(((P39/360)*Inicio!$D$58)*Inicio!$D$59),(P39)*Inicio!$D$59)),0)</f>
        <v>0</v>
      </c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</row>
    <row r="53" spans="1:42" x14ac:dyDescent="0.2">
      <c r="A53" s="94" t="s">
        <v>193</v>
      </c>
      <c r="B53" s="95">
        <f>IF(Inicio!$E$51="AÑOS",((+B39/12)-B52),B47)</f>
        <v>202807.73333333331</v>
      </c>
      <c r="C53" s="95">
        <f>IF(Inicio!$E$51="AÑOS",((+C39/12)-C52),C47)</f>
        <v>230907.59999999998</v>
      </c>
      <c r="D53" s="95">
        <f>IF(Inicio!$E$51="AÑOS",((+D39/12)-D52),D47)</f>
        <v>250534.74599999996</v>
      </c>
      <c r="E53" s="95">
        <f>IF(Inicio!$E$51="AÑOS",((+E39/12)-E52),E47)</f>
        <v>271547.33759999997</v>
      </c>
      <c r="F53" s="95">
        <f>IF(Inicio!$E$51="AÑOS",((+F39/12)-F52),F47)</f>
        <v>297004.90049999993</v>
      </c>
      <c r="G53" s="95">
        <f>IF(Inicio!$E$51="AÑOS",((+G39/12)-G52),G47)</f>
        <v>0</v>
      </c>
      <c r="H53" s="95">
        <f>IF(Inicio!$E$51="AÑOS",((+H39/12)-H52),H47)</f>
        <v>0</v>
      </c>
      <c r="I53" s="95">
        <f>IF(Inicio!$E$51="AÑOS",((+I39/12)-I52),I47)</f>
        <v>0</v>
      </c>
      <c r="J53" s="95">
        <f>IF(Inicio!$E$51="AÑOS",((+J39/12)-J52),J47)</f>
        <v>0</v>
      </c>
      <c r="K53" s="95">
        <f>IF(Inicio!$E$51="AÑOS",((+K39/12)-K52),K47)</f>
        <v>0</v>
      </c>
      <c r="L53" s="95">
        <f>IF(Inicio!$E$51="AÑOS",((+L39/12)-L52),L47)</f>
        <v>0</v>
      </c>
      <c r="M53" s="95">
        <f>IF(Inicio!$E$51="AÑOS",((+M39/12)-M52),M47)</f>
        <v>0</v>
      </c>
      <c r="N53" s="95">
        <f>IF(Inicio!$E$51="AÑOS",((+N39/12)-N52),N47)</f>
        <v>0</v>
      </c>
      <c r="O53" s="95">
        <f>IF(Inicio!$E$51="AÑOS",((+O39/12)-O52),O47)</f>
        <v>0</v>
      </c>
      <c r="P53" s="96">
        <f>IF(Inicio!$E$51="AÑOS",((+P39/12)-P52),P47)</f>
        <v>0</v>
      </c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</row>
    <row r="54" spans="1:42" ht="13.5" thickBot="1" x14ac:dyDescent="0.25">
      <c r="A54" s="134" t="s">
        <v>281</v>
      </c>
      <c r="B54" s="330">
        <f>+B52+B53</f>
        <v>202807.73333333331</v>
      </c>
      <c r="C54" s="330">
        <f t="shared" ref="C54:P54" si="4">+C52+C53</f>
        <v>230907.59999999998</v>
      </c>
      <c r="D54" s="330">
        <f t="shared" si="4"/>
        <v>250534.74599999996</v>
      </c>
      <c r="E54" s="330">
        <f t="shared" si="4"/>
        <v>271547.33759999997</v>
      </c>
      <c r="F54" s="330">
        <f t="shared" si="4"/>
        <v>297004.90049999993</v>
      </c>
      <c r="G54" s="330">
        <f t="shared" si="4"/>
        <v>0</v>
      </c>
      <c r="H54" s="330">
        <f t="shared" si="4"/>
        <v>0</v>
      </c>
      <c r="I54" s="330">
        <f t="shared" si="4"/>
        <v>0</v>
      </c>
      <c r="J54" s="330">
        <f t="shared" si="4"/>
        <v>0</v>
      </c>
      <c r="K54" s="330">
        <f t="shared" si="4"/>
        <v>0</v>
      </c>
      <c r="L54" s="330">
        <f t="shared" si="4"/>
        <v>0</v>
      </c>
      <c r="M54" s="330">
        <f t="shared" si="4"/>
        <v>0</v>
      </c>
      <c r="N54" s="330">
        <f t="shared" si="4"/>
        <v>0</v>
      </c>
      <c r="O54" s="330">
        <f t="shared" si="4"/>
        <v>0</v>
      </c>
      <c r="P54" s="288">
        <f t="shared" si="4"/>
        <v>0</v>
      </c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</row>
    <row r="55" spans="1:42" x14ac:dyDescent="0.2">
      <c r="A55" s="94" t="s">
        <v>353</v>
      </c>
      <c r="B55" s="95">
        <f>+B52*12</f>
        <v>0</v>
      </c>
      <c r="C55" s="95">
        <f t="shared" ref="C55:P55" si="5">+C52*12</f>
        <v>0</v>
      </c>
      <c r="D55" s="95">
        <f t="shared" si="5"/>
        <v>0</v>
      </c>
      <c r="E55" s="95">
        <f t="shared" si="5"/>
        <v>0</v>
      </c>
      <c r="F55" s="95">
        <f t="shared" si="5"/>
        <v>0</v>
      </c>
      <c r="G55" s="95">
        <f t="shared" si="5"/>
        <v>0</v>
      </c>
      <c r="H55" s="95">
        <f t="shared" si="5"/>
        <v>0</v>
      </c>
      <c r="I55" s="95">
        <f t="shared" si="5"/>
        <v>0</v>
      </c>
      <c r="J55" s="95">
        <f t="shared" si="5"/>
        <v>0</v>
      </c>
      <c r="K55" s="95">
        <f t="shared" si="5"/>
        <v>0</v>
      </c>
      <c r="L55" s="95">
        <f t="shared" si="5"/>
        <v>0</v>
      </c>
      <c r="M55" s="95">
        <f t="shared" si="5"/>
        <v>0</v>
      </c>
      <c r="N55" s="95">
        <f t="shared" si="5"/>
        <v>0</v>
      </c>
      <c r="O55" s="95">
        <f t="shared" si="5"/>
        <v>0</v>
      </c>
      <c r="P55" s="96">
        <f t="shared" si="5"/>
        <v>0</v>
      </c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</row>
    <row r="56" spans="1:42" ht="13.5" thickBot="1" x14ac:dyDescent="0.25">
      <c r="A56" s="94" t="s">
        <v>282</v>
      </c>
      <c r="B56" s="95">
        <f>+B53*12</f>
        <v>2433692.7999999998</v>
      </c>
      <c r="C56" s="95">
        <f t="shared" ref="C56:P56" si="6">+C53*12</f>
        <v>2770891.1999999997</v>
      </c>
      <c r="D56" s="95">
        <f t="shared" si="6"/>
        <v>3006416.9519999996</v>
      </c>
      <c r="E56" s="95">
        <f t="shared" si="6"/>
        <v>3258568.0511999996</v>
      </c>
      <c r="F56" s="95">
        <f t="shared" si="6"/>
        <v>3564058.8059999989</v>
      </c>
      <c r="G56" s="95">
        <f t="shared" si="6"/>
        <v>0</v>
      </c>
      <c r="H56" s="95">
        <f t="shared" si="6"/>
        <v>0</v>
      </c>
      <c r="I56" s="95">
        <f t="shared" si="6"/>
        <v>0</v>
      </c>
      <c r="J56" s="95">
        <f t="shared" si="6"/>
        <v>0</v>
      </c>
      <c r="K56" s="95">
        <f t="shared" si="6"/>
        <v>0</v>
      </c>
      <c r="L56" s="95">
        <f t="shared" si="6"/>
        <v>0</v>
      </c>
      <c r="M56" s="95">
        <f t="shared" si="6"/>
        <v>0</v>
      </c>
      <c r="N56" s="95">
        <f t="shared" si="6"/>
        <v>0</v>
      </c>
      <c r="O56" s="95">
        <f t="shared" si="6"/>
        <v>0</v>
      </c>
      <c r="P56" s="96">
        <f t="shared" si="6"/>
        <v>0</v>
      </c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</row>
    <row r="57" spans="1:42" ht="13.5" thickBot="1" x14ac:dyDescent="0.25">
      <c r="A57" s="105" t="s">
        <v>283</v>
      </c>
      <c r="B57" s="472">
        <f>+B55+B56</f>
        <v>2433692.7999999998</v>
      </c>
      <c r="C57" s="472">
        <f t="shared" ref="C57:P57" si="7">+C55+C56</f>
        <v>2770891.1999999997</v>
      </c>
      <c r="D57" s="472">
        <f t="shared" si="7"/>
        <v>3006416.9519999996</v>
      </c>
      <c r="E57" s="472">
        <f t="shared" si="7"/>
        <v>3258568.0511999996</v>
      </c>
      <c r="F57" s="472">
        <f t="shared" si="7"/>
        <v>3564058.8059999989</v>
      </c>
      <c r="G57" s="472">
        <f t="shared" si="7"/>
        <v>0</v>
      </c>
      <c r="H57" s="472">
        <f t="shared" si="7"/>
        <v>0</v>
      </c>
      <c r="I57" s="472">
        <f t="shared" si="7"/>
        <v>0</v>
      </c>
      <c r="J57" s="472">
        <f t="shared" si="7"/>
        <v>0</v>
      </c>
      <c r="K57" s="472">
        <f t="shared" si="7"/>
        <v>0</v>
      </c>
      <c r="L57" s="472">
        <f t="shared" si="7"/>
        <v>0</v>
      </c>
      <c r="M57" s="472">
        <f t="shared" si="7"/>
        <v>0</v>
      </c>
      <c r="N57" s="472">
        <f t="shared" si="7"/>
        <v>0</v>
      </c>
      <c r="O57" s="472">
        <f t="shared" si="7"/>
        <v>0</v>
      </c>
      <c r="P57" s="473">
        <f t="shared" si="7"/>
        <v>0</v>
      </c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</row>
    <row r="58" spans="1:42" x14ac:dyDescent="0.2">
      <c r="A58" s="153"/>
      <c r="B58" s="112"/>
      <c r="C58" s="112"/>
      <c r="D58" s="112"/>
      <c r="E58" s="112"/>
      <c r="F58" s="112"/>
      <c r="G58" s="112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</row>
    <row r="59" spans="1:42" x14ac:dyDescent="0.2">
      <c r="A59" s="153"/>
      <c r="B59" s="112"/>
      <c r="C59" s="112"/>
      <c r="D59" s="112"/>
      <c r="E59" s="112"/>
      <c r="F59" s="112"/>
      <c r="G59" s="112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</row>
    <row r="60" spans="1:42" x14ac:dyDescent="0.2">
      <c r="A60" s="118"/>
      <c r="B60" s="112"/>
      <c r="C60" s="112"/>
      <c r="D60" s="112"/>
      <c r="E60" s="112"/>
      <c r="F60" s="112"/>
      <c r="G60" s="112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</row>
    <row r="61" spans="1:42" x14ac:dyDescent="0.2">
      <c r="A61" s="154" t="s">
        <v>243</v>
      </c>
      <c r="B61" s="112"/>
      <c r="C61" s="112"/>
      <c r="D61" s="112"/>
      <c r="E61" s="112"/>
      <c r="F61" s="112"/>
      <c r="G61" s="112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</row>
    <row r="62" spans="1:42" x14ac:dyDescent="0.2">
      <c r="A62" s="118"/>
      <c r="B62" s="112"/>
      <c r="C62" s="112"/>
      <c r="D62" s="112"/>
      <c r="E62" s="112"/>
      <c r="F62" s="112"/>
      <c r="G62" s="112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</row>
    <row r="63" spans="1:42" ht="13.5" thickBot="1" x14ac:dyDescent="0.25">
      <c r="A63" s="118"/>
      <c r="B63" s="112"/>
      <c r="C63" s="112"/>
      <c r="D63" s="112"/>
      <c r="E63" s="112"/>
      <c r="F63" s="112"/>
      <c r="G63" s="112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</row>
    <row r="64" spans="1:42" ht="13.5" thickBot="1" x14ac:dyDescent="0.25">
      <c r="A64" s="114" t="s">
        <v>4</v>
      </c>
      <c r="B64" s="115">
        <v>1</v>
      </c>
      <c r="C64" s="115">
        <v>2</v>
      </c>
      <c r="D64" s="115">
        <v>3</v>
      </c>
      <c r="E64" s="115">
        <v>4</v>
      </c>
      <c r="F64" s="116">
        <v>5</v>
      </c>
      <c r="G64" s="115">
        <v>6</v>
      </c>
      <c r="H64" s="115">
        <v>7</v>
      </c>
      <c r="I64" s="115">
        <v>8</v>
      </c>
      <c r="J64" s="115">
        <v>9</v>
      </c>
      <c r="K64" s="115">
        <v>10</v>
      </c>
      <c r="L64" s="115">
        <v>11</v>
      </c>
      <c r="M64" s="115">
        <v>12</v>
      </c>
      <c r="N64" s="115">
        <v>13</v>
      </c>
      <c r="O64" s="115">
        <v>14</v>
      </c>
      <c r="P64" s="116">
        <v>15</v>
      </c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</row>
    <row r="65" spans="1:42" x14ac:dyDescent="0.2">
      <c r="A65" s="113" t="s">
        <v>203</v>
      </c>
      <c r="B65" s="155">
        <f>IF(B1&lt;=Inicio!$E$49,+A71,0)</f>
        <v>0</v>
      </c>
      <c r="C65" s="155">
        <f>IF(C64&lt;=Inicio!$E$49,(+B67),0)</f>
        <v>23802.867635555554</v>
      </c>
      <c r="D65" s="155">
        <f>IF(D64&lt;=Inicio!$E$49,(+C67),0)</f>
        <v>27100.855320000002</v>
      </c>
      <c r="E65" s="155">
        <f>IF(E64&lt;=Inicio!$E$49,(+D67),0)</f>
        <v>29404.428022199994</v>
      </c>
      <c r="F65" s="155">
        <f>IF(F64&lt;=Inicio!$E$49,(+E67),0)</f>
        <v>31870.605856319995</v>
      </c>
      <c r="G65" s="155">
        <f>IF(G64&lt;=Inicio!$E$49,(+F67),0)</f>
        <v>0</v>
      </c>
      <c r="H65" s="155">
        <f>IF(H64&lt;=Inicio!$E$49,(+G67),0)</f>
        <v>0</v>
      </c>
      <c r="I65" s="155">
        <f>IF(I64&lt;=Inicio!$E$49,(+H67),0)</f>
        <v>0</v>
      </c>
      <c r="J65" s="155">
        <f>IF(J64&lt;=Inicio!$E$49,(+I67),0)</f>
        <v>0</v>
      </c>
      <c r="K65" s="155">
        <f>IF(K64&lt;=Inicio!$E$49,(+J67),0)</f>
        <v>0</v>
      </c>
      <c r="L65" s="155">
        <f>IF(L64&lt;=Inicio!$E$49,(+K67),0)</f>
        <v>0</v>
      </c>
      <c r="M65" s="155">
        <f>IF(M64&lt;=Inicio!$E$49,(+L67),0)</f>
        <v>0</v>
      </c>
      <c r="N65" s="155">
        <f>IF(N64&lt;=Inicio!$E$49,(+M67),0)</f>
        <v>0</v>
      </c>
      <c r="O65" s="155">
        <f>IF(O64&lt;=Inicio!$E$49,(+N67),0)</f>
        <v>0</v>
      </c>
      <c r="P65" s="156">
        <f>IF(P64&lt;=Inicio!$E$49,(+O67),0)</f>
        <v>0</v>
      </c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</row>
    <row r="66" spans="1:42" x14ac:dyDescent="0.2">
      <c r="A66" s="94" t="s">
        <v>204</v>
      </c>
      <c r="B66" s="93">
        <f>IF(B64&lt;=Inicio!$E$49,(+B68+B67-B65),0)</f>
        <v>1247950.3460355555</v>
      </c>
      <c r="C66" s="93">
        <f>IF(C64&lt;=Inicio!$E$49,(+C68+C67-C65),0)</f>
        <v>1397056.2612844445</v>
      </c>
      <c r="D66" s="93">
        <f>IF(D64&lt;=Inicio!$E$49,(+D68+D67-D65),0)</f>
        <v>1514531.2995581997</v>
      </c>
      <c r="E66" s="93">
        <f>IF(E64&lt;=Inicio!$E$49,(+E68+E67-E65),0)</f>
        <v>1641525.9075877196</v>
      </c>
      <c r="F66" s="93">
        <f>IF(F64&lt;=Inicio!$E$49,(+F68+F67-F65),0)</f>
        <v>1795709.4487170298</v>
      </c>
      <c r="G66" s="93">
        <f>IF(G64&lt;=Inicio!$E$49,(+G68+G67-G65),0)</f>
        <v>0</v>
      </c>
      <c r="H66" s="93">
        <f>IF(H64&lt;=Inicio!$E$49,(+H68+H67-H65),0)</f>
        <v>0</v>
      </c>
      <c r="I66" s="93">
        <f>IF(I64&lt;=Inicio!$E$49,(+I68+I67-I65),0)</f>
        <v>0</v>
      </c>
      <c r="J66" s="93">
        <f>IF(J64&lt;=Inicio!$E$49,(+J68+J67-J65),0)</f>
        <v>0</v>
      </c>
      <c r="K66" s="93">
        <f>IF(K64&lt;=Inicio!$E$49,(+K68+K67-K65),0)</f>
        <v>0</v>
      </c>
      <c r="L66" s="93">
        <f>IF(L64&lt;=Inicio!$E$49,(+L68+L67-L65),0)</f>
        <v>0</v>
      </c>
      <c r="M66" s="93">
        <f>IF(M64&lt;=Inicio!$E$49,(+M68+M67-M65),0)</f>
        <v>0</v>
      </c>
      <c r="N66" s="93">
        <f>IF(N64&lt;=Inicio!$E$49,(+N68+N67-N65),0)</f>
        <v>0</v>
      </c>
      <c r="O66" s="93">
        <f>IF(O64&lt;=Inicio!$E$49,(+O68+O67-O65),0)</f>
        <v>0</v>
      </c>
      <c r="P66" s="98">
        <f>IF(P64&lt;=Inicio!$E$49,(+P68+P67-P65),0)</f>
        <v>0</v>
      </c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</row>
    <row r="67" spans="1:42" ht="13.5" thickBot="1" x14ac:dyDescent="0.25">
      <c r="A67" s="134" t="s">
        <v>205</v>
      </c>
      <c r="B67" s="135">
        <f>+B75</f>
        <v>23802.867635555554</v>
      </c>
      <c r="C67" s="135">
        <f t="shared" ref="C67:P67" si="8">+C75</f>
        <v>27100.855320000002</v>
      </c>
      <c r="D67" s="135">
        <f t="shared" si="8"/>
        <v>29404.428022199994</v>
      </c>
      <c r="E67" s="135">
        <f t="shared" si="8"/>
        <v>31870.605856319995</v>
      </c>
      <c r="F67" s="135">
        <f t="shared" si="8"/>
        <v>34858.475155349995</v>
      </c>
      <c r="G67" s="135">
        <f t="shared" si="8"/>
        <v>0</v>
      </c>
      <c r="H67" s="135">
        <f t="shared" si="8"/>
        <v>0</v>
      </c>
      <c r="I67" s="135">
        <f t="shared" si="8"/>
        <v>0</v>
      </c>
      <c r="J67" s="135">
        <f t="shared" si="8"/>
        <v>0</v>
      </c>
      <c r="K67" s="135">
        <f t="shared" si="8"/>
        <v>0</v>
      </c>
      <c r="L67" s="135">
        <f t="shared" si="8"/>
        <v>0</v>
      </c>
      <c r="M67" s="135">
        <f t="shared" si="8"/>
        <v>0</v>
      </c>
      <c r="N67" s="135">
        <f t="shared" si="8"/>
        <v>0</v>
      </c>
      <c r="O67" s="135">
        <f t="shared" si="8"/>
        <v>0</v>
      </c>
      <c r="P67" s="136">
        <f t="shared" si="8"/>
        <v>0</v>
      </c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</row>
    <row r="68" spans="1:42" ht="13.5" thickBot="1" x14ac:dyDescent="0.25">
      <c r="A68" s="99" t="s">
        <v>206</v>
      </c>
      <c r="B68" s="101">
        <f>+B11*B48</f>
        <v>1224147.4783999999</v>
      </c>
      <c r="C68" s="101">
        <f>+C11*C48</f>
        <v>1393758.2736</v>
      </c>
      <c r="D68" s="101">
        <f>+D11*D48</f>
        <v>1512227.7268559998</v>
      </c>
      <c r="E68" s="101">
        <f t="shared" ref="E68:P68" si="9">+E11*E48</f>
        <v>1639059.7297535997</v>
      </c>
      <c r="F68" s="101">
        <f t="shared" si="9"/>
        <v>1792721.5794179996</v>
      </c>
      <c r="G68" s="101">
        <f t="shared" si="9"/>
        <v>0</v>
      </c>
      <c r="H68" s="101">
        <f t="shared" si="9"/>
        <v>0</v>
      </c>
      <c r="I68" s="101">
        <f t="shared" si="9"/>
        <v>0</v>
      </c>
      <c r="J68" s="101">
        <f t="shared" si="9"/>
        <v>0</v>
      </c>
      <c r="K68" s="101">
        <f t="shared" si="9"/>
        <v>0</v>
      </c>
      <c r="L68" s="101">
        <f t="shared" si="9"/>
        <v>0</v>
      </c>
      <c r="M68" s="101">
        <f t="shared" si="9"/>
        <v>0</v>
      </c>
      <c r="N68" s="101">
        <f t="shared" si="9"/>
        <v>0</v>
      </c>
      <c r="O68" s="101">
        <f t="shared" si="9"/>
        <v>0</v>
      </c>
      <c r="P68" s="102">
        <f t="shared" si="9"/>
        <v>0</v>
      </c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</row>
    <row r="69" spans="1:42" ht="13.5" thickBot="1" x14ac:dyDescent="0.25">
      <c r="A69" s="105" t="s">
        <v>258</v>
      </c>
      <c r="B69" s="157">
        <f>IF(Inicio!$E$49&gt;=B64,(+B68/B39),0)</f>
        <v>0.503</v>
      </c>
      <c r="C69" s="158">
        <f>IF(Inicio!$E$49&gt;=C64,(+C68/C39),0)</f>
        <v>0.503</v>
      </c>
      <c r="D69" s="158">
        <f>IF(Inicio!$E$49&gt;=D64,(+D68/D39),0)</f>
        <v>0.503</v>
      </c>
      <c r="E69" s="158">
        <f>IF(Inicio!$E$49&gt;=E64,(+E68/E39),0)</f>
        <v>0.503</v>
      </c>
      <c r="F69" s="158">
        <f>IF(Inicio!$E$49&gt;=F64,(+F68/F39),0)</f>
        <v>0.503</v>
      </c>
      <c r="G69" s="158">
        <f>IF(Inicio!$E$49&gt;=G64,(+G68/G39),0)</f>
        <v>0</v>
      </c>
      <c r="H69" s="158">
        <f>IF(Inicio!$E$49&gt;=H64,(+H68/H39),0)</f>
        <v>0</v>
      </c>
      <c r="I69" s="158">
        <f>IF(Inicio!$E$49&gt;=I64,(+I68/I39),0)</f>
        <v>0</v>
      </c>
      <c r="J69" s="158">
        <f>IF(Inicio!$E$49&gt;=J64,(+J68/J39),0)</f>
        <v>0</v>
      </c>
      <c r="K69" s="158">
        <f>IF(Inicio!$E$49&gt;=K64,(+K68/K39),0)</f>
        <v>0</v>
      </c>
      <c r="L69" s="158">
        <f>IF(Inicio!$E$49&gt;=L64,(+L68/L39),0)</f>
        <v>0</v>
      </c>
      <c r="M69" s="158">
        <f>IF(Inicio!$E$49&gt;=M64,(+M68/M39),0)</f>
        <v>0</v>
      </c>
      <c r="N69" s="158">
        <f>IF(Inicio!$E$49&gt;=N64,(+N68/N39),0)</f>
        <v>0</v>
      </c>
      <c r="O69" s="158">
        <f>IF(Inicio!$E$49&gt;=O64,(+O68/O39),0)</f>
        <v>0</v>
      </c>
      <c r="P69" s="159">
        <f>IF(Inicio!$E$49&gt;=P64,(+P68/P39),0)</f>
        <v>0</v>
      </c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</row>
    <row r="70" spans="1:42" ht="13.5" thickBot="1" x14ac:dyDescent="0.25">
      <c r="A70" s="160" t="s">
        <v>207</v>
      </c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</row>
    <row r="71" spans="1:42" ht="13.5" thickBot="1" x14ac:dyDescent="0.25">
      <c r="A71" s="161">
        <v>0</v>
      </c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</row>
    <row r="72" spans="1:42" ht="13.5" thickBot="1" x14ac:dyDescent="0.25">
      <c r="A72" s="162" t="s">
        <v>211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</row>
    <row r="73" spans="1:42" ht="13.5" thickBot="1" x14ac:dyDescent="0.25">
      <c r="A73" s="161" t="s">
        <v>1</v>
      </c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</row>
    <row r="74" spans="1:42" ht="13.5" thickBot="1" x14ac:dyDescent="0.25">
      <c r="A74" s="162" t="s">
        <v>354</v>
      </c>
      <c r="B74" s="163" t="s">
        <v>247</v>
      </c>
      <c r="C74" s="164"/>
      <c r="D74" s="164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</row>
    <row r="75" spans="1:42" ht="13.5" thickBot="1" x14ac:dyDescent="0.25">
      <c r="A75" s="161">
        <f>+Inicio!F66</f>
        <v>7</v>
      </c>
      <c r="B75" s="146">
        <f>IF(B64&lt;=Inicio!$E$49,(IF(Inicio!$E$51="AÑOS",((B6/360)*$A$75),((B6/30)*$A$75))),0)</f>
        <v>23802.867635555554</v>
      </c>
      <c r="C75" s="146">
        <f>IF(C64&lt;=Inicio!$E$49,(IF(Inicio!$E$51="AÑOS",((C6/360)*$A$75),((C6/30)*$A$75))),0)</f>
        <v>27100.855320000002</v>
      </c>
      <c r="D75" s="146">
        <f>IF(D64&lt;=Inicio!$E$49,(IF(Inicio!$E$51="AÑOS",((D6/360)*$A$75),((D6/30)*$A$75))),0)</f>
        <v>29404.428022199994</v>
      </c>
      <c r="E75" s="146">
        <f>IF(E64&lt;=Inicio!$E$49,(IF(Inicio!$E$51="AÑOS",((E6/360)*$A$75),((E6/30)*$A$75))),0)</f>
        <v>31870.605856319995</v>
      </c>
      <c r="F75" s="146">
        <f>IF(F64&lt;=Inicio!$E$49,(IF(Inicio!$E$51="AÑOS",((F6/360)*$A$75),((F6/30)*$A$75))),0)</f>
        <v>34858.475155349995</v>
      </c>
      <c r="G75" s="146">
        <f>IF(G64&lt;=Inicio!$E$49,(IF(Inicio!$E$51="AÑOS",((G6/360)*$A$75),((G6/30)*$A$75))),0)</f>
        <v>0</v>
      </c>
      <c r="H75" s="146">
        <f>IF(H64&lt;=Inicio!$E$49,(IF(Inicio!$E$51="AÑOS",((H6/360)*$A$75),((H6/30)*$A$75))),0)</f>
        <v>0</v>
      </c>
      <c r="I75" s="146">
        <f>IF(I64&lt;=Inicio!$E$49,(IF(Inicio!$E$51="AÑOS",((I6/360)*$A$75),((I6/30)*$A$75))),0)</f>
        <v>0</v>
      </c>
      <c r="J75" s="146">
        <f>IF(J64&lt;=Inicio!$E$49,(IF(Inicio!$E$51="AÑOS",((J6/360)*$A$75),((J6/30)*$A$75))),0)</f>
        <v>0</v>
      </c>
      <c r="K75" s="146">
        <f>IF(K64&lt;=Inicio!$E$49,(IF(Inicio!$E$51="AÑOS",((K6/360)*$A$75),((K6/30)*$A$75))),0)</f>
        <v>0</v>
      </c>
      <c r="L75" s="146">
        <f>IF(L64&lt;=Inicio!$E$49,(IF(Inicio!$E$51="AÑOS",((L6/360)*$A$75),((L6/30)*$A$75))),0)</f>
        <v>0</v>
      </c>
      <c r="M75" s="146">
        <f>IF(M64&lt;=Inicio!$E$49,(IF(Inicio!$E$51="AÑOS",((M6/360)*$A$75),((M6/30)*$A$75))),0)</f>
        <v>0</v>
      </c>
      <c r="N75" s="146">
        <f>IF(N64&lt;=Inicio!$E$49,(IF(Inicio!$E$51="AÑOS",((N6/360)*$A$75),((N6/30)*$A$75))),0)</f>
        <v>0</v>
      </c>
      <c r="O75" s="146">
        <f>IF(O64&lt;=Inicio!$E$49,(IF(Inicio!$E$51="AÑOS",((O6/360)*$A$75),((O6/30)*$A$75))),0)</f>
        <v>0</v>
      </c>
      <c r="P75" s="165">
        <f>IF(P64&lt;=Inicio!$E$49,(IF(Inicio!$E$51="AÑOS",((P6/360)*$A$75),((P6/30)*$A$75))),0)</f>
        <v>0</v>
      </c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</row>
    <row r="76" spans="1:42" ht="13.5" thickBot="1" x14ac:dyDescent="0.25">
      <c r="A76" s="118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</row>
    <row r="77" spans="1:42" ht="13.5" thickBot="1" x14ac:dyDescent="0.25">
      <c r="A77" s="134" t="s">
        <v>350</v>
      </c>
      <c r="B77" s="146">
        <f>IF(Inicio!E58&lt;=30,(B80),0)</f>
        <v>47998.090232136747</v>
      </c>
      <c r="C77" s="147">
        <f>IF(Inicio!$E$58&gt;=60,(0),((IF(Inicio!$E$58&lt;=30,(C80),(B80)))))</f>
        <v>53732.933126324788</v>
      </c>
      <c r="D77" s="147">
        <f>IF(Inicio!$E$58&gt;=60,(B80),((IF(Inicio!$E$58&lt;=30,(D80),(C80)))))</f>
        <v>58251.203829161524</v>
      </c>
      <c r="E77" s="147">
        <f>IF(Inicio!$E$58&gt;=60,(C80),((IF(Inicio!$E$58&lt;=30,(E80),(D80)))))</f>
        <v>63135.611830296904</v>
      </c>
      <c r="F77" s="147">
        <f>IF(Inicio!$E$58&gt;=60,(D80),((IF(Inicio!$E$58&lt;=30,(F80),(E80)))))</f>
        <v>69065.748027578069</v>
      </c>
      <c r="G77" s="147">
        <f>IF(Inicio!$E$58&gt;=60,(E80),((IF(Inicio!$E$58&lt;=30,(G80),(F80)))))</f>
        <v>0</v>
      </c>
      <c r="H77" s="147">
        <f>IF(Inicio!$E$58&gt;=60,(F80),((IF(Inicio!$E$58&lt;=30,(H80),(G80)))))</f>
        <v>0</v>
      </c>
      <c r="I77" s="147">
        <f>IF(Inicio!$E$58&gt;=60,(G80),((IF(Inicio!$E$58&lt;=30,(I80),(H80)))))</f>
        <v>0</v>
      </c>
      <c r="J77" s="147">
        <f>IF(Inicio!$E$58&gt;=60,(H80),((IF(Inicio!$E$58&lt;=30,(J80),(I80)))))</f>
        <v>0</v>
      </c>
      <c r="K77" s="147">
        <f>IF(Inicio!$E$58&gt;=60,(I80),((IF(Inicio!$E$58&lt;=30,(K80),(J80)))))</f>
        <v>0</v>
      </c>
      <c r="L77" s="147">
        <f>IF(Inicio!$E$58&gt;=60,(J80),((IF(Inicio!$E$58&lt;=30,(L80),(K80)))))</f>
        <v>0</v>
      </c>
      <c r="M77" s="147">
        <f>IF(Inicio!$E$58&gt;=60,(K80),((IF(Inicio!$E$58&lt;=30,(M80),(L80)))))</f>
        <v>0</v>
      </c>
      <c r="N77" s="147">
        <f>IF(Inicio!$E$58&gt;=60,(L80),((IF(Inicio!$E$58&lt;=30,(N80),(M80)))))</f>
        <v>0</v>
      </c>
      <c r="O77" s="147">
        <f>IF(Inicio!$E$58&gt;=60,(M80),((IF(Inicio!$E$58&lt;=30,(O80),(N80)))))</f>
        <v>0</v>
      </c>
      <c r="P77" s="148">
        <f>IF(Inicio!$E$58&gt;=60,(N80),((IF(Inicio!$E$58&lt;=30,(P80),(O80)))))</f>
        <v>0</v>
      </c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</row>
    <row r="78" spans="1:42" ht="13.5" thickBot="1" x14ac:dyDescent="0.25">
      <c r="A78" s="94" t="s">
        <v>351</v>
      </c>
      <c r="B78" s="112"/>
      <c r="C78" s="112"/>
      <c r="D78" s="112"/>
      <c r="E78" s="112"/>
      <c r="F78" s="112"/>
      <c r="G78" s="112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</row>
    <row r="79" spans="1:42" ht="13.5" thickBot="1" x14ac:dyDescent="0.25">
      <c r="A79" s="149" t="s">
        <v>245</v>
      </c>
      <c r="B79" s="115">
        <v>1</v>
      </c>
      <c r="C79" s="115">
        <v>2</v>
      </c>
      <c r="D79" s="115">
        <v>3</v>
      </c>
      <c r="E79" s="115">
        <v>4</v>
      </c>
      <c r="F79" s="116">
        <v>5</v>
      </c>
      <c r="G79" s="115">
        <v>6</v>
      </c>
      <c r="H79" s="115">
        <v>7</v>
      </c>
      <c r="I79" s="115">
        <v>8</v>
      </c>
      <c r="J79" s="115">
        <v>9</v>
      </c>
      <c r="K79" s="115">
        <v>10</v>
      </c>
      <c r="L79" s="115">
        <v>11</v>
      </c>
      <c r="M79" s="115">
        <v>12</v>
      </c>
      <c r="N79" s="115">
        <v>13</v>
      </c>
      <c r="O79" s="115">
        <v>14</v>
      </c>
      <c r="P79" s="116">
        <v>15</v>
      </c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</row>
    <row r="80" spans="1:42" x14ac:dyDescent="0.2">
      <c r="A80" s="113" t="s">
        <v>326</v>
      </c>
      <c r="B80" s="132">
        <f>IF(B79&lt;=Inicio!$E$49,(+B87),0)</f>
        <v>47998.090232136747</v>
      </c>
      <c r="C80" s="132">
        <f>IF(C79&lt;=Inicio!$E$49,(+C87),0)</f>
        <v>53732.933126324788</v>
      </c>
      <c r="D80" s="132">
        <f>IF(D79&lt;=Inicio!$E$49,(+D87),0)</f>
        <v>58251.203829161524</v>
      </c>
      <c r="E80" s="132">
        <f>IF(E79&lt;=Inicio!$E$49,(+E87),0)</f>
        <v>63135.611830296904</v>
      </c>
      <c r="F80" s="132">
        <f>IF(F79&lt;=Inicio!$E$49,(+F87),0)</f>
        <v>69065.748027578069</v>
      </c>
      <c r="G80" s="132">
        <f>IF(G79&lt;=Inicio!$E$49,(+G87),0)</f>
        <v>0</v>
      </c>
      <c r="H80" s="132">
        <f>IF(H79&lt;=Inicio!$E$49,(+H87),0)</f>
        <v>0</v>
      </c>
      <c r="I80" s="132">
        <f>IF(I79&lt;=Inicio!$E$49,(+I87),0)</f>
        <v>0</v>
      </c>
      <c r="J80" s="132">
        <f>IF(J79&lt;=Inicio!$E$49,(+J87),0)</f>
        <v>0</v>
      </c>
      <c r="K80" s="132">
        <f>IF(K79&lt;=Inicio!$E$49,(+K87),0)</f>
        <v>0</v>
      </c>
      <c r="L80" s="132">
        <f>IF(L79&lt;=Inicio!$E$49,(+L87),0)</f>
        <v>0</v>
      </c>
      <c r="M80" s="132">
        <f>IF(M79&lt;=Inicio!$E$49,(+M87),0)</f>
        <v>0</v>
      </c>
      <c r="N80" s="132">
        <f>IF(N79&lt;=Inicio!$E$49,(+N87),0)</f>
        <v>0</v>
      </c>
      <c r="O80" s="132">
        <f>IF(O79&lt;=Inicio!$E$49,(+O87),0)</f>
        <v>0</v>
      </c>
      <c r="P80" s="133">
        <f>IF(P79&lt;=Inicio!$E$49,(+P87),0)</f>
        <v>0</v>
      </c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</row>
    <row r="81" spans="1:42" ht="13.5" thickBot="1" x14ac:dyDescent="0.25">
      <c r="A81" s="134" t="s">
        <v>193</v>
      </c>
      <c r="B81" s="135">
        <f>IF(B79&lt;=Inicio!$E$49,(+B66-B80),0)</f>
        <v>1199952.2558034188</v>
      </c>
      <c r="C81" s="135">
        <f>IF(C79&lt;=Inicio!$E$49,(+C66-C80),0)</f>
        <v>1343323.3281581197</v>
      </c>
      <c r="D81" s="135">
        <f>IF(D79&lt;=Inicio!$E$49,(+D66-D80),0)</f>
        <v>1456280.0957290381</v>
      </c>
      <c r="E81" s="135">
        <f>IF(E79&lt;=Inicio!$E$49,(+E66-E80),0)</f>
        <v>1578390.2957574227</v>
      </c>
      <c r="F81" s="135">
        <f>IF(F79&lt;=Inicio!$E$49,(+F66-F80),0)</f>
        <v>1726643.7006894518</v>
      </c>
      <c r="G81" s="135">
        <f>IF(G79&lt;=Inicio!$E$49,(+G66-G80),0)</f>
        <v>0</v>
      </c>
      <c r="H81" s="135">
        <f>IF(H79&lt;=Inicio!$E$49,(+H66-H80),0)</f>
        <v>0</v>
      </c>
      <c r="I81" s="135">
        <f>IF(I79&lt;=Inicio!$E$49,(+I66-I80),0)</f>
        <v>0</v>
      </c>
      <c r="J81" s="135">
        <f>IF(J79&lt;=Inicio!$E$49,(+J66-J80),0)</f>
        <v>0</v>
      </c>
      <c r="K81" s="135">
        <f>IF(K79&lt;=Inicio!$E$49,(+K66-K80),0)</f>
        <v>0</v>
      </c>
      <c r="L81" s="135">
        <f>IF(L79&lt;=Inicio!$E$49,(+L66-L80),0)</f>
        <v>0</v>
      </c>
      <c r="M81" s="135">
        <f>IF(M79&lt;=Inicio!$E$49,(+M66-M80),0)</f>
        <v>0</v>
      </c>
      <c r="N81" s="135">
        <f>IF(N79&lt;=Inicio!$E$49,(+N66-N80),0)</f>
        <v>0</v>
      </c>
      <c r="O81" s="135">
        <f>IF(O79&lt;=Inicio!$E$49,(+O66-O80),0)</f>
        <v>0</v>
      </c>
      <c r="P81" s="136">
        <f>IF(P79&lt;=Inicio!$E$49,(+P66-P80),0)</f>
        <v>0</v>
      </c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</row>
    <row r="82" spans="1:42" ht="13.5" thickBot="1" x14ac:dyDescent="0.25">
      <c r="A82" s="105" t="s">
        <v>52</v>
      </c>
      <c r="B82" s="101">
        <f t="shared" ref="B82:P82" si="10">SUM(B80:B81)</f>
        <v>1247950.3460355555</v>
      </c>
      <c r="C82" s="101">
        <f t="shared" si="10"/>
        <v>1397056.2612844445</v>
      </c>
      <c r="D82" s="101">
        <f t="shared" si="10"/>
        <v>1514531.2995581997</v>
      </c>
      <c r="E82" s="101">
        <f t="shared" si="10"/>
        <v>1641525.9075877196</v>
      </c>
      <c r="F82" s="102">
        <f t="shared" si="10"/>
        <v>1795709.4487170298</v>
      </c>
      <c r="G82" s="101">
        <f t="shared" si="10"/>
        <v>0</v>
      </c>
      <c r="H82" s="101">
        <f t="shared" si="10"/>
        <v>0</v>
      </c>
      <c r="I82" s="101">
        <f t="shared" si="10"/>
        <v>0</v>
      </c>
      <c r="J82" s="101">
        <f t="shared" si="10"/>
        <v>0</v>
      </c>
      <c r="K82" s="101">
        <f t="shared" si="10"/>
        <v>0</v>
      </c>
      <c r="L82" s="101">
        <f t="shared" si="10"/>
        <v>0</v>
      </c>
      <c r="M82" s="101">
        <f t="shared" si="10"/>
        <v>0</v>
      </c>
      <c r="N82" s="101">
        <f t="shared" si="10"/>
        <v>0</v>
      </c>
      <c r="O82" s="101">
        <f t="shared" si="10"/>
        <v>0</v>
      </c>
      <c r="P82" s="102">
        <f t="shared" si="10"/>
        <v>0</v>
      </c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</row>
    <row r="83" spans="1:42" x14ac:dyDescent="0.2">
      <c r="A83" s="153" t="s">
        <v>284</v>
      </c>
      <c r="B83" s="358">
        <f>+B81</f>
        <v>1199952.2558034188</v>
      </c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</row>
    <row r="84" spans="1:42" x14ac:dyDescent="0.2">
      <c r="A84" s="97"/>
      <c r="B84" s="97"/>
      <c r="C84" s="97"/>
      <c r="D84" s="97"/>
      <c r="E84" s="97"/>
      <c r="F84" s="166" t="s">
        <v>1</v>
      </c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</row>
    <row r="85" spans="1:42" ht="13.5" thickBot="1" x14ac:dyDescent="0.25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</row>
    <row r="86" spans="1:42" ht="13.5" thickBot="1" x14ac:dyDescent="0.25">
      <c r="A86" s="114" t="s">
        <v>355</v>
      </c>
      <c r="B86" s="115">
        <v>1</v>
      </c>
      <c r="C86" s="115">
        <v>2</v>
      </c>
      <c r="D86" s="115">
        <v>3</v>
      </c>
      <c r="E86" s="115">
        <v>4</v>
      </c>
      <c r="F86" s="116">
        <v>5</v>
      </c>
      <c r="G86" s="115">
        <v>6</v>
      </c>
      <c r="H86" s="115">
        <v>7</v>
      </c>
      <c r="I86" s="115">
        <v>8</v>
      </c>
      <c r="J86" s="115">
        <v>9</v>
      </c>
      <c r="K86" s="115">
        <v>10</v>
      </c>
      <c r="L86" s="115">
        <v>11</v>
      </c>
      <c r="M86" s="115">
        <v>12</v>
      </c>
      <c r="N86" s="115">
        <v>13</v>
      </c>
      <c r="O86" s="115">
        <v>14</v>
      </c>
      <c r="P86" s="116">
        <v>15</v>
      </c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</row>
    <row r="87" spans="1:42" ht="13.5" thickBot="1" x14ac:dyDescent="0.25">
      <c r="A87" s="134" t="s">
        <v>326</v>
      </c>
      <c r="B87" s="152">
        <f>IF(B86&lt;=Inicio!$E$49,(IF(Inicio!$E$51="AÑOS",(((B66/390)*Inicio!$E$58)*Inicio!$E$59),(B66)*Inicio!$E$59)),0)</f>
        <v>47998.090232136747</v>
      </c>
      <c r="C87" s="152">
        <f>IF(C86&lt;=Inicio!$E$49,(IF(Inicio!$E$51="AÑOS",(((C66/390)*Inicio!$E$58)*Inicio!$E$59),(C66)*Inicio!$E$59)),0)</f>
        <v>53732.933126324788</v>
      </c>
      <c r="D87" s="152">
        <f>IF(D86&lt;=Inicio!$E$49,(IF(Inicio!$E$51="AÑOS",(((D66/390)*Inicio!$E$58)*Inicio!$E$59),(D66)*Inicio!$E$59)),0)</f>
        <v>58251.203829161524</v>
      </c>
      <c r="E87" s="152">
        <f>IF(E86&lt;=Inicio!$E$49,(IF(Inicio!$E$51="AÑOS",(((E66/390)*Inicio!$E$58)*Inicio!$E$59),(E66)*Inicio!$E$59)),0)</f>
        <v>63135.611830296904</v>
      </c>
      <c r="F87" s="152">
        <f>IF(F86&lt;=Inicio!$E$49,(IF(Inicio!$E$51="AÑOS",(((F66/390)*Inicio!$E$58)*Inicio!$E$59),(F66)*Inicio!$E$59)),0)</f>
        <v>69065.748027578069</v>
      </c>
      <c r="G87" s="152">
        <f>IF(G86&lt;=Inicio!$E$49,(IF(Inicio!$E$51="AÑOS",(((G66/390)*Inicio!$E$58)*Inicio!$E$59),(G66)*Inicio!$E$59)),0)</f>
        <v>0</v>
      </c>
      <c r="H87" s="152">
        <f>IF(H86&lt;=Inicio!$E$49,(IF(Inicio!$E$51="AÑOS",(((H66/390)*Inicio!$E$58)*Inicio!$E$59),(H66)*Inicio!$E$59)),0)</f>
        <v>0</v>
      </c>
      <c r="I87" s="152">
        <f>IF(I86&lt;=Inicio!$E$49,(IF(Inicio!$E$51="AÑOS",(((I66/390)*Inicio!$E$58)*Inicio!$E$59),(I66)*Inicio!$E$59)),0)</f>
        <v>0</v>
      </c>
      <c r="J87" s="152">
        <f>IF(J86&lt;=Inicio!$E$49,(IF(Inicio!$E$51="AÑOS",(((J66/390)*Inicio!$E$58)*Inicio!$E$59),(J66)*Inicio!$E$59)),0)</f>
        <v>0</v>
      </c>
      <c r="K87" s="152">
        <f>IF(K86&lt;=Inicio!$E$49,(IF(Inicio!$E$51="AÑOS",(((K66/390)*Inicio!$E$58)*Inicio!$E$59),(K66)*Inicio!$E$59)),0)</f>
        <v>0</v>
      </c>
      <c r="L87" s="152">
        <f>IF(L86&lt;=Inicio!$E$49,(IF(Inicio!$E$51="AÑOS",(((L66/390)*Inicio!$E$58)*Inicio!$E$59),(L66)*Inicio!$E$59)),0)</f>
        <v>0</v>
      </c>
      <c r="M87" s="152">
        <f>IF(M86&lt;=Inicio!$E$49,(IF(Inicio!$E$51="AÑOS",(((M66/390)*Inicio!$E$58)*Inicio!$E$59),(M66)*Inicio!$E$59)),0)</f>
        <v>0</v>
      </c>
      <c r="N87" s="152">
        <f>IF(N86&lt;=Inicio!$E$49,(IF(Inicio!$E$51="AÑOS",(((N66/390)*Inicio!$E$58)*Inicio!$E$59),(N66)*Inicio!$E$59)),0)</f>
        <v>0</v>
      </c>
      <c r="O87" s="152">
        <f>IF(O86&lt;=Inicio!$E$49,(IF(Inicio!$E$51="AÑOS",(((O66/390)*Inicio!$E$58)*Inicio!$E$59),(O66)*Inicio!$E$59)),0)</f>
        <v>0</v>
      </c>
      <c r="P87" s="152">
        <f>IF(P86&lt;=Inicio!$E$49,(IF(Inicio!$E$51="AÑOS",(((P66/390)*Inicio!$E$58)*Inicio!$E$59),(P66)*Inicio!$E$59)),0)</f>
        <v>0</v>
      </c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</row>
    <row r="88" spans="1:42" x14ac:dyDescent="0.2">
      <c r="A88" s="153"/>
      <c r="B88" s="153"/>
      <c r="C88" s="153"/>
      <c r="D88" s="153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</row>
    <row r="89" spans="1:42" x14ac:dyDescent="0.2">
      <c r="A89" s="153"/>
      <c r="B89" s="153"/>
      <c r="C89" s="153"/>
      <c r="D89" s="153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</row>
    <row r="90" spans="1:42" x14ac:dyDescent="0.2">
      <c r="A90" s="153"/>
      <c r="B90" s="112"/>
      <c r="C90" s="112"/>
      <c r="D90" s="112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</row>
    <row r="91" spans="1:42" x14ac:dyDescent="0.2">
      <c r="A91" s="153"/>
      <c r="B91" s="112"/>
      <c r="C91" s="112"/>
      <c r="D91" s="112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</row>
    <row r="92" spans="1:42" x14ac:dyDescent="0.2">
      <c r="A92" s="153"/>
      <c r="B92" s="112"/>
      <c r="C92" s="112"/>
      <c r="D92" s="112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</row>
    <row r="93" spans="1:42" x14ac:dyDescent="0.2">
      <c r="A93" s="153"/>
      <c r="B93" s="112"/>
      <c r="C93" s="112"/>
      <c r="D93" s="112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</row>
    <row r="94" spans="1:42" x14ac:dyDescent="0.2">
      <c r="A94" s="153"/>
      <c r="B94" s="112"/>
      <c r="C94" s="112"/>
      <c r="D94" s="112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</row>
    <row r="95" spans="1:42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</row>
    <row r="96" spans="1:42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</row>
    <row r="97" spans="1:42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</row>
    <row r="98" spans="1:42" x14ac:dyDescent="0.2">
      <c r="A98" s="154" t="s">
        <v>356</v>
      </c>
      <c r="B98" s="112"/>
      <c r="C98" s="112"/>
      <c r="D98" s="112"/>
      <c r="E98" s="112"/>
      <c r="F98" s="112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</row>
    <row r="99" spans="1:42" x14ac:dyDescent="0.2">
      <c r="A99" s="118"/>
      <c r="B99" s="112"/>
      <c r="C99" s="112"/>
      <c r="D99" s="112"/>
      <c r="E99" s="112"/>
      <c r="F99" s="112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</row>
    <row r="100" spans="1:42" ht="13.5" thickBot="1" x14ac:dyDescent="0.25">
      <c r="A100" s="118"/>
      <c r="B100" s="112"/>
      <c r="C100" s="112"/>
      <c r="D100" s="112"/>
      <c r="E100" s="112"/>
      <c r="F100" s="112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</row>
    <row r="101" spans="1:42" ht="13.5" thickBot="1" x14ac:dyDescent="0.25">
      <c r="A101" s="114" t="s">
        <v>4</v>
      </c>
      <c r="B101" s="115">
        <v>1</v>
      </c>
      <c r="C101" s="115">
        <v>2</v>
      </c>
      <c r="D101" s="115">
        <v>3</v>
      </c>
      <c r="E101" s="115">
        <v>4</v>
      </c>
      <c r="F101" s="115">
        <v>5</v>
      </c>
      <c r="G101" s="115">
        <v>6</v>
      </c>
      <c r="H101" s="115">
        <v>7</v>
      </c>
      <c r="I101" s="115">
        <v>8</v>
      </c>
      <c r="J101" s="115">
        <v>9</v>
      </c>
      <c r="K101" s="115">
        <v>10</v>
      </c>
      <c r="L101" s="115">
        <v>11</v>
      </c>
      <c r="M101" s="115">
        <v>12</v>
      </c>
      <c r="N101" s="115">
        <v>13</v>
      </c>
      <c r="O101" s="115">
        <v>14</v>
      </c>
      <c r="P101" s="116">
        <v>15</v>
      </c>
      <c r="Q101" s="97"/>
    </row>
    <row r="102" spans="1:42" x14ac:dyDescent="0.2">
      <c r="A102" s="94" t="s">
        <v>203</v>
      </c>
      <c r="B102" s="95">
        <f>IF(B40&lt;=Inicio!$E$49,+A108,0)</f>
        <v>0</v>
      </c>
      <c r="C102" s="95">
        <f>IF(C101&lt;=Inicio!$E$49,(+B104),0)</f>
        <v>23326.810282844446</v>
      </c>
      <c r="D102" s="95">
        <f>IF(D101&lt;=Inicio!$E$49,(+C104),0)</f>
        <v>26558.838213599996</v>
      </c>
      <c r="E102" s="95">
        <f>IF(E101&lt;=Inicio!$E$49,(+D104),0)</f>
        <v>28816.339461755993</v>
      </c>
      <c r="F102" s="95">
        <f>IF(F101&lt;=Inicio!$E$49,(+E104),0)</f>
        <v>31233.193739193594</v>
      </c>
      <c r="G102" s="95">
        <f>IF(G101&lt;=Inicio!$E$49,(+F104),0)</f>
        <v>0</v>
      </c>
      <c r="H102" s="95">
        <f>IF(H101&lt;=Inicio!$E$49,(+G104),0)</f>
        <v>0</v>
      </c>
      <c r="I102" s="95">
        <f>IF(I101&lt;=Inicio!$E$49,(+H104),0)</f>
        <v>0</v>
      </c>
      <c r="J102" s="95">
        <f>IF(J101&lt;=Inicio!$E$49,(+I104),0)</f>
        <v>0</v>
      </c>
      <c r="K102" s="95">
        <f>IF(K101&lt;=Inicio!$E$49,(+J104),0)</f>
        <v>0</v>
      </c>
      <c r="L102" s="95">
        <f>IF(L101&lt;=Inicio!$E$49,(+K104),0)</f>
        <v>0</v>
      </c>
      <c r="M102" s="95">
        <f>IF(M101&lt;=Inicio!$E$49,(+L104),0)</f>
        <v>0</v>
      </c>
      <c r="N102" s="95">
        <f>IF(N101&lt;=Inicio!$E$49,(+M104),0)</f>
        <v>0</v>
      </c>
      <c r="O102" s="95">
        <f>IF(O101&lt;=Inicio!$E$49,(+N104),0)</f>
        <v>0</v>
      </c>
      <c r="P102" s="96">
        <f>IF(P101&lt;=Inicio!$E$49,(+O104),0)</f>
        <v>0</v>
      </c>
      <c r="Q102" s="97"/>
    </row>
    <row r="103" spans="1:42" x14ac:dyDescent="0.2">
      <c r="A103" s="94" t="s">
        <v>204</v>
      </c>
      <c r="B103" s="93">
        <f>IF(B101&lt;=Inicio!$E$49,(+B105+B104-B102),0)</f>
        <v>1222991.3391148441</v>
      </c>
      <c r="C103" s="93">
        <f>IF(C101&lt;=Inicio!$E$49,(+C105+C104-C102),0)</f>
        <v>1369115.1360587555</v>
      </c>
      <c r="D103" s="93">
        <f>IF(D101&lt;=Inicio!$E$49,(+D105+D104-D102),0)</f>
        <v>1484240.6735670357</v>
      </c>
      <c r="E103" s="93">
        <f>IF(E101&lt;=Inicio!$E$49,(+E105+E104-E102),0)</f>
        <v>1608695.3894359653</v>
      </c>
      <c r="F103" s="93">
        <f>IF(F101&lt;=Inicio!$E$49,(+F105+F104-F102),0)</f>
        <v>1759795.2597426893</v>
      </c>
      <c r="G103" s="93">
        <f>IF(G101&lt;=Inicio!$E$49,(+G105+G104-G102),0)</f>
        <v>0</v>
      </c>
      <c r="H103" s="93">
        <f>IF(H101&lt;=Inicio!$E$49,(+H105+H104-H102),0)</f>
        <v>0</v>
      </c>
      <c r="I103" s="93">
        <f>IF(I101&lt;=Inicio!$E$49,(+I105+I104-I102),0)</f>
        <v>0</v>
      </c>
      <c r="J103" s="93">
        <f>IF(J101&lt;=Inicio!$E$49,(+J105+J104-J102),0)</f>
        <v>0</v>
      </c>
      <c r="K103" s="93">
        <f>IF(K101&lt;=Inicio!$E$49,(+K105+K104-K102),0)</f>
        <v>0</v>
      </c>
      <c r="L103" s="93">
        <f>IF(L101&lt;=Inicio!$E$49,(+L105+L104-L102),0)</f>
        <v>0</v>
      </c>
      <c r="M103" s="93">
        <f>IF(M101&lt;=Inicio!$E$49,(+M105+M104-M102),0)</f>
        <v>0</v>
      </c>
      <c r="N103" s="93">
        <f>IF(N101&lt;=Inicio!$E$49,(+N105+N104-N102),0)</f>
        <v>0</v>
      </c>
      <c r="O103" s="93">
        <f>IF(O101&lt;=Inicio!$E$49,(+O105+O104-O102),0)</f>
        <v>0</v>
      </c>
      <c r="P103" s="98">
        <f>IF(P101&lt;=Inicio!$E$49,(+P105+P104-P102),0)</f>
        <v>0</v>
      </c>
      <c r="Q103" s="97"/>
    </row>
    <row r="104" spans="1:42" ht="13.5" thickBot="1" x14ac:dyDescent="0.25">
      <c r="A104" s="134" t="s">
        <v>205</v>
      </c>
      <c r="B104" s="135">
        <f>+B112</f>
        <v>23326.810282844446</v>
      </c>
      <c r="C104" s="135">
        <f t="shared" ref="C104:P104" si="11">+C112</f>
        <v>26558.838213599996</v>
      </c>
      <c r="D104" s="135">
        <f t="shared" si="11"/>
        <v>28816.339461755993</v>
      </c>
      <c r="E104" s="135">
        <f t="shared" si="11"/>
        <v>31233.193739193594</v>
      </c>
      <c r="F104" s="135">
        <f t="shared" si="11"/>
        <v>34161.305652242991</v>
      </c>
      <c r="G104" s="135">
        <f t="shared" si="11"/>
        <v>0</v>
      </c>
      <c r="H104" s="135">
        <f t="shared" si="11"/>
        <v>0</v>
      </c>
      <c r="I104" s="135">
        <f t="shared" si="11"/>
        <v>0</v>
      </c>
      <c r="J104" s="135">
        <f t="shared" si="11"/>
        <v>0</v>
      </c>
      <c r="K104" s="135">
        <f t="shared" si="11"/>
        <v>0</v>
      </c>
      <c r="L104" s="135">
        <f t="shared" si="11"/>
        <v>0</v>
      </c>
      <c r="M104" s="135">
        <f t="shared" si="11"/>
        <v>0</v>
      </c>
      <c r="N104" s="135">
        <f t="shared" si="11"/>
        <v>0</v>
      </c>
      <c r="O104" s="135">
        <f t="shared" si="11"/>
        <v>0</v>
      </c>
      <c r="P104" s="136">
        <f t="shared" si="11"/>
        <v>0</v>
      </c>
      <c r="Q104" s="97"/>
    </row>
    <row r="105" spans="1:42" ht="13.5" thickBot="1" x14ac:dyDescent="0.25">
      <c r="A105" s="99" t="s">
        <v>206</v>
      </c>
      <c r="B105" s="101">
        <f>(+B11)*(B48*Inicio!$D$257)</f>
        <v>1199664.5288319997</v>
      </c>
      <c r="C105" s="101">
        <f>(+C11)*(C48*Inicio!$D$257)</f>
        <v>1365883.1081279998</v>
      </c>
      <c r="D105" s="101">
        <f>(+D11)*(D48*Inicio!$D$257)</f>
        <v>1481983.1723188797</v>
      </c>
      <c r="E105" s="101">
        <f>(+E11)*(E48*Inicio!$D$257)</f>
        <v>1606278.5351585278</v>
      </c>
      <c r="F105" s="101">
        <f>(+F11)*(F48*Inicio!$D$257)</f>
        <v>1756867.1478296397</v>
      </c>
      <c r="G105" s="101">
        <f>(+G11)*(G48*Inicio!$D$257)</f>
        <v>0</v>
      </c>
      <c r="H105" s="101">
        <f>(+H11)*(H48*Inicio!$D$257)</f>
        <v>0</v>
      </c>
      <c r="I105" s="101">
        <f>(+I11)*(I48*Inicio!$D$257)</f>
        <v>0</v>
      </c>
      <c r="J105" s="101">
        <f>(+J11)*(J48*Inicio!$D$257)</f>
        <v>0</v>
      </c>
      <c r="K105" s="101">
        <f>(+K11)*(K48*Inicio!$D$257)</f>
        <v>0</v>
      </c>
      <c r="L105" s="101">
        <f>(+L11)*(L48*Inicio!$D$257)</f>
        <v>0</v>
      </c>
      <c r="M105" s="101">
        <f>(+M11)*(M48*Inicio!$D$257)</f>
        <v>0</v>
      </c>
      <c r="N105" s="101">
        <f>(+N11)*(N48*Inicio!$D$257)</f>
        <v>0</v>
      </c>
      <c r="O105" s="101">
        <f>(+O11)*(O48*Inicio!$D$257)</f>
        <v>0</v>
      </c>
      <c r="P105" s="102">
        <f>(+P11)*(P48*Inicio!$D$257)</f>
        <v>0</v>
      </c>
      <c r="Q105" s="97"/>
    </row>
    <row r="106" spans="1:42" ht="13.5" thickBot="1" x14ac:dyDescent="0.25">
      <c r="A106" s="97"/>
      <c r="B106" s="493">
        <f>IF(Inicio!$E$49&gt;=B101,(B105/(B48*Inicio!$D$257)),0)</f>
        <v>0.503</v>
      </c>
      <c r="C106" s="493">
        <f>IF(Inicio!$E$49&gt;=C101,(C105/(C48*Inicio!$D$257)),0)</f>
        <v>0.503</v>
      </c>
      <c r="D106" s="493">
        <f>IF(Inicio!$E$49&gt;=D101,(D105/(D48*Inicio!$D$257)),0)</f>
        <v>0.503</v>
      </c>
      <c r="E106" s="493">
        <f>IF(Inicio!$E$49&gt;=E101,(E105/(E48*Inicio!$D$257)),0)</f>
        <v>0.503</v>
      </c>
      <c r="F106" s="493">
        <f>IF(Inicio!$E$49&gt;=F101,(F105/(F48*Inicio!$D$257)),0)</f>
        <v>0.503</v>
      </c>
      <c r="G106" s="493">
        <f>IF(Inicio!$E$49&gt;=G101,(G105/(G48*Inicio!$D$257)),0)</f>
        <v>0</v>
      </c>
      <c r="H106" s="493">
        <f>IF(Inicio!$E$49&gt;=H101,(H105/(H48*Inicio!$D$257)),0)</f>
        <v>0</v>
      </c>
      <c r="I106" s="493">
        <f>IF(Inicio!$E$49&gt;=I101,(I105/(I48*Inicio!$D$257)),0)</f>
        <v>0</v>
      </c>
      <c r="J106" s="493">
        <f>IF(Inicio!$E$49&gt;=J101,(J105/(J48*Inicio!$D$257)),0)</f>
        <v>0</v>
      </c>
      <c r="K106" s="493">
        <f>IF(Inicio!$E$49&gt;=K101,(K105/(K48*Inicio!$D$257)),0)</f>
        <v>0</v>
      </c>
      <c r="L106" s="493">
        <f>IF(Inicio!$E$49&gt;=L101,(L105/(L48*Inicio!$D$257)),0)</f>
        <v>0</v>
      </c>
      <c r="M106" s="493">
        <f>IF(Inicio!$E$49&gt;=M101,(M105/(M48*Inicio!$D$257)),0)</f>
        <v>0</v>
      </c>
      <c r="N106" s="493">
        <f>IF(Inicio!$E$49&gt;=N101,(N105/(N48*Inicio!$D$257)),0)</f>
        <v>0</v>
      </c>
      <c r="O106" s="493">
        <f>IF(Inicio!$E$49&gt;=O101,(O105/(O48*Inicio!$D$257)),0)</f>
        <v>0</v>
      </c>
      <c r="P106" s="493">
        <f>IF(Inicio!$E$49&gt;=P101,(P105/(P48*Inicio!$D$257)),0)</f>
        <v>0</v>
      </c>
      <c r="Q106" s="97"/>
    </row>
    <row r="107" spans="1:42" ht="13.5" thickBot="1" x14ac:dyDescent="0.25">
      <c r="A107" s="162" t="s">
        <v>207</v>
      </c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</row>
    <row r="108" spans="1:42" ht="13.5" thickBot="1" x14ac:dyDescent="0.25">
      <c r="A108" s="161">
        <v>0</v>
      </c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</row>
    <row r="109" spans="1:42" ht="13.5" thickBot="1" x14ac:dyDescent="0.25">
      <c r="A109" s="162" t="s">
        <v>211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</row>
    <row r="110" spans="1:42" ht="13.5" thickBot="1" x14ac:dyDescent="0.25">
      <c r="A110" s="161">
        <v>10</v>
      </c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</row>
    <row r="111" spans="1:42" ht="13.5" thickBot="1" x14ac:dyDescent="0.25">
      <c r="A111" s="162" t="s">
        <v>354</v>
      </c>
      <c r="B111" s="163" t="s">
        <v>357</v>
      </c>
      <c r="C111" s="494"/>
      <c r="D111" s="495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</row>
    <row r="112" spans="1:42" ht="13.5" thickBot="1" x14ac:dyDescent="0.25">
      <c r="A112" s="161">
        <f>+Inicio!F66</f>
        <v>7</v>
      </c>
      <c r="B112" s="146">
        <f>IF(B101&lt;=Inicio!$E$49,(IF(Inicio!$E$51="AÑOS",(((B6*Inicio!$D$257)/360)*$A$75),(((B6*Inicio!$D$257/30))*$A$75))),0)</f>
        <v>23326.810282844446</v>
      </c>
      <c r="C112" s="146">
        <f>IF(C101&lt;=Inicio!$E$49,(IF(Inicio!$E$51="AÑOS",(((C6*Inicio!$D$257)/360)*$A$75),(((C6*Inicio!$D$257/30))*$A$75))),0)</f>
        <v>26558.838213599996</v>
      </c>
      <c r="D112" s="146">
        <f>IF(D101&lt;=Inicio!$E$49,(IF(Inicio!$E$51="AÑOS",(((D6*Inicio!$D$257)/360)*$A$75),(((D6*Inicio!$D$257/30))*$A$75))),0)</f>
        <v>28816.339461755993</v>
      </c>
      <c r="E112" s="146">
        <f>IF(E101&lt;=Inicio!$E$49,(IF(Inicio!$E$51="AÑOS",(((E6*Inicio!$D$257)/360)*$A$75),(((E6*Inicio!$D$257/30))*$A$75))),0)</f>
        <v>31233.193739193594</v>
      </c>
      <c r="F112" s="146">
        <f>IF(F101&lt;=Inicio!$E$49,(IF(Inicio!$E$51="AÑOS",(((F6*Inicio!$D$257)/360)*$A$75),(((F6*Inicio!$D$257/30))*$A$75))),0)</f>
        <v>34161.305652242991</v>
      </c>
      <c r="G112" s="146">
        <f>IF(G101&lt;=Inicio!$E$49,(IF(Inicio!$E$51="AÑOS",(((G6*Inicio!$D$257)/360)*$A$75),(((G6*Inicio!$D$257/30))*$A$75))),0)</f>
        <v>0</v>
      </c>
      <c r="H112" s="146">
        <f>IF(H101&lt;=Inicio!$E$49,(IF(Inicio!$E$51="AÑOS",(((H6*Inicio!$D$257)/360)*$A$75),(((H6*Inicio!$D$257/30))*$A$75))),0)</f>
        <v>0</v>
      </c>
      <c r="I112" s="146">
        <f>IF(I101&lt;=Inicio!$E$49,(IF(Inicio!$E$51="AÑOS",(((I6*Inicio!$D$257)/360)*$A$75),(((I6*Inicio!$D$257/30))*$A$75))),0)</f>
        <v>0</v>
      </c>
      <c r="J112" s="146">
        <f>IF(J101&lt;=Inicio!$E$49,(IF(Inicio!$E$51="AÑOS",(((J6*Inicio!$D$257)/360)*$A$75),(((J6*Inicio!$D$257/30))*$A$75))),0)</f>
        <v>0</v>
      </c>
      <c r="K112" s="146">
        <f>IF(K101&lt;=Inicio!$E$49,(IF(Inicio!$E$51="AÑOS",(((K6*Inicio!$D$257)/360)*$A$75),(((K6*Inicio!$D$257/30))*$A$75))),0)</f>
        <v>0</v>
      </c>
      <c r="L112" s="146">
        <f>IF(L101&lt;=Inicio!$E$49,(IF(Inicio!$E$51="AÑOS",(((L6*Inicio!$D$257)/360)*$A$75),(((L6*Inicio!$D$257/30))*$A$75))),0)</f>
        <v>0</v>
      </c>
      <c r="M112" s="146">
        <f>IF(M101&lt;=Inicio!$E$49,(IF(Inicio!$E$51="AÑOS",(((M6*Inicio!$D$257)/360)*$A$75),(((M6*Inicio!$D$257/30))*$A$75))),0)</f>
        <v>0</v>
      </c>
      <c r="N112" s="146">
        <f>IF(N101&lt;=Inicio!$E$49,(IF(Inicio!$E$51="AÑOS",(((N6*Inicio!$D$257)/360)*$A$75),(((N6*Inicio!$D$257/30))*$A$75))),0)</f>
        <v>0</v>
      </c>
      <c r="O112" s="146">
        <f>IF(O101&lt;=Inicio!$E$49,(IF(Inicio!$E$51="AÑOS",(((O6*Inicio!$D$257)/360)*$A$75),(((O6*Inicio!$D$257/30))*$A$75))),0)</f>
        <v>0</v>
      </c>
      <c r="P112" s="146">
        <f>IF(P101&lt;=Inicio!$E$49,(IF(Inicio!$E$51="AÑOS",(((P6*Inicio!$D$257)/360)*$A$75),(((P6*Inicio!$D$257/30))*$A$75))),0)</f>
        <v>0</v>
      </c>
      <c r="Q112" s="97"/>
    </row>
    <row r="113" spans="1:17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</row>
    <row r="114" spans="1:17" x14ac:dyDescent="0.2">
      <c r="A114" s="496" t="s">
        <v>1</v>
      </c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</row>
    <row r="115" spans="1:17" ht="13.5" thickBot="1" x14ac:dyDescent="0.25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</row>
    <row r="116" spans="1:17" ht="13.5" thickBot="1" x14ac:dyDescent="0.25">
      <c r="A116" s="114" t="s">
        <v>245</v>
      </c>
      <c r="B116" s="115">
        <v>1</v>
      </c>
      <c r="C116" s="115">
        <v>2</v>
      </c>
      <c r="D116" s="115">
        <v>3</v>
      </c>
      <c r="E116" s="115">
        <v>4</v>
      </c>
      <c r="F116" s="116">
        <v>5</v>
      </c>
      <c r="G116" s="115">
        <v>6</v>
      </c>
      <c r="H116" s="115">
        <v>7</v>
      </c>
      <c r="I116" s="115">
        <v>8</v>
      </c>
      <c r="J116" s="115">
        <v>9</v>
      </c>
      <c r="K116" s="115">
        <v>10</v>
      </c>
      <c r="L116" s="115">
        <v>11</v>
      </c>
      <c r="M116" s="115">
        <v>12</v>
      </c>
      <c r="N116" s="115">
        <v>13</v>
      </c>
      <c r="O116" s="115">
        <v>14</v>
      </c>
      <c r="P116" s="116">
        <v>15</v>
      </c>
      <c r="Q116" s="97"/>
    </row>
    <row r="117" spans="1:17" x14ac:dyDescent="0.2">
      <c r="A117" s="113" t="s">
        <v>326</v>
      </c>
      <c r="B117" s="132">
        <f>IF(B116&lt;=Inicio!$E$49,(+B124),0)</f>
        <v>101915.94492623702</v>
      </c>
      <c r="C117" s="132">
        <f>IF(C116&lt;=Inicio!$E$49,(+C124),0)</f>
        <v>114092.9280048963</v>
      </c>
      <c r="D117" s="132">
        <f>IF(D116&lt;=Inicio!$E$49,(+D124),0)</f>
        <v>123686.72279725297</v>
      </c>
      <c r="E117" s="132">
        <f>IF(E116&lt;=Inicio!$E$49,(+E124),0)</f>
        <v>134057.94911966377</v>
      </c>
      <c r="F117" s="132">
        <f>IF(F116&lt;=Inicio!$E$49,(+F124),0)</f>
        <v>146649.60497855744</v>
      </c>
      <c r="G117" s="132">
        <f>IF(G116&lt;=Inicio!$E$49,(+G124),0)</f>
        <v>0</v>
      </c>
      <c r="H117" s="132">
        <f>IF(H116&lt;=Inicio!$E$49,(+H124),0)</f>
        <v>0</v>
      </c>
      <c r="I117" s="132">
        <f>IF(I116&lt;=Inicio!$E$49,(+I124),0)</f>
        <v>0</v>
      </c>
      <c r="J117" s="132">
        <f>IF(J116&lt;=Inicio!$E$49,(+J124),0)</f>
        <v>0</v>
      </c>
      <c r="K117" s="132">
        <f>IF(K116&lt;=Inicio!$E$49,(+K124),0)</f>
        <v>0</v>
      </c>
      <c r="L117" s="132">
        <f>IF(L116&lt;=Inicio!$E$49,(+L124),0)</f>
        <v>0</v>
      </c>
      <c r="M117" s="132">
        <f>IF(M116&lt;=Inicio!$E$49,(+M124),0)</f>
        <v>0</v>
      </c>
      <c r="N117" s="132">
        <f>IF(N116&lt;=Inicio!$E$49,(+N124),0)</f>
        <v>0</v>
      </c>
      <c r="O117" s="132">
        <f>IF(O116&lt;=Inicio!$E$49,(+O124),0)</f>
        <v>0</v>
      </c>
      <c r="P117" s="133">
        <f>IF(P116&lt;=Inicio!$E$49,(+P124),0)</f>
        <v>0</v>
      </c>
      <c r="Q117" s="97"/>
    </row>
    <row r="118" spans="1:17" ht="13.5" thickBot="1" x14ac:dyDescent="0.25">
      <c r="A118" s="134" t="s">
        <v>193</v>
      </c>
      <c r="B118" s="135">
        <f>IF(B116&lt;=Inicio!$E$49,(+B103-B117),0)</f>
        <v>1121075.3941886071</v>
      </c>
      <c r="C118" s="135">
        <f>IF(C116&lt;=Inicio!$E$49,(+C103-C117),0)</f>
        <v>1255022.2080538592</v>
      </c>
      <c r="D118" s="135">
        <f>IF(D116&lt;=Inicio!$E$49,(+D103-D117),0)</f>
        <v>1360553.9507697828</v>
      </c>
      <c r="E118" s="135">
        <f>IF(E116&lt;=Inicio!$E$49,(+E103-E117),0)</f>
        <v>1474637.4403163015</v>
      </c>
      <c r="F118" s="135">
        <f>IF(F116&lt;=Inicio!$E$49,(+F103-F117),0)</f>
        <v>1613145.6547641319</v>
      </c>
      <c r="G118" s="135">
        <f>IF(G116&lt;=Inicio!$E$49,(+G103-G117),0)</f>
        <v>0</v>
      </c>
      <c r="H118" s="135">
        <f>IF(H116&lt;=Inicio!$E$49,(+H103-H117),0)</f>
        <v>0</v>
      </c>
      <c r="I118" s="135">
        <f>IF(I116&lt;=Inicio!$E$49,(+I103-I117),0)</f>
        <v>0</v>
      </c>
      <c r="J118" s="135">
        <f>IF(J116&lt;=Inicio!$E$49,(+J103-J117),0)</f>
        <v>0</v>
      </c>
      <c r="K118" s="135">
        <f>IF(K116&lt;=Inicio!$E$49,(+K103-K117),0)</f>
        <v>0</v>
      </c>
      <c r="L118" s="135">
        <f>IF(L116&lt;=Inicio!$E$49,(+L103-L117),0)</f>
        <v>0</v>
      </c>
      <c r="M118" s="135">
        <f>IF(M116&lt;=Inicio!$E$49,(+M103-M117),0)</f>
        <v>0</v>
      </c>
      <c r="N118" s="135">
        <f>IF(N116&lt;=Inicio!$E$49,(+N103-N117),0)</f>
        <v>0</v>
      </c>
      <c r="O118" s="135">
        <f>IF(O116&lt;=Inicio!$E$49,(+O103-O117),0)</f>
        <v>0</v>
      </c>
      <c r="P118" s="136">
        <f>IF(P116&lt;=Inicio!$E$49,(+P103-P117),0)</f>
        <v>0</v>
      </c>
      <c r="Q118" s="97"/>
    </row>
    <row r="119" spans="1:17" ht="13.5" thickBot="1" x14ac:dyDescent="0.25">
      <c r="A119" s="105" t="s">
        <v>52</v>
      </c>
      <c r="B119" s="101">
        <f t="shared" ref="B119:P119" si="12">SUM(B117:B118)</f>
        <v>1222991.3391148441</v>
      </c>
      <c r="C119" s="101">
        <f t="shared" si="12"/>
        <v>1369115.1360587555</v>
      </c>
      <c r="D119" s="101">
        <f t="shared" si="12"/>
        <v>1484240.6735670357</v>
      </c>
      <c r="E119" s="101">
        <f t="shared" si="12"/>
        <v>1608695.3894359653</v>
      </c>
      <c r="F119" s="102">
        <f t="shared" si="12"/>
        <v>1759795.2597426893</v>
      </c>
      <c r="G119" s="101">
        <f t="shared" si="12"/>
        <v>0</v>
      </c>
      <c r="H119" s="101">
        <f t="shared" si="12"/>
        <v>0</v>
      </c>
      <c r="I119" s="101">
        <f t="shared" si="12"/>
        <v>0</v>
      </c>
      <c r="J119" s="101">
        <f t="shared" si="12"/>
        <v>0</v>
      </c>
      <c r="K119" s="101">
        <f t="shared" si="12"/>
        <v>0</v>
      </c>
      <c r="L119" s="101">
        <f t="shared" si="12"/>
        <v>0</v>
      </c>
      <c r="M119" s="101">
        <f t="shared" si="12"/>
        <v>0</v>
      </c>
      <c r="N119" s="101">
        <f t="shared" si="12"/>
        <v>0</v>
      </c>
      <c r="O119" s="101">
        <f t="shared" si="12"/>
        <v>0</v>
      </c>
      <c r="P119" s="102">
        <f t="shared" si="12"/>
        <v>0</v>
      </c>
      <c r="Q119" s="97"/>
    </row>
    <row r="120" spans="1:17" ht="13.5" thickBot="1" x14ac:dyDescent="0.25">
      <c r="A120" s="99" t="s">
        <v>206</v>
      </c>
      <c r="B120" s="125">
        <f>IF(Inicio!$E$49&gt;=B116,(B119/'sensibilidad inversionista'!C8),0)</f>
        <v>0.51278055555555546</v>
      </c>
      <c r="C120" s="125">
        <f>IF(Inicio!$E$49&gt;=C116,(C119/'sensibilidad inversionista'!D8),0)</f>
        <v>0.50419022633744859</v>
      </c>
      <c r="D120" s="125">
        <f>IF(Inicio!$E$49&gt;=D116,(D119/'sensibilidad inversionista'!E8),0)</f>
        <v>0.50376621863799276</v>
      </c>
      <c r="E120" s="125">
        <f>IF(Inicio!$E$49&gt;=E116,(E119/'sensibilidad inversionista'!F8),0)</f>
        <v>0.50375682870370375</v>
      </c>
      <c r="F120" s="125">
        <f>IF(Inicio!$E$49&gt;=F116,(F119/'sensibilidad inversionista'!G8),0)</f>
        <v>0.50383833333333339</v>
      </c>
      <c r="G120" s="125">
        <f>IF(Inicio!$E$49&gt;=G116,(G119/'sensibilidad inversionista'!H8),0)</f>
        <v>0</v>
      </c>
      <c r="H120" s="125">
        <f>IF(Inicio!$E$49&gt;=H116,(H119/'sensibilidad inversionista'!I8),0)</f>
        <v>0</v>
      </c>
      <c r="I120" s="125">
        <f>IF(Inicio!$E$49&gt;=I116,(I119/'sensibilidad inversionista'!J8),0)</f>
        <v>0</v>
      </c>
      <c r="J120" s="125">
        <f>IF(Inicio!$E$49&gt;=J116,(J119/'sensibilidad inversionista'!K8),0)</f>
        <v>0</v>
      </c>
      <c r="K120" s="125">
        <f>IF(Inicio!$E$49&gt;=K116,(K119/'sensibilidad inversionista'!L8),0)</f>
        <v>0</v>
      </c>
      <c r="L120" s="125">
        <f>IF(Inicio!$E$49&gt;=L116,(L119/'sensibilidad inversionista'!M8),0)</f>
        <v>0</v>
      </c>
      <c r="M120" s="125">
        <f>IF(Inicio!$E$49&gt;=M116,(M119/'sensibilidad inversionista'!N8),0)</f>
        <v>0</v>
      </c>
      <c r="N120" s="125">
        <f>IF(Inicio!$E$49&gt;=N116,(N119/'sensibilidad inversionista'!O8),0)</f>
        <v>0</v>
      </c>
      <c r="O120" s="125">
        <f>IF(Inicio!$E$49&gt;=O116,(O119/'sensibilidad inversionista'!P8),0)</f>
        <v>0</v>
      </c>
      <c r="P120" s="126">
        <f>IF(Inicio!$E$49&gt;=P116,(P119/'sensibilidad inversionista'!Q8),0)</f>
        <v>0</v>
      </c>
      <c r="Q120" s="97"/>
    </row>
    <row r="121" spans="1:17" x14ac:dyDescent="0.2">
      <c r="A121" s="97"/>
      <c r="B121" s="97"/>
      <c r="C121" s="97"/>
      <c r="D121" s="97"/>
      <c r="E121" s="97"/>
      <c r="F121" s="166" t="s">
        <v>1</v>
      </c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</row>
    <row r="122" spans="1:17" ht="13.5" thickBot="1" x14ac:dyDescent="0.25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</row>
    <row r="123" spans="1:17" ht="13.5" thickBot="1" x14ac:dyDescent="0.25">
      <c r="A123" s="114" t="s">
        <v>355</v>
      </c>
      <c r="B123" s="115">
        <v>1</v>
      </c>
      <c r="C123" s="115">
        <v>2</v>
      </c>
      <c r="D123" s="115">
        <v>3</v>
      </c>
      <c r="E123" s="115">
        <v>4</v>
      </c>
      <c r="F123" s="116">
        <v>5</v>
      </c>
      <c r="G123" s="115">
        <v>6</v>
      </c>
      <c r="H123" s="115">
        <v>7</v>
      </c>
      <c r="I123" s="115">
        <v>8</v>
      </c>
      <c r="J123" s="115">
        <v>9</v>
      </c>
      <c r="K123" s="115">
        <v>10</v>
      </c>
      <c r="L123" s="115">
        <v>11</v>
      </c>
      <c r="M123" s="115">
        <v>12</v>
      </c>
      <c r="N123" s="115">
        <v>13</v>
      </c>
      <c r="O123" s="115">
        <v>14</v>
      </c>
      <c r="P123" s="116">
        <v>15</v>
      </c>
      <c r="Q123" s="97"/>
    </row>
    <row r="124" spans="1:17" ht="13.5" thickBot="1" x14ac:dyDescent="0.25">
      <c r="A124" s="134" t="s">
        <v>326</v>
      </c>
      <c r="B124" s="152">
        <f>IF(B123&lt;=Inicio!$E$49,((B103/360)*Inicio!$E$58),0)</f>
        <v>101915.94492623702</v>
      </c>
      <c r="C124" s="152">
        <f>IF(C123&lt;=Inicio!$E$49,((C103/360)*Inicio!$E$58),0)</f>
        <v>114092.9280048963</v>
      </c>
      <c r="D124" s="152">
        <f>IF(D123&lt;=Inicio!$E$49,((D103/360)*Inicio!$E$58),0)</f>
        <v>123686.72279725297</v>
      </c>
      <c r="E124" s="152">
        <f>IF(E123&lt;=Inicio!$E$49,((E103/360)*Inicio!$E$58),0)</f>
        <v>134057.94911966377</v>
      </c>
      <c r="F124" s="152">
        <f>IF(F123&lt;=Inicio!$E$49,((F103/360)*Inicio!$E$58),0)</f>
        <v>146649.60497855744</v>
      </c>
      <c r="G124" s="152">
        <f>IF(G123&lt;=Inicio!$E$49,((G103/360)*Inicio!$E$58),0)</f>
        <v>0</v>
      </c>
      <c r="H124" s="152">
        <f>IF(H123&lt;=Inicio!$E$49,((H103/360)*Inicio!$E$58),0)</f>
        <v>0</v>
      </c>
      <c r="I124" s="152">
        <f>IF(I123&lt;=Inicio!$E$49,((I103/360)*Inicio!$E$58),0)</f>
        <v>0</v>
      </c>
      <c r="J124" s="152">
        <f>IF(J123&lt;=Inicio!$E$49,((J103/360)*Inicio!$E$58),0)</f>
        <v>0</v>
      </c>
      <c r="K124" s="152">
        <f>IF(K123&lt;=Inicio!$E$49,((K103/360)*Inicio!$E$58),0)</f>
        <v>0</v>
      </c>
      <c r="L124" s="152">
        <f>IF(L123&lt;=Inicio!$E$49,((L103/360)*Inicio!$E$58),0)</f>
        <v>0</v>
      </c>
      <c r="M124" s="152">
        <f>IF(M123&lt;=Inicio!$E$49,((M103/360)*Inicio!$E$58),0)</f>
        <v>0</v>
      </c>
      <c r="N124" s="152">
        <f>IF(N123&lt;=Inicio!$E$49,((N103/360)*Inicio!$E$58),0)</f>
        <v>0</v>
      </c>
      <c r="O124" s="152">
        <f>IF(O123&lt;=Inicio!$E$49,((O103/360)*Inicio!$E$58),0)</f>
        <v>0</v>
      </c>
      <c r="P124" s="152">
        <f>IF(P123&lt;=Inicio!$E$49,((P103/360)*Inicio!$E$58),0)</f>
        <v>0</v>
      </c>
      <c r="Q124" s="97"/>
    </row>
    <row r="125" spans="1:17" ht="13.5" thickBot="1" x14ac:dyDescent="0.25">
      <c r="A125" s="153"/>
      <c r="B125" s="153"/>
      <c r="C125" s="153"/>
      <c r="D125" s="153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</row>
    <row r="126" spans="1:17" ht="13.5" thickBot="1" x14ac:dyDescent="0.25">
      <c r="A126" s="114" t="s">
        <v>4</v>
      </c>
      <c r="B126" s="115">
        <v>1</v>
      </c>
      <c r="C126" s="115">
        <v>2</v>
      </c>
      <c r="D126" s="115">
        <v>3</v>
      </c>
      <c r="E126" s="115">
        <v>4</v>
      </c>
      <c r="F126" s="115">
        <v>5</v>
      </c>
      <c r="G126" s="115">
        <v>6</v>
      </c>
      <c r="H126" s="115">
        <v>7</v>
      </c>
      <c r="I126" s="115">
        <v>8</v>
      </c>
      <c r="J126" s="115">
        <v>9</v>
      </c>
      <c r="K126" s="115">
        <v>10</v>
      </c>
      <c r="L126" s="115">
        <v>11</v>
      </c>
      <c r="M126" s="115">
        <v>12</v>
      </c>
      <c r="N126" s="115">
        <v>13</v>
      </c>
      <c r="O126" s="115">
        <v>14</v>
      </c>
      <c r="P126" s="116">
        <v>15</v>
      </c>
      <c r="Q126" s="97"/>
    </row>
    <row r="127" spans="1:17" x14ac:dyDescent="0.2">
      <c r="A127" s="497" t="s">
        <v>206</v>
      </c>
      <c r="B127" s="150">
        <f>+B105*$B$129</f>
        <v>1223657.8194086398</v>
      </c>
      <c r="C127" s="132">
        <f>+C105*$B$129</f>
        <v>1393200.7702905599</v>
      </c>
      <c r="D127" s="132">
        <f t="shared" ref="D127:P127" si="13">+D105*$B$129</f>
        <v>1511622.8357652575</v>
      </c>
      <c r="E127" s="132">
        <f t="shared" si="13"/>
        <v>1638404.1058616983</v>
      </c>
      <c r="F127" s="132">
        <f t="shared" si="13"/>
        <v>1792004.4907862325</v>
      </c>
      <c r="G127" s="132">
        <f t="shared" si="13"/>
        <v>0</v>
      </c>
      <c r="H127" s="132">
        <f t="shared" si="13"/>
        <v>0</v>
      </c>
      <c r="I127" s="132">
        <f t="shared" si="13"/>
        <v>0</v>
      </c>
      <c r="J127" s="132">
        <f t="shared" si="13"/>
        <v>0</v>
      </c>
      <c r="K127" s="132">
        <f t="shared" si="13"/>
        <v>0</v>
      </c>
      <c r="L127" s="132">
        <f t="shared" si="13"/>
        <v>0</v>
      </c>
      <c r="M127" s="132">
        <f t="shared" si="13"/>
        <v>0</v>
      </c>
      <c r="N127" s="132">
        <f t="shared" si="13"/>
        <v>0</v>
      </c>
      <c r="O127" s="132">
        <f t="shared" si="13"/>
        <v>0</v>
      </c>
      <c r="P127" s="133">
        <f t="shared" si="13"/>
        <v>0</v>
      </c>
      <c r="Q127" s="97"/>
    </row>
    <row r="128" spans="1:17" ht="13.5" thickBot="1" x14ac:dyDescent="0.25">
      <c r="A128" s="346" t="s">
        <v>279</v>
      </c>
      <c r="B128" s="525">
        <f>IF(Inicio!$E$49&gt;=B126,(+B127/(B48*Inicio!$D$257)),0)</f>
        <v>0.51305999999999996</v>
      </c>
      <c r="C128" s="498">
        <f>IF(Inicio!$E$49&gt;=C126,(+C127/(C48*Inicio!$D$257)),0)</f>
        <v>0.51305999999999996</v>
      </c>
      <c r="D128" s="498">
        <f>IF(Inicio!$E$49&gt;=D126,(+D127/(D48*Inicio!$D$257)),0)</f>
        <v>0.51306000000000007</v>
      </c>
      <c r="E128" s="498">
        <f>IF(Inicio!$E$49&gt;=E126,(+E127/(E48*Inicio!$D$257)),0)</f>
        <v>0.51305999999999996</v>
      </c>
      <c r="F128" s="498">
        <f>IF(Inicio!$E$49&gt;=F126,(+F127/(F48*Inicio!$D$257)),0)</f>
        <v>0.51305999999999996</v>
      </c>
      <c r="G128" s="498">
        <f>IF(Inicio!$E$49&gt;=G126,(+G127/(G48*Inicio!$D$257)),0)</f>
        <v>0</v>
      </c>
      <c r="H128" s="498">
        <f>IF(Inicio!$E$49&gt;=H126,(+H127/(H48*Inicio!$D$257)),0)</f>
        <v>0</v>
      </c>
      <c r="I128" s="498">
        <f>IF(Inicio!$E$49&gt;=I126,(+I127/(I48*Inicio!$D$257)),0)</f>
        <v>0</v>
      </c>
      <c r="J128" s="498">
        <f>IF(Inicio!$E$49&gt;=J126,(+J127/(J48*Inicio!$D$257)),0)</f>
        <v>0</v>
      </c>
      <c r="K128" s="498">
        <f>IF(Inicio!$E$49&gt;=K126,(+K127/(K48*Inicio!$D$257)),0)</f>
        <v>0</v>
      </c>
      <c r="L128" s="498">
        <f>IF(Inicio!$E$49&gt;=L126,(+L127/(L48*Inicio!$D$257)),0)</f>
        <v>0</v>
      </c>
      <c r="M128" s="498">
        <f>IF(Inicio!$E$49&gt;=M126,(+M127/(M48*Inicio!$D$257)),0)</f>
        <v>0</v>
      </c>
      <c r="N128" s="498">
        <f>IF(Inicio!$E$49&gt;=N126,(+N127/(N48*Inicio!$D$257)),0)</f>
        <v>0</v>
      </c>
      <c r="O128" s="498">
        <f>IF(Inicio!$E$49&gt;=O126,(+O127/(O48*Inicio!$D$257)),0)</f>
        <v>0</v>
      </c>
      <c r="P128" s="526">
        <f>IF(Inicio!$E$49&gt;=P126,(+P127/(P48*Inicio!$D$257)),0)</f>
        <v>0</v>
      </c>
      <c r="Q128" s="97"/>
    </row>
    <row r="129" spans="1:17" ht="13.5" thickBot="1" x14ac:dyDescent="0.25">
      <c r="A129" s="499" t="s">
        <v>358</v>
      </c>
      <c r="B129" s="500">
        <f>+Inicio!D258</f>
        <v>1.02</v>
      </c>
      <c r="C129" s="112"/>
      <c r="D129" s="112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</row>
    <row r="130" spans="1:17" x14ac:dyDescent="0.2">
      <c r="A130" s="153"/>
      <c r="B130" s="112"/>
      <c r="C130" s="112"/>
      <c r="D130" s="112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</row>
    <row r="131" spans="1:17" x14ac:dyDescent="0.2">
      <c r="A131" s="153"/>
      <c r="B131" s="112"/>
      <c r="C131" s="112"/>
      <c r="D131" s="112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</row>
    <row r="132" spans="1:17" x14ac:dyDescent="0.2">
      <c r="A132" s="153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</row>
    <row r="133" spans="1:17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</row>
    <row r="134" spans="1:17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</row>
    <row r="135" spans="1:17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</row>
    <row r="136" spans="1:17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</row>
    <row r="137" spans="1:17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</row>
    <row r="138" spans="1:17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</row>
    <row r="139" spans="1:17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</row>
    <row r="140" spans="1:17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</row>
    <row r="141" spans="1:17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</row>
    <row r="142" spans="1:17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</row>
    <row r="143" spans="1:17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</row>
    <row r="144" spans="1:17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</row>
    <row r="145" spans="1:17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</row>
    <row r="146" spans="1:17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</row>
    <row r="147" spans="1:17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</row>
    <row r="148" spans="1:17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</row>
    <row r="149" spans="1:17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</row>
    <row r="150" spans="1:17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</row>
    <row r="151" spans="1:17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</row>
    <row r="152" spans="1:17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</row>
    <row r="153" spans="1:17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</row>
    <row r="154" spans="1:17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</row>
    <row r="155" spans="1:17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</row>
    <row r="156" spans="1:17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</row>
    <row r="157" spans="1:17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</row>
    <row r="158" spans="1:17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</row>
    <row r="159" spans="1:17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</row>
    <row r="160" spans="1:17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</row>
    <row r="161" spans="1:17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</row>
    <row r="162" spans="1:17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</row>
    <row r="163" spans="1:17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</row>
    <row r="164" spans="1:17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</row>
    <row r="165" spans="1:17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</row>
    <row r="166" spans="1:17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</row>
    <row r="167" spans="1:17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</row>
    <row r="168" spans="1:17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</row>
  </sheetData>
  <sheetProtection password="F88E" sheet="1" formatCells="0" formatColumns="0" formatRows="0" insertColumns="0" insertRows="0" insertHyperlinks="0" deleteColumns="0" deleteRows="0" sort="0" autoFilter="0" pivotTables="0"/>
  <customSheetViews>
    <customSheetView guid="{4BF10618-D357-11D5-9338-EFF21189730A}" scale="90" showGridLines="0" showRuler="0">
      <selection activeCell="B5" sqref="B5"/>
      <pageMargins left="0.31496062992125984" right="0.51181102362204722" top="0.98425196850393704" bottom="0.98425196850393704" header="0" footer="0"/>
      <printOptions horizontalCentered="1"/>
      <pageSetup scale="50" orientation="landscape" horizontalDpi="180" verticalDpi="180" r:id="rId1"/>
      <headerFooter alignWithMargins="0"/>
    </customSheetView>
  </customSheetViews>
  <mergeCells count="8">
    <mergeCell ref="M3:P3"/>
    <mergeCell ref="A33:P33"/>
    <mergeCell ref="A1:F1"/>
    <mergeCell ref="A2:F2"/>
    <mergeCell ref="G2:L2"/>
    <mergeCell ref="M2:P2"/>
    <mergeCell ref="A3:F3"/>
    <mergeCell ref="A4:F4"/>
  </mergeCells>
  <phoneticPr fontId="11" type="noConversion"/>
  <printOptions horizontalCentered="1"/>
  <pageMargins left="0.31496062992125984" right="0.51181102362204722" top="0.98425196850393704" bottom="0.98425196850393704" header="0" footer="0"/>
  <pageSetup scale="50" orientation="landscape" horizontalDpi="180" verticalDpi="18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autoPageBreaks="0"/>
  </sheetPr>
  <dimension ref="A1:AD100"/>
  <sheetViews>
    <sheetView showGridLines="0" topLeftCell="A52" workbookViewId="0">
      <selection activeCell="K57" sqref="K57"/>
    </sheetView>
  </sheetViews>
  <sheetFormatPr baseColWidth="10" defaultRowHeight="12.75" x14ac:dyDescent="0.2"/>
  <cols>
    <col min="1" max="1" width="23.5703125" style="19" bestFit="1" customWidth="1"/>
    <col min="2" max="2" width="6.140625" style="19" customWidth="1"/>
    <col min="3" max="3" width="12.85546875" style="19" bestFit="1" customWidth="1"/>
    <col min="4" max="6" width="11.42578125" style="19"/>
    <col min="7" max="7" width="12.42578125" style="19" customWidth="1"/>
    <col min="8" max="8" width="12" style="19" customWidth="1"/>
    <col min="9" max="12" width="11.42578125" style="19"/>
    <col min="13" max="14" width="11.140625" style="19" bestFit="1" customWidth="1"/>
    <col min="15" max="18" width="11.42578125" style="19"/>
    <col min="19" max="19" width="2.85546875" style="19" customWidth="1"/>
    <col min="20" max="20" width="18.5703125" style="19" bestFit="1" customWidth="1"/>
    <col min="21" max="24" width="11.42578125" style="19"/>
    <col min="25" max="25" width="3.28515625" style="19" customWidth="1"/>
    <col min="26" max="26" width="18.5703125" style="19" bestFit="1" customWidth="1"/>
    <col min="27" max="16384" width="11.42578125" style="19"/>
  </cols>
  <sheetData>
    <row r="1" spans="1:30" x14ac:dyDescent="0.2">
      <c r="A1" s="167"/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</row>
    <row r="2" spans="1:30" ht="18" x14ac:dyDescent="0.25">
      <c r="A2" s="660" t="str">
        <f>'presupuesto compras y ventas'!A1:F1</f>
        <v>PREFACTIBILIDAD PARA LA CREACIÓN DE UN PRODUCTO; PARA LA FABRICACION DE BLOQUE CON COMPONENTE DE MATERIAL PET</v>
      </c>
      <c r="B2" s="660"/>
      <c r="C2" s="660"/>
      <c r="D2" s="660"/>
      <c r="E2" s="660"/>
      <c r="F2" s="660"/>
      <c r="G2" s="168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</row>
    <row r="3" spans="1:30" ht="18" x14ac:dyDescent="0.25">
      <c r="A3" s="660" t="s">
        <v>262</v>
      </c>
      <c r="B3" s="660"/>
      <c r="C3" s="660"/>
      <c r="D3" s="660"/>
      <c r="E3" s="660"/>
      <c r="F3" s="660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ht="18" x14ac:dyDescent="0.25">
      <c r="A4" s="661" t="str">
        <f>IF(Inicio!$E$51="Años","En Años","En Meses")</f>
        <v>En Años</v>
      </c>
      <c r="B4" s="661"/>
      <c r="C4" s="661"/>
      <c r="D4" s="661"/>
      <c r="E4" s="661"/>
      <c r="F4" s="661"/>
      <c r="G4" s="168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</row>
    <row r="5" spans="1:30" ht="18.75" thickBot="1" x14ac:dyDescent="0.3">
      <c r="A5" s="659" t="s">
        <v>276</v>
      </c>
      <c r="B5" s="659"/>
      <c r="C5" s="659"/>
      <c r="D5" s="659"/>
      <c r="E5" s="659"/>
      <c r="F5" s="659"/>
      <c r="G5" s="168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</row>
    <row r="6" spans="1:30" ht="13.5" thickBot="1" x14ac:dyDescent="0.25">
      <c r="A6" s="114" t="s">
        <v>5</v>
      </c>
      <c r="B6" s="114" t="s">
        <v>91</v>
      </c>
      <c r="C6" s="162" t="s">
        <v>92</v>
      </c>
      <c r="D6" s="115" t="s">
        <v>93</v>
      </c>
      <c r="E6" s="162" t="s">
        <v>52</v>
      </c>
      <c r="F6" s="116" t="s">
        <v>5</v>
      </c>
      <c r="G6" s="167" t="s">
        <v>1</v>
      </c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</row>
    <row r="7" spans="1:30" x14ac:dyDescent="0.2">
      <c r="A7" s="170" t="s">
        <v>40</v>
      </c>
      <c r="B7" s="170"/>
      <c r="C7" s="171"/>
      <c r="D7" s="172"/>
      <c r="E7" s="173"/>
      <c r="F7" s="174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</row>
    <row r="8" spans="1:30" x14ac:dyDescent="0.2">
      <c r="A8" s="175" t="str">
        <f>Inicio!C113</f>
        <v>GERENTE</v>
      </c>
      <c r="B8" s="175">
        <f>Inicio!D113</f>
        <v>1</v>
      </c>
      <c r="C8" s="176">
        <f>Inicio!E113</f>
        <v>4000</v>
      </c>
      <c r="D8" s="177">
        <f>IF(C8&lt;(Inicio!$D$98*Inicio!$D$99),(IF((C8&gt;0),Inicio!$D$100,0)),0)</f>
        <v>0</v>
      </c>
      <c r="E8" s="176">
        <f>(+C8+D8)*B8</f>
        <v>4000</v>
      </c>
      <c r="F8" s="178">
        <f>IF(Inicio!$E$51="Años",(E8*12),E8)</f>
        <v>48000</v>
      </c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</row>
    <row r="9" spans="1:30" x14ac:dyDescent="0.2">
      <c r="A9" s="175" t="str">
        <f>Inicio!C114</f>
        <v>ALMACENISTA</v>
      </c>
      <c r="B9" s="175">
        <f>Inicio!D114</f>
        <v>1</v>
      </c>
      <c r="C9" s="176">
        <f>Inicio!E114</f>
        <v>1100</v>
      </c>
      <c r="D9" s="177">
        <f>IF(C9&lt;(Inicio!$D$98*Inicio!$D$99),(IF((C9&gt;0),Inicio!$D$100,0)),0)</f>
        <v>106.45399999999999</v>
      </c>
      <c r="E9" s="176">
        <f>(+C9+D9)*B9</f>
        <v>1206.454</v>
      </c>
      <c r="F9" s="178">
        <f>IF(Inicio!$E$51="Años",(E9*12),E9)</f>
        <v>14477.448</v>
      </c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</row>
    <row r="10" spans="1:30" x14ac:dyDescent="0.2">
      <c r="A10" s="175" t="str">
        <f>Inicio!C115</f>
        <v>COORDINADOR ADMON TH</v>
      </c>
      <c r="B10" s="175">
        <f>Inicio!D115</f>
        <v>1</v>
      </c>
      <c r="C10" s="176">
        <f>Inicio!E115</f>
        <v>1200</v>
      </c>
      <c r="D10" s="177">
        <f>IF(C10&lt;(Inicio!$D$98*Inicio!$D$99),(IF((C10&gt;0),Inicio!$D$100,0)),0)</f>
        <v>106.45399999999999</v>
      </c>
      <c r="E10" s="176">
        <f>(+C10+D10)*B10</f>
        <v>1306.454</v>
      </c>
      <c r="F10" s="178">
        <f>IF(Inicio!$E$51="Años",(E10*12),E10)</f>
        <v>15677.448</v>
      </c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</row>
    <row r="11" spans="1:30" x14ac:dyDescent="0.2">
      <c r="A11" s="175" t="str">
        <f>Inicio!C116</f>
        <v>ASEADORA/MENSAJERO</v>
      </c>
      <c r="B11" s="175">
        <f>Inicio!D116</f>
        <v>2</v>
      </c>
      <c r="C11" s="176">
        <f>Inicio!E116</f>
        <v>900</v>
      </c>
      <c r="D11" s="177">
        <f>IF(C11&lt;(Inicio!$D$98*Inicio!$D$99),(IF((C11&gt;0),Inicio!$D$100,0)),0)</f>
        <v>106.45399999999999</v>
      </c>
      <c r="E11" s="176">
        <f>(+C11+D11)*B11</f>
        <v>2012.9079999999999</v>
      </c>
      <c r="F11" s="178">
        <f>IF(Inicio!$E$51="Años",(E11*12),E11)</f>
        <v>24154.896000000001</v>
      </c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</row>
    <row r="12" spans="1:30" x14ac:dyDescent="0.2">
      <c r="A12" s="175" t="str">
        <f>Inicio!C117</f>
        <v>SECRE/AUX CONT/CON/-PUBL</v>
      </c>
      <c r="B12" s="175">
        <f>Inicio!D117</f>
        <v>4</v>
      </c>
      <c r="C12" s="176">
        <f>Inicio!E117</f>
        <v>1000</v>
      </c>
      <c r="D12" s="177">
        <f>IF(C12&lt;(Inicio!$D$98*Inicio!$D$99),(IF((C12&gt;0),Inicio!$D$100,0)),0)</f>
        <v>106.45399999999999</v>
      </c>
      <c r="E12" s="176">
        <f>(+C12+D12)*B12</f>
        <v>4425.8159999999998</v>
      </c>
      <c r="F12" s="178">
        <f>IF(Inicio!$E$51="Años",(E12*12),E12)</f>
        <v>53109.792000000001</v>
      </c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</row>
    <row r="13" spans="1:30" x14ac:dyDescent="0.2">
      <c r="A13" s="179" t="s">
        <v>52</v>
      </c>
      <c r="B13" s="103"/>
      <c r="C13" s="180">
        <f>SUM(C8:C12)</f>
        <v>8200</v>
      </c>
      <c r="D13" s="181">
        <f>SUM(D8:D12)</f>
        <v>425.81599999999997</v>
      </c>
      <c r="E13" s="180">
        <f>SUM(E8:E12)</f>
        <v>12951.631999999998</v>
      </c>
      <c r="F13" s="182">
        <f>SUM(F8:F12)</f>
        <v>155419.58400000003</v>
      </c>
      <c r="G13" s="167" t="s">
        <v>1</v>
      </c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</row>
    <row r="14" spans="1:30" x14ac:dyDescent="0.2">
      <c r="A14" s="175"/>
      <c r="B14" s="175"/>
      <c r="C14" s="183"/>
      <c r="D14" s="184"/>
      <c r="E14" s="183"/>
      <c r="F14" s="185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</row>
    <row r="15" spans="1:30" x14ac:dyDescent="0.2">
      <c r="A15" s="175" t="s">
        <v>78</v>
      </c>
      <c r="B15" s="175"/>
      <c r="C15" s="482">
        <f>Inicio!$F$98</f>
        <v>9.0000000000000011E-2</v>
      </c>
      <c r="D15" s="184"/>
      <c r="E15" s="176">
        <f>+(E13-D13)*C15</f>
        <v>1127.3234399999999</v>
      </c>
      <c r="F15" s="178">
        <f>IF(Inicio!$E$51="Años",(E15*12),E15)</f>
        <v>13527.881279999998</v>
      </c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</row>
    <row r="16" spans="1:30" x14ac:dyDescent="0.2">
      <c r="A16" s="175" t="s">
        <v>77</v>
      </c>
      <c r="B16" s="175"/>
      <c r="C16" s="482">
        <f>Inicio!$F$103</f>
        <v>0.22020000000000001</v>
      </c>
      <c r="D16" s="184"/>
      <c r="E16" s="176">
        <f>(+E13-D13)*C16</f>
        <v>2758.1846831999997</v>
      </c>
      <c r="F16" s="178">
        <f>IF(Inicio!$E$51="Años",(E16*12),E16)</f>
        <v>33098.216198399998</v>
      </c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</row>
    <row r="17" spans="1:18" x14ac:dyDescent="0.2">
      <c r="A17" s="186" t="s">
        <v>79</v>
      </c>
      <c r="B17" s="175"/>
      <c r="C17" s="482" t="s">
        <v>1</v>
      </c>
      <c r="D17" s="184"/>
      <c r="E17" s="176"/>
      <c r="F17" s="178">
        <f>IF(Inicio!$E$51="Años",(E17*12),E17)</f>
        <v>0</v>
      </c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</row>
    <row r="18" spans="1:18" x14ac:dyDescent="0.2">
      <c r="A18" s="175" t="s">
        <v>80</v>
      </c>
      <c r="B18" s="175"/>
      <c r="C18" s="482">
        <f>Inicio!$D$102</f>
        <v>4.1700000000000001E-2</v>
      </c>
      <c r="D18" s="184"/>
      <c r="E18" s="176">
        <f>+(E13-D13)*C18</f>
        <v>522.32652719999987</v>
      </c>
      <c r="F18" s="178">
        <f>IF(Inicio!$E$51="Años",(E18*12),E18)</f>
        <v>6267.9183263999985</v>
      </c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</row>
    <row r="19" spans="1:18" x14ac:dyDescent="0.2">
      <c r="A19" s="175" t="s">
        <v>144</v>
      </c>
      <c r="B19" s="175"/>
      <c r="C19" s="482">
        <f>Inicio!$D$103</f>
        <v>8.4000000000000005E-2</v>
      </c>
      <c r="D19" s="184"/>
      <c r="E19" s="176">
        <f>+E13*C19</f>
        <v>1087.9370879999999</v>
      </c>
      <c r="F19" s="178">
        <f>IF(Inicio!$E$51="Años",(E19*12),E19)</f>
        <v>13055.245056</v>
      </c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</row>
    <row r="20" spans="1:18" x14ac:dyDescent="0.2">
      <c r="A20" s="175" t="s">
        <v>81</v>
      </c>
      <c r="B20" s="175"/>
      <c r="C20" s="482">
        <f>Inicio!$D$104</f>
        <v>8.4000000000000005E-2</v>
      </c>
      <c r="D20" s="184"/>
      <c r="E20" s="176">
        <f>+E13*C20</f>
        <v>1087.9370879999999</v>
      </c>
      <c r="F20" s="178">
        <f>IF(Inicio!$E$51="Años",(E20*12),E20)</f>
        <v>13055.245056</v>
      </c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</row>
    <row r="21" spans="1:18" x14ac:dyDescent="0.2">
      <c r="A21" s="175" t="s">
        <v>145</v>
      </c>
      <c r="B21" s="175"/>
      <c r="C21" s="482">
        <f>Inicio!$D$105</f>
        <v>0.12</v>
      </c>
      <c r="D21" s="184"/>
      <c r="E21" s="176">
        <f>+E19*C21</f>
        <v>130.55245055999998</v>
      </c>
      <c r="F21" s="178">
        <f>IF(Inicio!$E$51="Años",(E21*12),E21)</f>
        <v>1566.6294067199997</v>
      </c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</row>
    <row r="22" spans="1:18" x14ac:dyDescent="0.2">
      <c r="A22" s="179" t="s">
        <v>82</v>
      </c>
      <c r="B22" s="103"/>
      <c r="C22" s="187"/>
      <c r="D22" s="188"/>
      <c r="E22" s="187"/>
      <c r="F22" s="182">
        <f>SUM(F15:F21)</f>
        <v>80571.135323519993</v>
      </c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</row>
    <row r="23" spans="1:18" ht="13.5" thickBot="1" x14ac:dyDescent="0.25">
      <c r="A23" s="189"/>
      <c r="B23" s="189"/>
      <c r="C23" s="190"/>
      <c r="D23" s="191"/>
      <c r="E23" s="190"/>
      <c r="F23" s="192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</row>
    <row r="24" spans="1:18" ht="13.5" thickBot="1" x14ac:dyDescent="0.25">
      <c r="A24" s="193" t="s">
        <v>41</v>
      </c>
      <c r="B24" s="114" t="s">
        <v>91</v>
      </c>
      <c r="C24" s="162" t="s">
        <v>92</v>
      </c>
      <c r="D24" s="115" t="s">
        <v>93</v>
      </c>
      <c r="E24" s="162" t="s">
        <v>52</v>
      </c>
      <c r="F24" s="116" t="s">
        <v>5</v>
      </c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</row>
    <row r="25" spans="1:18" x14ac:dyDescent="0.2">
      <c r="A25" s="194" t="str">
        <f>Inicio!C121</f>
        <v>VENDEDORES</v>
      </c>
      <c r="B25" s="194">
        <f>Inicio!D121</f>
        <v>3</v>
      </c>
      <c r="C25" s="176">
        <f>Inicio!E121</f>
        <v>880</v>
      </c>
      <c r="D25" s="177">
        <f>IF(C25&lt;(Inicio!$D$98*Inicio!$D$99),(IF((C25&gt;0),Inicio!$D$100,0)),0)</f>
        <v>106.45399999999999</v>
      </c>
      <c r="E25" s="176">
        <f>(+C25+D25)*B25</f>
        <v>2959.3620000000001</v>
      </c>
      <c r="F25" s="178">
        <f>IF(Inicio!$E$51="Años",(E25*12),E25)</f>
        <v>35512.343999999997</v>
      </c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</row>
    <row r="26" spans="1:18" x14ac:dyDescent="0.2">
      <c r="A26" s="183" t="str">
        <f>Inicio!C122</f>
        <v>COORDINADOR DE LOGISTICA</v>
      </c>
      <c r="B26" s="175">
        <f>Inicio!D122</f>
        <v>1</v>
      </c>
      <c r="C26" s="176">
        <f>Inicio!E122</f>
        <v>1100</v>
      </c>
      <c r="D26" s="177">
        <f>IF(C26&lt;(Inicio!$D$98*Inicio!$D$99),(IF((C26&gt;0),Inicio!$D$100,0)),0)</f>
        <v>106.45399999999999</v>
      </c>
      <c r="E26" s="176">
        <f>(+C26+D26)*B26</f>
        <v>1206.454</v>
      </c>
      <c r="F26" s="178">
        <f>IF(Inicio!$E$51="Años",(E26*12),E26)</f>
        <v>14477.448</v>
      </c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</row>
    <row r="27" spans="1:18" x14ac:dyDescent="0.2">
      <c r="A27" s="183">
        <f>Inicio!C123</f>
        <v>0</v>
      </c>
      <c r="B27" s="175">
        <f>Inicio!D123</f>
        <v>0</v>
      </c>
      <c r="C27" s="176">
        <f>Inicio!E123</f>
        <v>0</v>
      </c>
      <c r="D27" s="177">
        <f>IF(C27&lt;(Inicio!$D$98*Inicio!$D$99),(IF((C27&gt;0),Inicio!$D$100,0)),0)</f>
        <v>0</v>
      </c>
      <c r="E27" s="176">
        <f>(+C27+D27)*B27</f>
        <v>0</v>
      </c>
      <c r="F27" s="178">
        <f>IF(Inicio!$E$51="Años",(E27*12),E27)</f>
        <v>0</v>
      </c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</row>
    <row r="28" spans="1:18" x14ac:dyDescent="0.2">
      <c r="A28" s="183">
        <f>Inicio!C124</f>
        <v>0</v>
      </c>
      <c r="B28" s="175">
        <f>Inicio!D124</f>
        <v>0</v>
      </c>
      <c r="C28" s="176">
        <f>Inicio!E124</f>
        <v>0</v>
      </c>
      <c r="D28" s="177">
        <f>IF(C28&lt;(Inicio!$D$98*Inicio!$D$99),(IF((C28&gt;0),Inicio!$D$100,0)),0)</f>
        <v>0</v>
      </c>
      <c r="E28" s="176">
        <f>(+C28+D28)*B28</f>
        <v>0</v>
      </c>
      <c r="F28" s="178">
        <f>IF(Inicio!$E$51="Años",(E28*12),E28)</f>
        <v>0</v>
      </c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</row>
    <row r="29" spans="1:18" x14ac:dyDescent="0.2">
      <c r="A29" s="183">
        <f>Inicio!C125</f>
        <v>0</v>
      </c>
      <c r="B29" s="175">
        <f>Inicio!D125</f>
        <v>0</v>
      </c>
      <c r="C29" s="176">
        <f>Inicio!E125</f>
        <v>0</v>
      </c>
      <c r="D29" s="177">
        <f>IF(C29&lt;(Inicio!$D$98*Inicio!$D$99),(IF((C29&gt;0),Inicio!$D$100,0)),0)</f>
        <v>0</v>
      </c>
      <c r="E29" s="176">
        <f>(+C29+D29)*B29</f>
        <v>0</v>
      </c>
      <c r="F29" s="178">
        <f>IF(Inicio!$E$51="Años",(E29*12),E29)</f>
        <v>0</v>
      </c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</row>
    <row r="30" spans="1:18" x14ac:dyDescent="0.2">
      <c r="A30" s="179" t="s">
        <v>52</v>
      </c>
      <c r="B30" s="103"/>
      <c r="C30" s="180">
        <f>SUM(C25:C29)</f>
        <v>1980</v>
      </c>
      <c r="D30" s="181">
        <f>SUM(D25:D29)</f>
        <v>212.90799999999999</v>
      </c>
      <c r="E30" s="180">
        <f>SUM(E25:E29)</f>
        <v>4165.8159999999998</v>
      </c>
      <c r="F30" s="182">
        <f>SUM(F25:F29)</f>
        <v>49989.792000000001</v>
      </c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</row>
    <row r="31" spans="1:18" x14ac:dyDescent="0.2">
      <c r="A31" s="175"/>
      <c r="B31" s="175"/>
      <c r="C31" s="183"/>
      <c r="D31" s="184"/>
      <c r="E31" s="183"/>
      <c r="F31" s="185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</row>
    <row r="32" spans="1:18" x14ac:dyDescent="0.2">
      <c r="A32" s="175" t="s">
        <v>78</v>
      </c>
      <c r="B32" s="175"/>
      <c r="C32" s="482">
        <f>Inicio!$F$98</f>
        <v>9.0000000000000011E-2</v>
      </c>
      <c r="D32" s="184"/>
      <c r="E32" s="176">
        <f>+(E30-D30)*C32</f>
        <v>355.76172000000003</v>
      </c>
      <c r="F32" s="178">
        <f>IF(Inicio!$E$51="Años",(E32*12),E32)</f>
        <v>4269.1406400000005</v>
      </c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</row>
    <row r="33" spans="1:30" x14ac:dyDescent="0.2">
      <c r="A33" s="175" t="s">
        <v>77</v>
      </c>
      <c r="B33" s="175"/>
      <c r="C33" s="482">
        <f>Inicio!$F$103</f>
        <v>0.22020000000000001</v>
      </c>
      <c r="D33" s="184"/>
      <c r="E33" s="176">
        <f>+(E30-D30)*C33</f>
        <v>870.43034160000002</v>
      </c>
      <c r="F33" s="178">
        <f>IF(Inicio!$E$51="Años",(E33*12),E33)</f>
        <v>10445.164099199999</v>
      </c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</row>
    <row r="34" spans="1:30" x14ac:dyDescent="0.2">
      <c r="A34" s="186" t="s">
        <v>79</v>
      </c>
      <c r="B34" s="175"/>
      <c r="C34" s="482" t="s">
        <v>1</v>
      </c>
      <c r="D34" s="184"/>
      <c r="E34" s="176"/>
      <c r="F34" s="178">
        <f>IF(Inicio!$E$51="Años",(E34*12),E34)</f>
        <v>0</v>
      </c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</row>
    <row r="35" spans="1:30" x14ac:dyDescent="0.2">
      <c r="A35" s="175" t="s">
        <v>80</v>
      </c>
      <c r="B35" s="175"/>
      <c r="C35" s="482">
        <f>Inicio!$D$102</f>
        <v>4.1700000000000001E-2</v>
      </c>
      <c r="D35" s="184"/>
      <c r="E35" s="176">
        <f>+(E30-D30)*C35</f>
        <v>164.8362636</v>
      </c>
      <c r="F35" s="178">
        <f>IF(Inicio!$E$51="Años",(E35*12),E35)</f>
        <v>1978.0351631999999</v>
      </c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</row>
    <row r="36" spans="1:30" x14ac:dyDescent="0.2">
      <c r="A36" s="175" t="s">
        <v>144</v>
      </c>
      <c r="B36" s="175"/>
      <c r="C36" s="482">
        <f>Inicio!$D$103</f>
        <v>8.4000000000000005E-2</v>
      </c>
      <c r="D36" s="184"/>
      <c r="E36" s="176">
        <f>+E30*C36</f>
        <v>349.92854399999999</v>
      </c>
      <c r="F36" s="178">
        <f>IF(Inicio!$E$51="Años",(E36*12),E36)</f>
        <v>4199.1425280000003</v>
      </c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</row>
    <row r="37" spans="1:30" x14ac:dyDescent="0.2">
      <c r="A37" s="175" t="s">
        <v>81</v>
      </c>
      <c r="B37" s="175"/>
      <c r="C37" s="482">
        <f>Inicio!$D$104</f>
        <v>8.4000000000000005E-2</v>
      </c>
      <c r="D37" s="184"/>
      <c r="E37" s="176">
        <f>+E30*C37</f>
        <v>349.92854399999999</v>
      </c>
      <c r="F37" s="178">
        <f>IF(Inicio!$E$51="Años",(E37*12),E37)</f>
        <v>4199.1425280000003</v>
      </c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</row>
    <row r="38" spans="1:30" x14ac:dyDescent="0.2">
      <c r="A38" s="175" t="s">
        <v>145</v>
      </c>
      <c r="B38" s="175"/>
      <c r="C38" s="482">
        <f>Inicio!$D$105</f>
        <v>0.12</v>
      </c>
      <c r="D38" s="184"/>
      <c r="E38" s="176">
        <f>+E36*C38</f>
        <v>41.991425279999994</v>
      </c>
      <c r="F38" s="178">
        <f>IF(Inicio!$E$51="Años",(E38*12),E38)</f>
        <v>503.89710335999996</v>
      </c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</row>
    <row r="39" spans="1:30" x14ac:dyDescent="0.2">
      <c r="A39" s="179" t="s">
        <v>82</v>
      </c>
      <c r="B39" s="103"/>
      <c r="C39" s="187"/>
      <c r="D39" s="188"/>
      <c r="E39" s="187"/>
      <c r="F39" s="182">
        <f>SUM(F32:F38)</f>
        <v>25594.522061759999</v>
      </c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</row>
    <row r="40" spans="1:30" ht="13.5" thickBot="1" x14ac:dyDescent="0.25">
      <c r="A40" s="189"/>
      <c r="B40" s="189"/>
      <c r="C40" s="190"/>
      <c r="D40" s="191"/>
      <c r="E40" s="190"/>
      <c r="F40" s="192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</row>
    <row r="41" spans="1:30" ht="13.5" thickBot="1" x14ac:dyDescent="0.25">
      <c r="A41" s="193" t="s">
        <v>359</v>
      </c>
      <c r="B41" s="114" t="s">
        <v>91</v>
      </c>
      <c r="C41" s="162" t="s">
        <v>92</v>
      </c>
      <c r="D41" s="115" t="s">
        <v>93</v>
      </c>
      <c r="E41" s="162" t="s">
        <v>52</v>
      </c>
      <c r="F41" s="116" t="s">
        <v>5</v>
      </c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</row>
    <row r="42" spans="1:30" x14ac:dyDescent="0.2">
      <c r="A42" s="194" t="s">
        <v>83</v>
      </c>
      <c r="B42" s="194">
        <f>+Inicio!D129</f>
        <v>1</v>
      </c>
      <c r="C42" s="176">
        <f>+Inicio!E129</f>
        <v>1200</v>
      </c>
      <c r="D42" s="177">
        <f>IF(C42&lt;(Inicio!$D$98*Inicio!$D$99),(IF((C42&gt;0),Inicio!$D$100,0)),0)</f>
        <v>106.45399999999999</v>
      </c>
      <c r="E42" s="176">
        <f>(+C42+D42)*B42</f>
        <v>1306.454</v>
      </c>
      <c r="F42" s="178">
        <f>IF(Inicio!$E$51="Años",(E42*12),E42)</f>
        <v>15677.448</v>
      </c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</row>
    <row r="43" spans="1:30" x14ac:dyDescent="0.2">
      <c r="A43" s="175" t="s">
        <v>84</v>
      </c>
      <c r="B43" s="175">
        <f>+Inicio!D130</f>
        <v>2</v>
      </c>
      <c r="C43" s="176">
        <f>+Inicio!E130</f>
        <v>900</v>
      </c>
      <c r="D43" s="177">
        <f>IF(C43&lt;(Inicio!$D$98*Inicio!$D$99),(IF((C43&gt;0),Inicio!$D$100,0)),0)</f>
        <v>106.45399999999999</v>
      </c>
      <c r="E43" s="176">
        <f>(+C43+D43)*B43</f>
        <v>2012.9079999999999</v>
      </c>
      <c r="F43" s="178">
        <f>IF(Inicio!$E$51="Años",(E43*12),E43)</f>
        <v>24154.896000000001</v>
      </c>
      <c r="G43" s="167"/>
      <c r="H43" s="184"/>
      <c r="I43" s="184"/>
      <c r="J43" s="184"/>
      <c r="K43" s="184"/>
      <c r="L43" s="184"/>
      <c r="M43" s="167"/>
      <c r="N43" s="184"/>
      <c r="O43" s="184"/>
      <c r="P43" s="184"/>
      <c r="Q43" s="184"/>
      <c r="R43" s="184"/>
      <c r="T43" s="20"/>
      <c r="U43" s="20"/>
      <c r="V43" s="20"/>
      <c r="W43" s="20"/>
      <c r="X43" s="20"/>
      <c r="Z43" s="20"/>
      <c r="AA43" s="20"/>
      <c r="AB43" s="20"/>
      <c r="AC43" s="20"/>
      <c r="AD43" s="20"/>
    </row>
    <row r="44" spans="1:30" x14ac:dyDescent="0.2">
      <c r="A44" s="175" t="s">
        <v>85</v>
      </c>
      <c r="B44" s="175">
        <f>+Inicio!D131</f>
        <v>9</v>
      </c>
      <c r="C44" s="176">
        <f>+Inicio!E131</f>
        <v>900</v>
      </c>
      <c r="D44" s="177">
        <f>IF(C44&lt;(Inicio!$D$98*Inicio!$D$99),(IF((C44&gt;0),Inicio!$D$100,0)),0)</f>
        <v>106.45399999999999</v>
      </c>
      <c r="E44" s="176">
        <f>(+C44+D44)*B44</f>
        <v>9058.0859999999993</v>
      </c>
      <c r="F44" s="178">
        <f>IF(Inicio!$E$51="Años",(E44*12),E44)</f>
        <v>108697.03199999999</v>
      </c>
      <c r="G44" s="167"/>
      <c r="H44" s="184"/>
      <c r="I44" s="184"/>
      <c r="J44" s="184"/>
      <c r="K44" s="184"/>
      <c r="L44" s="184"/>
      <c r="M44" s="167"/>
      <c r="N44" s="184"/>
      <c r="O44" s="184"/>
      <c r="P44" s="184"/>
      <c r="Q44" s="184"/>
      <c r="R44" s="184"/>
      <c r="T44" s="20"/>
      <c r="U44" s="20"/>
      <c r="V44" s="20"/>
      <c r="W44" s="20"/>
      <c r="X44" s="20"/>
      <c r="Z44" s="20"/>
      <c r="AA44" s="20"/>
      <c r="AB44" s="20"/>
      <c r="AC44" s="20"/>
      <c r="AD44" s="20"/>
    </row>
    <row r="45" spans="1:30" x14ac:dyDescent="0.2">
      <c r="A45" s="175" t="s">
        <v>86</v>
      </c>
      <c r="B45" s="175">
        <f>+Inicio!D132</f>
        <v>5</v>
      </c>
      <c r="C45" s="176">
        <f>+Inicio!E132</f>
        <v>1100</v>
      </c>
      <c r="D45" s="177">
        <f>IF(C45&lt;(Inicio!$D$98*Inicio!$D$99),(IF((C45&gt;0),Inicio!$D$100,0)),0)</f>
        <v>106.45399999999999</v>
      </c>
      <c r="E45" s="176">
        <f>(+C45+D45)*B45</f>
        <v>6032.2699999999995</v>
      </c>
      <c r="F45" s="178">
        <f>IF(Inicio!$E$51="Años",(E45*12),E45)</f>
        <v>72387.239999999991</v>
      </c>
      <c r="G45" s="167"/>
      <c r="H45" s="184"/>
      <c r="I45" s="184"/>
      <c r="J45" s="184"/>
      <c r="K45" s="184"/>
      <c r="L45" s="184"/>
      <c r="M45" s="167"/>
      <c r="N45" s="184"/>
      <c r="O45" s="184"/>
      <c r="P45" s="184"/>
      <c r="Q45" s="184"/>
      <c r="R45" s="184"/>
      <c r="T45" s="20"/>
      <c r="U45" s="20"/>
      <c r="V45" s="20"/>
      <c r="W45" s="20"/>
      <c r="X45" s="20"/>
      <c r="Z45" s="20"/>
      <c r="AA45" s="20"/>
      <c r="AB45" s="20"/>
      <c r="AC45" s="20"/>
      <c r="AD45" s="20"/>
    </row>
    <row r="46" spans="1:30" x14ac:dyDescent="0.2">
      <c r="A46" s="175" t="s">
        <v>87</v>
      </c>
      <c r="B46" s="175">
        <f>+Inicio!D133</f>
        <v>2</v>
      </c>
      <c r="C46" s="176">
        <f>+Inicio!E133</f>
        <v>1300</v>
      </c>
      <c r="D46" s="177">
        <f>IF(C46&lt;(Inicio!$D$98*Inicio!$D$99),(IF((C46&gt;0),Inicio!$D$100,0)),0)</f>
        <v>106.45399999999999</v>
      </c>
      <c r="E46" s="176">
        <f>(+C46+D46)*B46</f>
        <v>2812.9079999999999</v>
      </c>
      <c r="F46" s="178">
        <f>IF(Inicio!$E$51="Años",(E46*12),E46)</f>
        <v>33754.896000000001</v>
      </c>
      <c r="G46" s="167"/>
      <c r="H46" s="184"/>
      <c r="I46" s="184"/>
      <c r="J46" s="184"/>
      <c r="K46" s="184"/>
      <c r="L46" s="184"/>
      <c r="M46" s="167"/>
      <c r="N46" s="184"/>
      <c r="O46" s="184"/>
      <c r="P46" s="184"/>
      <c r="Q46" s="184"/>
      <c r="R46" s="184"/>
      <c r="T46" s="20"/>
      <c r="U46" s="20"/>
      <c r="V46" s="20"/>
      <c r="W46" s="20"/>
      <c r="X46" s="20"/>
      <c r="Z46" s="20"/>
      <c r="AA46" s="20"/>
      <c r="AB46" s="20"/>
      <c r="AC46" s="20"/>
      <c r="AD46" s="20"/>
    </row>
    <row r="47" spans="1:30" x14ac:dyDescent="0.2">
      <c r="A47" s="179" t="s">
        <v>52</v>
      </c>
      <c r="B47" s="103"/>
      <c r="C47" s="180">
        <f>SUM(C42:C46)</f>
        <v>5400</v>
      </c>
      <c r="D47" s="181">
        <f>SUM(D42:D46)</f>
        <v>532.27</v>
      </c>
      <c r="E47" s="180">
        <f>SUM(E42:E46)</f>
        <v>21222.626</v>
      </c>
      <c r="F47" s="182">
        <f>SUM(F42:F46)</f>
        <v>254671.51199999999</v>
      </c>
      <c r="G47" s="167"/>
      <c r="H47" s="184"/>
      <c r="I47" s="184"/>
      <c r="J47" s="184"/>
      <c r="K47" s="184"/>
      <c r="L47" s="184"/>
      <c r="M47" s="167"/>
      <c r="N47" s="184"/>
      <c r="O47" s="184"/>
      <c r="P47" s="184"/>
      <c r="Q47" s="184"/>
      <c r="R47" s="184"/>
      <c r="T47" s="20"/>
      <c r="U47" s="20"/>
      <c r="V47" s="20"/>
      <c r="W47" s="20"/>
      <c r="X47" s="20"/>
      <c r="Z47" s="20"/>
      <c r="AA47" s="20"/>
      <c r="AB47" s="20"/>
      <c r="AC47" s="20"/>
      <c r="AD47" s="20"/>
    </row>
    <row r="48" spans="1:30" x14ac:dyDescent="0.2">
      <c r="A48" s="175"/>
      <c r="B48" s="175"/>
      <c r="C48" s="183"/>
      <c r="D48" s="184"/>
      <c r="E48" s="176"/>
      <c r="F48" s="185"/>
      <c r="G48" s="167"/>
      <c r="H48" s="184"/>
      <c r="I48" s="184"/>
      <c r="J48" s="184"/>
      <c r="K48" s="184"/>
      <c r="L48" s="184"/>
      <c r="M48" s="167"/>
      <c r="N48" s="184"/>
      <c r="O48" s="184"/>
      <c r="P48" s="184"/>
      <c r="Q48" s="184"/>
      <c r="R48" s="184"/>
      <c r="T48" s="20"/>
      <c r="U48" s="20"/>
      <c r="V48" s="20"/>
      <c r="W48" s="20"/>
      <c r="X48" s="20"/>
      <c r="Z48" s="20"/>
      <c r="AA48" s="20"/>
      <c r="AB48" s="20"/>
      <c r="AC48" s="20"/>
      <c r="AD48" s="20"/>
    </row>
    <row r="49" spans="1:30" x14ac:dyDescent="0.2">
      <c r="A49" s="175" t="s">
        <v>78</v>
      </c>
      <c r="B49" s="175"/>
      <c r="C49" s="482">
        <f>Inicio!$F$98</f>
        <v>9.0000000000000011E-2</v>
      </c>
      <c r="D49" s="184"/>
      <c r="E49" s="176">
        <f>+(E47-D47)*C49</f>
        <v>1862.1320400000002</v>
      </c>
      <c r="F49" s="178">
        <f>IF(Inicio!$E$51="Años",(E49*12),E49)</f>
        <v>22345.584480000001</v>
      </c>
      <c r="G49" s="167"/>
      <c r="H49" s="184"/>
      <c r="I49" s="184"/>
      <c r="J49" s="184"/>
      <c r="K49" s="184"/>
      <c r="L49" s="184"/>
      <c r="M49" s="167"/>
      <c r="N49" s="184"/>
      <c r="O49" s="184"/>
      <c r="P49" s="184"/>
      <c r="Q49" s="184"/>
      <c r="R49" s="184"/>
      <c r="T49" s="20"/>
      <c r="U49" s="20"/>
      <c r="V49" s="20"/>
      <c r="W49" s="20"/>
      <c r="X49" s="20"/>
      <c r="Z49" s="20"/>
      <c r="AA49" s="20"/>
      <c r="AB49" s="20"/>
      <c r="AC49" s="20"/>
      <c r="AD49" s="20"/>
    </row>
    <row r="50" spans="1:30" x14ac:dyDescent="0.2">
      <c r="A50" s="175" t="s">
        <v>77</v>
      </c>
      <c r="B50" s="175"/>
      <c r="C50" s="482">
        <f>Inicio!$F$103</f>
        <v>0.22020000000000001</v>
      </c>
      <c r="D50" s="184"/>
      <c r="E50" s="176">
        <f>(+E47-D47)*C50</f>
        <v>4556.0163911999998</v>
      </c>
      <c r="F50" s="178">
        <f>IF(Inicio!$E$51="Años",(E50*12),E50)</f>
        <v>54672.196694400001</v>
      </c>
      <c r="G50" s="167"/>
      <c r="H50" s="184"/>
      <c r="I50" s="184"/>
      <c r="J50" s="184"/>
      <c r="K50" s="184"/>
      <c r="L50" s="184"/>
      <c r="M50" s="167"/>
      <c r="N50" s="184"/>
      <c r="O50" s="184"/>
      <c r="P50" s="184"/>
      <c r="Q50" s="184"/>
      <c r="R50" s="184"/>
      <c r="T50" s="20"/>
      <c r="U50" s="20"/>
      <c r="V50" s="20"/>
      <c r="W50" s="20"/>
      <c r="X50" s="20"/>
      <c r="Z50" s="20"/>
      <c r="AA50" s="20"/>
      <c r="AB50" s="20"/>
      <c r="AC50" s="20"/>
      <c r="AD50" s="20"/>
    </row>
    <row r="51" spans="1:30" x14ac:dyDescent="0.2">
      <c r="A51" s="186" t="s">
        <v>79</v>
      </c>
      <c r="B51" s="175"/>
      <c r="C51" s="482" t="s">
        <v>1</v>
      </c>
      <c r="D51" s="184"/>
      <c r="E51" s="176"/>
      <c r="F51" s="178">
        <f>IF(Inicio!$E$51="Años",(E51*12),E51)</f>
        <v>0</v>
      </c>
      <c r="G51" s="167"/>
      <c r="H51" s="184"/>
      <c r="I51" s="184"/>
      <c r="J51" s="184"/>
      <c r="K51" s="184"/>
      <c r="L51" s="184"/>
      <c r="M51" s="167"/>
      <c r="N51" s="184"/>
      <c r="O51" s="184"/>
      <c r="P51" s="184"/>
      <c r="Q51" s="184"/>
      <c r="R51" s="184"/>
      <c r="T51" s="20"/>
      <c r="U51" s="20"/>
      <c r="V51" s="20"/>
      <c r="W51" s="20"/>
      <c r="X51" s="20"/>
      <c r="Z51" s="20"/>
      <c r="AA51" s="20"/>
      <c r="AB51" s="20"/>
      <c r="AC51" s="20"/>
      <c r="AD51" s="20"/>
    </row>
    <row r="52" spans="1:30" x14ac:dyDescent="0.2">
      <c r="A52" s="175" t="s">
        <v>80</v>
      </c>
      <c r="B52" s="175"/>
      <c r="C52" s="482">
        <f>Inicio!$D$102</f>
        <v>4.1700000000000001E-2</v>
      </c>
      <c r="D52" s="184"/>
      <c r="E52" s="176">
        <f>+(E47-D47)*C52</f>
        <v>862.78784519999999</v>
      </c>
      <c r="F52" s="178">
        <f>IF(Inicio!$E$51="Años",(E52*12),E52)</f>
        <v>10353.4541424</v>
      </c>
      <c r="G52" s="167"/>
      <c r="H52" s="184"/>
      <c r="I52" s="184"/>
      <c r="J52" s="184"/>
      <c r="K52" s="184"/>
      <c r="L52" s="184"/>
      <c r="M52" s="167"/>
      <c r="N52" s="184"/>
      <c r="O52" s="184"/>
      <c r="P52" s="184"/>
      <c r="Q52" s="184"/>
      <c r="R52" s="184"/>
      <c r="T52" s="20"/>
      <c r="U52" s="20"/>
      <c r="V52" s="20"/>
      <c r="W52" s="20"/>
      <c r="X52" s="20"/>
      <c r="Z52" s="20"/>
      <c r="AA52" s="20"/>
      <c r="AB52" s="20"/>
      <c r="AC52" s="20"/>
      <c r="AD52" s="20"/>
    </row>
    <row r="53" spans="1:30" x14ac:dyDescent="0.2">
      <c r="A53" s="175" t="s">
        <v>144</v>
      </c>
      <c r="B53" s="175"/>
      <c r="C53" s="482">
        <f>Inicio!$D$103</f>
        <v>8.4000000000000005E-2</v>
      </c>
      <c r="D53" s="184"/>
      <c r="E53" s="176">
        <f>+E47*C53</f>
        <v>1782.7005840000002</v>
      </c>
      <c r="F53" s="178">
        <f>IF(Inicio!$E$51="Años",(E53*12),E53)</f>
        <v>21392.407008000002</v>
      </c>
      <c r="G53" s="167"/>
      <c r="H53" s="184"/>
      <c r="I53" s="184"/>
      <c r="J53" s="184"/>
      <c r="K53" s="184"/>
      <c r="L53" s="184"/>
      <c r="M53" s="167"/>
      <c r="N53" s="184"/>
      <c r="O53" s="184"/>
      <c r="P53" s="184"/>
      <c r="Q53" s="184"/>
      <c r="R53" s="184"/>
      <c r="T53" s="20"/>
      <c r="U53" s="20"/>
      <c r="V53" s="20"/>
      <c r="W53" s="20"/>
      <c r="X53" s="20"/>
      <c r="Z53" s="20"/>
      <c r="AA53" s="20"/>
      <c r="AB53" s="20"/>
      <c r="AC53" s="20"/>
      <c r="AD53" s="20"/>
    </row>
    <row r="54" spans="1:30" x14ac:dyDescent="0.2">
      <c r="A54" s="175" t="s">
        <v>81</v>
      </c>
      <c r="B54" s="175"/>
      <c r="C54" s="482">
        <f>Inicio!$D$104</f>
        <v>8.4000000000000005E-2</v>
      </c>
      <c r="D54" s="184"/>
      <c r="E54" s="176">
        <f>+E47*C54</f>
        <v>1782.7005840000002</v>
      </c>
      <c r="F54" s="178">
        <f>IF(Inicio!$E$51="Años",(E54*12),E54)</f>
        <v>21392.407008000002</v>
      </c>
      <c r="G54" s="167"/>
      <c r="H54" s="184"/>
      <c r="I54" s="184"/>
      <c r="J54" s="184"/>
      <c r="K54" s="184"/>
      <c r="L54" s="184"/>
      <c r="M54" s="167"/>
      <c r="N54" s="184"/>
      <c r="O54" s="184"/>
      <c r="P54" s="184"/>
      <c r="Q54" s="184"/>
      <c r="R54" s="184"/>
      <c r="T54" s="20"/>
      <c r="U54" s="20"/>
      <c r="V54" s="20"/>
      <c r="W54" s="20"/>
      <c r="X54" s="20"/>
      <c r="Z54" s="20"/>
      <c r="AA54" s="20"/>
      <c r="AB54" s="20"/>
      <c r="AC54" s="20"/>
      <c r="AD54" s="20"/>
    </row>
    <row r="55" spans="1:30" x14ac:dyDescent="0.2">
      <c r="A55" s="175" t="s">
        <v>145</v>
      </c>
      <c r="B55" s="175"/>
      <c r="C55" s="482">
        <f>Inicio!$D$105</f>
        <v>0.12</v>
      </c>
      <c r="D55" s="184"/>
      <c r="E55" s="176">
        <f>+E53*C55</f>
        <v>213.92407008000001</v>
      </c>
      <c r="F55" s="178">
        <f>IF(Inicio!$E$51="Años",(E55*12),E55)</f>
        <v>2567.0888409600002</v>
      </c>
      <c r="G55" s="167"/>
      <c r="H55" s="184"/>
      <c r="I55" s="184"/>
      <c r="J55" s="184"/>
      <c r="K55" s="184"/>
      <c r="L55" s="184"/>
      <c r="M55" s="167"/>
      <c r="N55" s="184"/>
      <c r="O55" s="184"/>
      <c r="P55" s="184"/>
      <c r="Q55" s="184"/>
      <c r="R55" s="184"/>
      <c r="T55" s="20"/>
      <c r="U55" s="20"/>
      <c r="V55" s="20"/>
      <c r="W55" s="20"/>
      <c r="X55" s="20"/>
      <c r="Z55" s="20"/>
      <c r="AA55" s="20"/>
      <c r="AB55" s="20"/>
      <c r="AC55" s="20"/>
      <c r="AD55" s="20"/>
    </row>
    <row r="56" spans="1:30" x14ac:dyDescent="0.2">
      <c r="A56" s="179" t="s">
        <v>82</v>
      </c>
      <c r="B56" s="103"/>
      <c r="C56" s="187"/>
      <c r="D56" s="188"/>
      <c r="E56" s="187"/>
      <c r="F56" s="182">
        <f>SUM(F49:F55)</f>
        <v>132723.13817376003</v>
      </c>
      <c r="G56" s="167"/>
      <c r="H56" s="184"/>
      <c r="I56" s="184"/>
      <c r="J56" s="184"/>
      <c r="K56" s="184"/>
      <c r="L56" s="184"/>
      <c r="M56" s="167"/>
      <c r="N56" s="184"/>
      <c r="O56" s="184"/>
      <c r="P56" s="184"/>
      <c r="Q56" s="184"/>
      <c r="R56" s="184"/>
      <c r="T56" s="20"/>
      <c r="U56" s="20"/>
      <c r="V56" s="20"/>
      <c r="W56" s="20"/>
      <c r="X56" s="20"/>
      <c r="Z56" s="20"/>
      <c r="AA56" s="20"/>
      <c r="AB56" s="20"/>
      <c r="AC56" s="20"/>
      <c r="AD56" s="20"/>
    </row>
    <row r="57" spans="1:30" ht="13.5" thickBot="1" x14ac:dyDescent="0.25">
      <c r="A57" s="189"/>
      <c r="B57" s="189"/>
      <c r="C57" s="190"/>
      <c r="D57" s="191"/>
      <c r="E57" s="190"/>
      <c r="F57" s="192"/>
      <c r="G57" s="167"/>
      <c r="H57" s="184"/>
      <c r="I57" s="184"/>
      <c r="J57" s="184"/>
      <c r="K57" s="184"/>
      <c r="L57" s="184"/>
      <c r="M57" s="167"/>
      <c r="N57" s="184"/>
      <c r="O57" s="184"/>
      <c r="P57" s="184"/>
      <c r="Q57" s="184"/>
      <c r="R57" s="184"/>
      <c r="T57" s="20"/>
      <c r="U57" s="20"/>
      <c r="V57" s="20"/>
      <c r="W57" s="20"/>
      <c r="X57" s="20"/>
      <c r="Z57" s="20"/>
      <c r="AA57" s="20"/>
      <c r="AB57" s="20"/>
      <c r="AC57" s="20"/>
      <c r="AD57" s="20"/>
    </row>
    <row r="58" spans="1:30" x14ac:dyDescent="0.2">
      <c r="A58" s="184"/>
      <c r="B58" s="184"/>
      <c r="C58" s="184"/>
      <c r="D58" s="184"/>
      <c r="E58" s="184"/>
      <c r="F58" s="184"/>
      <c r="G58" s="167"/>
      <c r="H58" s="184"/>
      <c r="I58" s="184"/>
      <c r="J58" s="184"/>
      <c r="K58" s="184"/>
      <c r="L58" s="184"/>
      <c r="M58" s="167"/>
      <c r="N58" s="184"/>
      <c r="O58" s="184"/>
      <c r="P58" s="184"/>
      <c r="Q58" s="184"/>
      <c r="R58" s="184"/>
      <c r="T58" s="20"/>
      <c r="U58" s="20"/>
      <c r="V58" s="20"/>
      <c r="W58" s="20"/>
      <c r="X58" s="20"/>
      <c r="Z58" s="20"/>
      <c r="AA58" s="20"/>
      <c r="AB58" s="20"/>
      <c r="AC58" s="20"/>
      <c r="AD58" s="20"/>
    </row>
    <row r="59" spans="1:30" x14ac:dyDescent="0.2">
      <c r="A59" s="167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</row>
    <row r="60" spans="1:30" ht="18" x14ac:dyDescent="0.25">
      <c r="A60" s="660" t="str">
        <f>A2</f>
        <v>PREFACTIBILIDAD PARA LA CREACIÓN DE UN PRODUCTO; PARA LA FABRICACION DE BLOQUE CON COMPONENTE DE MATERIAL PET</v>
      </c>
      <c r="B60" s="660"/>
      <c r="C60" s="660"/>
      <c r="D60" s="660"/>
      <c r="E60" s="660"/>
      <c r="F60" s="660"/>
      <c r="G60" s="660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67"/>
    </row>
    <row r="61" spans="1:30" ht="18" x14ac:dyDescent="0.25">
      <c r="A61" s="660" t="s">
        <v>46</v>
      </c>
      <c r="B61" s="660"/>
      <c r="C61" s="660"/>
      <c r="D61" s="660"/>
      <c r="E61" s="660"/>
      <c r="F61" s="660"/>
      <c r="G61" s="660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7"/>
    </row>
    <row r="62" spans="1:30" ht="18" x14ac:dyDescent="0.25">
      <c r="A62" s="661" t="str">
        <f>IF(Inicio!$E$51="Años","En Años","En Meses")</f>
        <v>En Años</v>
      </c>
      <c r="B62" s="661"/>
      <c r="C62" s="661"/>
      <c r="D62" s="661"/>
      <c r="E62" s="661"/>
      <c r="F62" s="661"/>
      <c r="G62" s="661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67"/>
    </row>
    <row r="63" spans="1:30" ht="18.75" thickBot="1" x14ac:dyDescent="0.3">
      <c r="A63" s="659" t="s">
        <v>276</v>
      </c>
      <c r="B63" s="659"/>
      <c r="C63" s="659"/>
      <c r="D63" s="659"/>
      <c r="E63" s="659"/>
      <c r="F63" s="659"/>
      <c r="G63" s="659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67"/>
    </row>
    <row r="64" spans="1:30" ht="13.5" thickBot="1" x14ac:dyDescent="0.25">
      <c r="A64" s="114" t="s">
        <v>40</v>
      </c>
      <c r="B64" s="115"/>
      <c r="C64" s="162">
        <v>1</v>
      </c>
      <c r="D64" s="162">
        <v>2</v>
      </c>
      <c r="E64" s="162">
        <v>3</v>
      </c>
      <c r="F64" s="162">
        <v>4</v>
      </c>
      <c r="G64" s="162">
        <v>5</v>
      </c>
      <c r="H64" s="116">
        <v>6</v>
      </c>
      <c r="I64" s="162">
        <v>7</v>
      </c>
      <c r="J64" s="162">
        <v>8</v>
      </c>
      <c r="K64" s="162">
        <v>9</v>
      </c>
      <c r="L64" s="162">
        <v>10</v>
      </c>
      <c r="M64" s="162">
        <v>11</v>
      </c>
      <c r="N64" s="162">
        <v>12</v>
      </c>
      <c r="O64" s="162">
        <v>13</v>
      </c>
      <c r="P64" s="162">
        <v>14</v>
      </c>
      <c r="Q64" s="162">
        <v>15</v>
      </c>
      <c r="R64" s="167"/>
    </row>
    <row r="65" spans="1:18" x14ac:dyDescent="0.2">
      <c r="A65" s="94" t="s">
        <v>47</v>
      </c>
      <c r="B65" s="198"/>
      <c r="C65" s="199">
        <f>+F13</f>
        <v>155419.58400000003</v>
      </c>
      <c r="D65" s="199">
        <f>IF(D64&lt;=Inicio!$E$49,(+C65*$B$86)+C65,0)</f>
        <v>159305.07360000003</v>
      </c>
      <c r="E65" s="199">
        <f>IF(E64&lt;=Inicio!$E$49,(+D65*$C$86)+D65,0)</f>
        <v>163287.70044000004</v>
      </c>
      <c r="F65" s="199">
        <f>IF(F64&lt;=Inicio!$E$49,(+E65*$D$86)+E65,0)</f>
        <v>167369.89295100005</v>
      </c>
      <c r="G65" s="199">
        <f>IF(G64&lt;=Inicio!$E$49,(+F65*$E$86)+F65,0)</f>
        <v>171554.14027477504</v>
      </c>
      <c r="H65" s="200">
        <f>IF(H64&lt;=Inicio!$E$49,(+G65*$E$86)+G65,0)</f>
        <v>0</v>
      </c>
      <c r="I65" s="200">
        <f>IF(I64&lt;=Inicio!$E$49,(+H65*$E$86)+H65,0)</f>
        <v>0</v>
      </c>
      <c r="J65" s="200">
        <f>IF(J64&lt;=Inicio!$E$49,(+I65*$E$86)+I65,0)</f>
        <v>0</v>
      </c>
      <c r="K65" s="200">
        <f>IF(K64&lt;=Inicio!$E$49,(+J65*$E$86)+J65,0)</f>
        <v>0</v>
      </c>
      <c r="L65" s="200">
        <f>IF(L64&lt;=Inicio!$E$49,(+K65*$E$86)+K65,0)</f>
        <v>0</v>
      </c>
      <c r="M65" s="200">
        <f>IF(M64&lt;=Inicio!$E$49,(+L65*$E$86)+L65,0)</f>
        <v>0</v>
      </c>
      <c r="N65" s="200">
        <f>IF(N64&lt;=Inicio!$E$49,(+M65*$E$86)+M65,0)</f>
        <v>0</v>
      </c>
      <c r="O65" s="200">
        <f>IF(O64&lt;=Inicio!$E$49,(+N65*$E$86)+N65,0)</f>
        <v>0</v>
      </c>
      <c r="P65" s="200">
        <f>IF(P64&lt;=Inicio!$E$49,(+O65*$E$86)+O65,0)</f>
        <v>0</v>
      </c>
      <c r="Q65" s="200">
        <f>IF(Q64&lt;=Inicio!$E$49,(+P65*$E$86)+P65,0)</f>
        <v>0</v>
      </c>
      <c r="R65" s="167"/>
    </row>
    <row r="66" spans="1:18" x14ac:dyDescent="0.2">
      <c r="A66" s="94" t="s">
        <v>88</v>
      </c>
      <c r="B66" s="198"/>
      <c r="C66" s="199">
        <f>+F18+F19+F20+F21</f>
        <v>33945.037845119994</v>
      </c>
      <c r="D66" s="199">
        <f>IF(D64&lt;=Inicio!$E$49,(+C66*$B$86)+C66,0)</f>
        <v>34793.663791247993</v>
      </c>
      <c r="E66" s="199">
        <f>IF(E64&lt;=Inicio!$E$49,(+D66*$C$86)+D66,0)</f>
        <v>35663.505386029196</v>
      </c>
      <c r="F66" s="199">
        <f>IF(F64&lt;=Inicio!$E$49,(+E66*$D$86)+E66,0)</f>
        <v>36555.093020679924</v>
      </c>
      <c r="G66" s="199">
        <f>IF(G64&lt;=Inicio!$E$49,(+F66*$E$86)+F66,0)</f>
        <v>37468.970346196918</v>
      </c>
      <c r="H66" s="200">
        <f>IF(H64&lt;=Inicio!$E$49,(+G66*$E$86)+G66,0)</f>
        <v>0</v>
      </c>
      <c r="I66" s="200">
        <f>IF(I64&lt;=Inicio!$E$49,(+H66*$E$86)+H66,0)</f>
        <v>0</v>
      </c>
      <c r="J66" s="200">
        <f>IF(J64&lt;=Inicio!$E$49,(+I66*$E$86)+I66,0)</f>
        <v>0</v>
      </c>
      <c r="K66" s="200">
        <f>IF(K64&lt;=Inicio!$E$49,(+J66*$E$86)+J66,0)</f>
        <v>0</v>
      </c>
      <c r="L66" s="200">
        <f>IF(L64&lt;=Inicio!$E$49,(+K66*$E$86)+K66,0)</f>
        <v>0</v>
      </c>
      <c r="M66" s="200">
        <f>IF(M64&lt;=Inicio!$E$49,(+L66*$E$86)+L66,0)</f>
        <v>0</v>
      </c>
      <c r="N66" s="200">
        <f>IF(N64&lt;=Inicio!$E$49,(+M66*$E$86)+M66,0)</f>
        <v>0</v>
      </c>
      <c r="O66" s="200">
        <f>IF(O64&lt;=Inicio!$E$49,(+N66*$E$86)+N66,0)</f>
        <v>0</v>
      </c>
      <c r="P66" s="200">
        <f>IF(P64&lt;=Inicio!$E$49,(+O66*$E$86)+O66,0)</f>
        <v>0</v>
      </c>
      <c r="Q66" s="200">
        <f>IF(Q64&lt;=Inicio!$E$49,(+P66*$E$86)+P66,0)</f>
        <v>0</v>
      </c>
      <c r="R66" s="167"/>
    </row>
    <row r="67" spans="1:18" ht="13.5" thickBot="1" x14ac:dyDescent="0.25">
      <c r="A67" s="94" t="s">
        <v>89</v>
      </c>
      <c r="B67" s="198"/>
      <c r="C67" s="199">
        <f>+F15+F16</f>
        <v>46626.097478399999</v>
      </c>
      <c r="D67" s="199">
        <f>IF(D64&lt;=Inicio!$E$49,(+C67*$B$86)+C67,0)</f>
        <v>47791.74991536</v>
      </c>
      <c r="E67" s="199">
        <f>IF(E64&lt;=Inicio!$E$49,(+D67*$C$86)+D67,0)</f>
        <v>48986.543663244003</v>
      </c>
      <c r="F67" s="199">
        <f>IF(F64&lt;=Inicio!$E$49,(+E67*$D$86)+E67,0)</f>
        <v>50211.207254825102</v>
      </c>
      <c r="G67" s="199">
        <f>IF(G64&lt;=Inicio!$E$49,(+F67*$E$86)+F67,0)</f>
        <v>51466.487436195726</v>
      </c>
      <c r="H67" s="200">
        <f>IF(H64&lt;=Inicio!$E$49,(+G67*$E$86)+G67,0)</f>
        <v>0</v>
      </c>
      <c r="I67" s="200">
        <f>IF(I64&lt;=Inicio!$E$49,(+H67*$E$86)+H67,0)</f>
        <v>0</v>
      </c>
      <c r="J67" s="200">
        <f>IF(J64&lt;=Inicio!$E$49,(+I67*$E$86)+I67,0)</f>
        <v>0</v>
      </c>
      <c r="K67" s="200">
        <f>IF(K64&lt;=Inicio!$E$49,(+J67*$E$86)+J67,0)</f>
        <v>0</v>
      </c>
      <c r="L67" s="200">
        <f>IF(L64&lt;=Inicio!$E$49,(+K67*$E$86)+K67,0)</f>
        <v>0</v>
      </c>
      <c r="M67" s="200">
        <f>IF(M64&lt;=Inicio!$E$49,(+L67*$E$86)+L67,0)</f>
        <v>0</v>
      </c>
      <c r="N67" s="200">
        <f>IF(N64&lt;=Inicio!$E$49,(+M67*$E$86)+M67,0)</f>
        <v>0</v>
      </c>
      <c r="O67" s="200">
        <f>IF(O64&lt;=Inicio!$E$49,(+N67*$E$86)+N67,0)</f>
        <v>0</v>
      </c>
      <c r="P67" s="200">
        <f>IF(P64&lt;=Inicio!$E$49,(+O67*$E$86)+O67,0)</f>
        <v>0</v>
      </c>
      <c r="Q67" s="200">
        <f>IF(Q64&lt;=Inicio!$E$49,(+P67*$E$86)+P67,0)</f>
        <v>0</v>
      </c>
      <c r="R67" s="167"/>
    </row>
    <row r="68" spans="1:18" ht="13.5" thickBot="1" x14ac:dyDescent="0.25">
      <c r="A68" s="201" t="s">
        <v>52</v>
      </c>
      <c r="B68" s="202"/>
      <c r="C68" s="203">
        <f>SUM(C65:C67)</f>
        <v>235990.71932352002</v>
      </c>
      <c r="D68" s="203">
        <f>SUM(D65:D67)</f>
        <v>241890.48730660803</v>
      </c>
      <c r="E68" s="203">
        <f>SUM(E65:E67)</f>
        <v>247937.74948927324</v>
      </c>
      <c r="F68" s="203">
        <f t="shared" ref="F68:Q68" si="0">SUM(F65:F67)</f>
        <v>254136.19322650507</v>
      </c>
      <c r="G68" s="203">
        <f t="shared" si="0"/>
        <v>260489.59805716766</v>
      </c>
      <c r="H68" s="204">
        <f t="shared" si="0"/>
        <v>0</v>
      </c>
      <c r="I68" s="203">
        <f t="shared" si="0"/>
        <v>0</v>
      </c>
      <c r="J68" s="203">
        <f t="shared" si="0"/>
        <v>0</v>
      </c>
      <c r="K68" s="203">
        <f t="shared" si="0"/>
        <v>0</v>
      </c>
      <c r="L68" s="203">
        <f t="shared" si="0"/>
        <v>0</v>
      </c>
      <c r="M68" s="203">
        <f t="shared" si="0"/>
        <v>0</v>
      </c>
      <c r="N68" s="203">
        <f t="shared" si="0"/>
        <v>0</v>
      </c>
      <c r="O68" s="203">
        <f t="shared" si="0"/>
        <v>0</v>
      </c>
      <c r="P68" s="203">
        <f t="shared" si="0"/>
        <v>0</v>
      </c>
      <c r="Q68" s="203">
        <f t="shared" si="0"/>
        <v>0</v>
      </c>
      <c r="R68" s="167"/>
    </row>
    <row r="69" spans="1:18" ht="13.5" thickBot="1" x14ac:dyDescent="0.25">
      <c r="A69" s="175"/>
      <c r="B69" s="184"/>
      <c r="C69" s="184"/>
      <c r="D69" s="184"/>
      <c r="E69" s="184"/>
      <c r="F69" s="184"/>
      <c r="G69" s="185"/>
      <c r="H69" s="184"/>
      <c r="I69" s="184"/>
      <c r="J69" s="184"/>
      <c r="K69" s="184"/>
      <c r="L69" s="184"/>
      <c r="M69" s="184"/>
      <c r="N69" s="184"/>
      <c r="O69" s="184"/>
      <c r="P69" s="184"/>
      <c r="Q69" s="185"/>
      <c r="R69" s="167"/>
    </row>
    <row r="70" spans="1:18" ht="13.5" thickBot="1" x14ac:dyDescent="0.25">
      <c r="A70" s="114" t="s">
        <v>48</v>
      </c>
      <c r="B70" s="115"/>
      <c r="C70" s="162">
        <v>1</v>
      </c>
      <c r="D70" s="162">
        <v>2</v>
      </c>
      <c r="E70" s="162">
        <v>3</v>
      </c>
      <c r="F70" s="162">
        <v>4</v>
      </c>
      <c r="G70" s="162">
        <v>5</v>
      </c>
      <c r="H70" s="116">
        <v>6</v>
      </c>
      <c r="I70" s="162">
        <v>7</v>
      </c>
      <c r="J70" s="162">
        <v>8</v>
      </c>
      <c r="K70" s="162">
        <v>9</v>
      </c>
      <c r="L70" s="162">
        <v>10</v>
      </c>
      <c r="M70" s="162">
        <v>11</v>
      </c>
      <c r="N70" s="162">
        <v>12</v>
      </c>
      <c r="O70" s="162">
        <v>13</v>
      </c>
      <c r="P70" s="162">
        <v>14</v>
      </c>
      <c r="Q70" s="162">
        <v>15</v>
      </c>
      <c r="R70" s="167"/>
    </row>
    <row r="71" spans="1:18" x14ac:dyDescent="0.2">
      <c r="A71" s="94" t="s">
        <v>47</v>
      </c>
      <c r="B71" s="198"/>
      <c r="C71" s="199">
        <f>+F30</f>
        <v>49989.792000000001</v>
      </c>
      <c r="D71" s="199">
        <f>IF(D64&lt;=Inicio!$E$49,(+C71*$B$86)+C71,0)</f>
        <v>51239.536800000002</v>
      </c>
      <c r="E71" s="199">
        <f>IF(E64&lt;=Inicio!$E$49,(+D71*$C$86)+D71,0)</f>
        <v>52520.525220000003</v>
      </c>
      <c r="F71" s="199">
        <f>IF(F64&lt;=Inicio!$E$49,(+E71*$D$86)+E71,0)</f>
        <v>53833.538350500006</v>
      </c>
      <c r="G71" s="199">
        <f>IF(G64&lt;=Inicio!$E$49,(+F71*$E$86)+F71,0)</f>
        <v>55179.376809262503</v>
      </c>
      <c r="H71" s="200">
        <f>IF(H64&lt;=Inicio!$E$49,(+G71*$E$86)+G71,0)</f>
        <v>0</v>
      </c>
      <c r="I71" s="200">
        <f>IF(I64&lt;=Inicio!$E$49,(+H71*$E$86)+H71,0)</f>
        <v>0</v>
      </c>
      <c r="J71" s="200">
        <f>IF(J64&lt;=Inicio!$E$49,(+I71*$E$86)+I71,0)</f>
        <v>0</v>
      </c>
      <c r="K71" s="200">
        <f>IF(K64&lt;=Inicio!$E$49,(+J71*$E$86)+J71,0)</f>
        <v>0</v>
      </c>
      <c r="L71" s="200">
        <f>IF(L64&lt;=Inicio!$E$49,(+K71*$E$86)+K71,0)</f>
        <v>0</v>
      </c>
      <c r="M71" s="200">
        <f>IF(M64&lt;=Inicio!$E$49,(+L71*$E$86)+L71,0)</f>
        <v>0</v>
      </c>
      <c r="N71" s="200">
        <f>IF(N64&lt;=Inicio!$E$49,(+M71*$E$86)+M71,0)</f>
        <v>0</v>
      </c>
      <c r="O71" s="200">
        <f>IF(O64&lt;=Inicio!$E$49,(+N71*$E$86)+N71,0)</f>
        <v>0</v>
      </c>
      <c r="P71" s="200">
        <f>IF(P64&lt;=Inicio!$E$49,(+O71*$E$86)+O71,0)</f>
        <v>0</v>
      </c>
      <c r="Q71" s="200">
        <f>IF(Q64&lt;=Inicio!$E$49,(+P71*$E$86)+P71,0)</f>
        <v>0</v>
      </c>
      <c r="R71" s="167"/>
    </row>
    <row r="72" spans="1:18" x14ac:dyDescent="0.2">
      <c r="A72" s="94" t="s">
        <v>49</v>
      </c>
      <c r="B72" s="198"/>
      <c r="C72" s="199">
        <f>+F35+F36+F37+F38</f>
        <v>10880.21732256</v>
      </c>
      <c r="D72" s="199">
        <f>IF(D64&lt;=Inicio!$E$49,(+C72*$B$86)+C72,0)</f>
        <v>11152.222755624</v>
      </c>
      <c r="E72" s="199">
        <f>IF(E64&lt;=Inicio!$E$49,(+D72*$C$86)+D72,0)</f>
        <v>11431.0283245146</v>
      </c>
      <c r="F72" s="199">
        <f>IF(F64&lt;=Inicio!$E$49,(+E72*$D$86)+E72,0)</f>
        <v>11716.804032627466</v>
      </c>
      <c r="G72" s="199">
        <f>IF(G64&lt;=Inicio!$E$49,(+F72*$E$86)+F72,0)</f>
        <v>12009.724133443153</v>
      </c>
      <c r="H72" s="200">
        <f>IF(H64&lt;=Inicio!$E$49,(+G72*$E$86)+G72,0)</f>
        <v>0</v>
      </c>
      <c r="I72" s="200">
        <f>IF(I64&lt;=Inicio!$E$49,(+H72*$E$86)+H72,0)</f>
        <v>0</v>
      </c>
      <c r="J72" s="200">
        <f>IF(J64&lt;=Inicio!$E$49,(+I72*$E$86)+I72,0)</f>
        <v>0</v>
      </c>
      <c r="K72" s="200">
        <f>IF(K64&lt;=Inicio!$E$49,(+J72*$E$86)+J72,0)</f>
        <v>0</v>
      </c>
      <c r="L72" s="200">
        <f>IF(L64&lt;=Inicio!$E$49,(+K72*$E$86)+K72,0)</f>
        <v>0</v>
      </c>
      <c r="M72" s="200">
        <f>IF(M64&lt;=Inicio!$E$49,(+L72*$E$86)+L72,0)</f>
        <v>0</v>
      </c>
      <c r="N72" s="200">
        <f>IF(N64&lt;=Inicio!$E$49,(+M72*$E$86)+M72,0)</f>
        <v>0</v>
      </c>
      <c r="O72" s="200">
        <f>IF(O64&lt;=Inicio!$E$49,(+N72*$E$86)+N72,0)</f>
        <v>0</v>
      </c>
      <c r="P72" s="200">
        <f>IF(P64&lt;=Inicio!$E$49,(+O72*$E$86)+O72,0)</f>
        <v>0</v>
      </c>
      <c r="Q72" s="200">
        <f>IF(Q64&lt;=Inicio!$E$49,(+P72*$E$86)+P72,0)</f>
        <v>0</v>
      </c>
      <c r="R72" s="167"/>
    </row>
    <row r="73" spans="1:18" ht="13.5" thickBot="1" x14ac:dyDescent="0.25">
      <c r="A73" s="94" t="s">
        <v>89</v>
      </c>
      <c r="B73" s="198"/>
      <c r="C73" s="199">
        <f>+F32+F33</f>
        <v>14714.304739200001</v>
      </c>
      <c r="D73" s="199">
        <f>IF(D64&lt;=Inicio!$E$49,(+C73*$B$86)+C73,0)</f>
        <v>15082.162357680001</v>
      </c>
      <c r="E73" s="199">
        <f>IF(E64&lt;=Inicio!$E$49,(+D73*$C$86)+D73,0)</f>
        <v>15459.216416622001</v>
      </c>
      <c r="F73" s="199">
        <f>IF(F64&lt;=Inicio!$E$49,(+E73*$D$86)+E73,0)</f>
        <v>15845.696827037551</v>
      </c>
      <c r="G73" s="199">
        <f>IF(G64&lt;=Inicio!$E$49,(+F73*$E$86)+F73,0)</f>
        <v>16241.839247713489</v>
      </c>
      <c r="H73" s="200">
        <f>IF(H64&lt;=Inicio!$E$49,(+G73*$E$86)+G73,0)</f>
        <v>0</v>
      </c>
      <c r="I73" s="200">
        <f>IF(I64&lt;=Inicio!$E$49,(+H73*$E$86)+H73,0)</f>
        <v>0</v>
      </c>
      <c r="J73" s="200">
        <f>IF(J64&lt;=Inicio!$E$49,(+I73*$E$86)+I73,0)</f>
        <v>0</v>
      </c>
      <c r="K73" s="200">
        <f>IF(K64&lt;=Inicio!$E$49,(+J73*$E$86)+J73,0)</f>
        <v>0</v>
      </c>
      <c r="L73" s="200">
        <f>IF(L64&lt;=Inicio!$E$49,(+K73*$E$86)+K73,0)</f>
        <v>0</v>
      </c>
      <c r="M73" s="200">
        <f>IF(M64&lt;=Inicio!$E$49,(+L73*$E$86)+L73,0)</f>
        <v>0</v>
      </c>
      <c r="N73" s="200">
        <f>IF(N64&lt;=Inicio!$E$49,(+M73*$E$86)+M73,0)</f>
        <v>0</v>
      </c>
      <c r="O73" s="200">
        <f>IF(O64&lt;=Inicio!$E$49,(+N73*$E$86)+N73,0)</f>
        <v>0</v>
      </c>
      <c r="P73" s="200">
        <f>IF(P64&lt;=Inicio!$E$49,(+O73*$E$86)+O73,0)</f>
        <v>0</v>
      </c>
      <c r="Q73" s="200">
        <f>IF(Q64&lt;=Inicio!$E$49,(+P73*$E$86)+P73,0)</f>
        <v>0</v>
      </c>
      <c r="R73" s="167"/>
    </row>
    <row r="74" spans="1:18" ht="13.5" thickBot="1" x14ac:dyDescent="0.25">
      <c r="A74" s="201" t="s">
        <v>52</v>
      </c>
      <c r="B74" s="202"/>
      <c r="C74" s="203">
        <f>SUM(C71:C73)</f>
        <v>75584.31406176</v>
      </c>
      <c r="D74" s="203">
        <f>SUM(D71:D73)</f>
        <v>77473.921913304002</v>
      </c>
      <c r="E74" s="203">
        <f>SUM(E71:E73)</f>
        <v>79410.769961136597</v>
      </c>
      <c r="F74" s="203">
        <f>SUM(F71:F73)</f>
        <v>81396.039210165021</v>
      </c>
      <c r="G74" s="203">
        <f>SUM(G71:G73)</f>
        <v>83430.940190419147</v>
      </c>
      <c r="H74" s="204">
        <f t="shared" ref="H74:Q74" si="1">SUM(H71:H73)</f>
        <v>0</v>
      </c>
      <c r="I74" s="203">
        <f t="shared" si="1"/>
        <v>0</v>
      </c>
      <c r="J74" s="203">
        <f t="shared" si="1"/>
        <v>0</v>
      </c>
      <c r="K74" s="203">
        <f t="shared" si="1"/>
        <v>0</v>
      </c>
      <c r="L74" s="203">
        <f t="shared" si="1"/>
        <v>0</v>
      </c>
      <c r="M74" s="203">
        <f t="shared" si="1"/>
        <v>0</v>
      </c>
      <c r="N74" s="203">
        <f t="shared" si="1"/>
        <v>0</v>
      </c>
      <c r="O74" s="203">
        <f t="shared" si="1"/>
        <v>0</v>
      </c>
      <c r="P74" s="203">
        <f t="shared" si="1"/>
        <v>0</v>
      </c>
      <c r="Q74" s="203">
        <f t="shared" si="1"/>
        <v>0</v>
      </c>
      <c r="R74" s="167"/>
    </row>
    <row r="75" spans="1:18" x14ac:dyDescent="0.2">
      <c r="A75" s="175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5"/>
      <c r="R75" s="167"/>
    </row>
    <row r="76" spans="1:18" ht="13.5" thickBot="1" x14ac:dyDescent="0.25">
      <c r="A76" s="175"/>
      <c r="B76" s="184"/>
      <c r="C76" s="184"/>
      <c r="D76" s="184"/>
      <c r="E76" s="184"/>
      <c r="F76" s="184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5"/>
      <c r="R76" s="167"/>
    </row>
    <row r="77" spans="1:18" ht="13.5" thickBot="1" x14ac:dyDescent="0.25">
      <c r="A77" s="114" t="s">
        <v>360</v>
      </c>
      <c r="B77" s="205"/>
      <c r="C77" s="162">
        <v>1</v>
      </c>
      <c r="D77" s="162">
        <v>2</v>
      </c>
      <c r="E77" s="162">
        <v>3</v>
      </c>
      <c r="F77" s="162">
        <v>4</v>
      </c>
      <c r="G77" s="162">
        <v>5</v>
      </c>
      <c r="H77" s="162">
        <v>6</v>
      </c>
      <c r="I77" s="162">
        <v>7</v>
      </c>
      <c r="J77" s="162">
        <v>8</v>
      </c>
      <c r="K77" s="162">
        <v>9</v>
      </c>
      <c r="L77" s="162">
        <v>10</v>
      </c>
      <c r="M77" s="162">
        <v>11</v>
      </c>
      <c r="N77" s="162">
        <v>12</v>
      </c>
      <c r="O77" s="162">
        <v>13</v>
      </c>
      <c r="P77" s="162">
        <v>14</v>
      </c>
      <c r="Q77" s="162">
        <v>15</v>
      </c>
      <c r="R77" s="167"/>
    </row>
    <row r="78" spans="1:18" x14ac:dyDescent="0.2">
      <c r="A78" s="94" t="s">
        <v>47</v>
      </c>
      <c r="B78" s="198"/>
      <c r="C78" s="199">
        <f>+F47</f>
        <v>254671.51199999999</v>
      </c>
      <c r="D78" s="199">
        <f>IF(D64&lt;=Inicio!$E$49,(+C78*$B$86)+C78,0)</f>
        <v>261038.29979999998</v>
      </c>
      <c r="E78" s="199">
        <f>IF(E64&lt;=Inicio!$E$49,(+D78*$C$86)+D78,0)</f>
        <v>267564.25729499996</v>
      </c>
      <c r="F78" s="199">
        <f>IF(F64&lt;=Inicio!$E$49,(+E78*$D$86)+E78,0)</f>
        <v>274253.36372737493</v>
      </c>
      <c r="G78" s="199">
        <f>IF(G64&lt;=Inicio!$E$49,(+F78*$E$86)+F78,0)</f>
        <v>281109.69782055932</v>
      </c>
      <c r="H78" s="199">
        <f>IF(H64&lt;=Inicio!$E$49,(+G78*$E$86)+G78,0)</f>
        <v>0</v>
      </c>
      <c r="I78" s="199">
        <f>IF(I64&lt;=Inicio!$E$49,(+H78*$E$86)+H78,0)</f>
        <v>0</v>
      </c>
      <c r="J78" s="199">
        <f>IF(J64&lt;=Inicio!$E$49,(+I78*$E$86)+I78,0)</f>
        <v>0</v>
      </c>
      <c r="K78" s="199">
        <f>IF(K64&lt;=Inicio!$E$49,(+J78*$E$86)+J78,0)</f>
        <v>0</v>
      </c>
      <c r="L78" s="199">
        <f>IF(L64&lt;=Inicio!$E$49,(+K78*$E$86)+K78,0)</f>
        <v>0</v>
      </c>
      <c r="M78" s="199">
        <f>IF(M64&lt;=Inicio!$E$49,(+L78*$E$86)+L78,0)</f>
        <v>0</v>
      </c>
      <c r="N78" s="199">
        <f>IF(N64&lt;=Inicio!$E$49,(+M78*$E$86)+M78,0)</f>
        <v>0</v>
      </c>
      <c r="O78" s="199">
        <f>IF(O64&lt;=Inicio!$E$49,(+N78*$E$86)+N78,0)</f>
        <v>0</v>
      </c>
      <c r="P78" s="199">
        <f>IF(P64&lt;=Inicio!$E$49,(+O78*$E$86)+O78,0)</f>
        <v>0</v>
      </c>
      <c r="Q78" s="199">
        <f>IF(Q64&lt;=Inicio!$E$49,(+P78*$E$86)+P78,0)</f>
        <v>0</v>
      </c>
      <c r="R78" s="167"/>
    </row>
    <row r="79" spans="1:18" x14ac:dyDescent="0.2">
      <c r="A79" s="94" t="s">
        <v>49</v>
      </c>
      <c r="B79" s="198"/>
      <c r="C79" s="199">
        <f>+F52+F53+F54+F55</f>
        <v>55705.356999360003</v>
      </c>
      <c r="D79" s="199">
        <f>IF(D64&lt;=Inicio!$E$49,(+C79*$B$86)+C79,0)</f>
        <v>57097.990924344005</v>
      </c>
      <c r="E79" s="199">
        <f>IF(E64&lt;=Inicio!$E$49,(+D79*$C$86)+D79,0)</f>
        <v>58525.440697452606</v>
      </c>
      <c r="F79" s="199">
        <f>IF(F64&lt;=Inicio!$E$49,(+E79*$D$86)+E79,0)</f>
        <v>59988.576714888921</v>
      </c>
      <c r="G79" s="199">
        <f>IF(G64&lt;=Inicio!$E$49,(+F79*$E$86)+F79,0)</f>
        <v>61488.291132761144</v>
      </c>
      <c r="H79" s="199">
        <f>IF(H64&lt;=Inicio!$E$49,(+G79*$E$86)+G79,0)</f>
        <v>0</v>
      </c>
      <c r="I79" s="199">
        <f>IF(I64&lt;=Inicio!$E$49,(+H79*$E$86)+H79,0)</f>
        <v>0</v>
      </c>
      <c r="J79" s="199">
        <f>IF(J64&lt;=Inicio!$E$49,(+I79*$E$86)+I79,0)</f>
        <v>0</v>
      </c>
      <c r="K79" s="199">
        <f>IF(K64&lt;=Inicio!$E$49,(+J79*$E$86)+J79,0)</f>
        <v>0</v>
      </c>
      <c r="L79" s="199">
        <f>IF(L64&lt;=Inicio!$E$49,(+K79*$E$86)+K79,0)</f>
        <v>0</v>
      </c>
      <c r="M79" s="199">
        <f>IF(M64&lt;=Inicio!$E$49,(+L79*$E$86)+L79,0)</f>
        <v>0</v>
      </c>
      <c r="N79" s="199">
        <f>IF(N64&lt;=Inicio!$E$49,(+M79*$E$86)+M79,0)</f>
        <v>0</v>
      </c>
      <c r="O79" s="199">
        <f>IF(O64&lt;=Inicio!$E$49,(+N79*$E$86)+N79,0)</f>
        <v>0</v>
      </c>
      <c r="P79" s="199">
        <f>IF(P64&lt;=Inicio!$E$49,(+O79*$E$86)+O79,0)</f>
        <v>0</v>
      </c>
      <c r="Q79" s="199">
        <f>IF(Q64&lt;=Inicio!$E$49,(+P79*$E$86)+P79,0)</f>
        <v>0</v>
      </c>
      <c r="R79" s="167"/>
    </row>
    <row r="80" spans="1:18" ht="13.5" thickBot="1" x14ac:dyDescent="0.25">
      <c r="A80" s="94" t="s">
        <v>89</v>
      </c>
      <c r="B80" s="198"/>
      <c r="C80" s="199">
        <f>+F49+F50</f>
        <v>77017.781174400006</v>
      </c>
      <c r="D80" s="199">
        <f>IF(D64&lt;=Inicio!$E$49,(+C80*$B$86)+C80,0)</f>
        <v>78943.225703760007</v>
      </c>
      <c r="E80" s="199">
        <f>IF(E64&lt;=Inicio!$E$49,(+D80*$C$86)+D80,0)</f>
        <v>80916.806346354002</v>
      </c>
      <c r="F80" s="199">
        <f>IF(F64&lt;=Inicio!$E$49,(+E80*$D$86)+E80,0)</f>
        <v>82939.726505012848</v>
      </c>
      <c r="G80" s="199">
        <f>IF(G64&lt;=Inicio!$E$49,(+F80*$E$86)+F80,0)</f>
        <v>85013.219667638172</v>
      </c>
      <c r="H80" s="199">
        <f>IF(H64&lt;=Inicio!$E$49,(+G80*$E$86)+G80,0)</f>
        <v>0</v>
      </c>
      <c r="I80" s="199">
        <f>IF(I64&lt;=Inicio!$E$49,(+H80*$E$86)+H80,0)</f>
        <v>0</v>
      </c>
      <c r="J80" s="199">
        <f>IF(J64&lt;=Inicio!$E$49,(+I80*$E$86)+I80,0)</f>
        <v>0</v>
      </c>
      <c r="K80" s="199">
        <f>IF(K64&lt;=Inicio!$E$49,(+J80*$E$86)+J80,0)</f>
        <v>0</v>
      </c>
      <c r="L80" s="199">
        <f>IF(L64&lt;=Inicio!$E$49,(+K80*$E$86)+K80,0)</f>
        <v>0</v>
      </c>
      <c r="M80" s="199">
        <f>IF(M64&lt;=Inicio!$E$49,(+L80*$E$86)+L80,0)</f>
        <v>0</v>
      </c>
      <c r="N80" s="199">
        <f>IF(N64&lt;=Inicio!$E$49,(+M80*$E$86)+M80,0)</f>
        <v>0</v>
      </c>
      <c r="O80" s="199">
        <f>IF(O64&lt;=Inicio!$E$49,(+N80*$E$86)+N80,0)</f>
        <v>0</v>
      </c>
      <c r="P80" s="199">
        <f>IF(P64&lt;=Inicio!$E$49,(+O80*$E$86)+O80,0)</f>
        <v>0</v>
      </c>
      <c r="Q80" s="199">
        <f>IF(Q64&lt;=Inicio!$E$49,(+P80*$E$86)+P80,0)</f>
        <v>0</v>
      </c>
      <c r="R80" s="167"/>
    </row>
    <row r="81" spans="1:18" ht="13.5" thickBot="1" x14ac:dyDescent="0.25">
      <c r="A81" s="201" t="s">
        <v>52</v>
      </c>
      <c r="B81" s="206"/>
      <c r="C81" s="203">
        <f>SUM(C78:C80)</f>
        <v>387394.65017376002</v>
      </c>
      <c r="D81" s="203">
        <f t="shared" ref="D81:Q81" si="2">SUM(D78:D80)</f>
        <v>397079.51642810396</v>
      </c>
      <c r="E81" s="203">
        <f t="shared" si="2"/>
        <v>407006.50433880655</v>
      </c>
      <c r="F81" s="203">
        <f t="shared" si="2"/>
        <v>417181.66694727668</v>
      </c>
      <c r="G81" s="203">
        <f t="shared" si="2"/>
        <v>427611.20862095867</v>
      </c>
      <c r="H81" s="203">
        <f t="shared" si="2"/>
        <v>0</v>
      </c>
      <c r="I81" s="203">
        <f t="shared" si="2"/>
        <v>0</v>
      </c>
      <c r="J81" s="203">
        <f t="shared" si="2"/>
        <v>0</v>
      </c>
      <c r="K81" s="203">
        <f t="shared" si="2"/>
        <v>0</v>
      </c>
      <c r="L81" s="203">
        <f t="shared" si="2"/>
        <v>0</v>
      </c>
      <c r="M81" s="203">
        <f t="shared" si="2"/>
        <v>0</v>
      </c>
      <c r="N81" s="203">
        <f t="shared" si="2"/>
        <v>0</v>
      </c>
      <c r="O81" s="203">
        <f t="shared" si="2"/>
        <v>0</v>
      </c>
      <c r="P81" s="203">
        <f t="shared" si="2"/>
        <v>0</v>
      </c>
      <c r="Q81" s="203">
        <f t="shared" si="2"/>
        <v>0</v>
      </c>
      <c r="R81" s="167"/>
    </row>
    <row r="82" spans="1:18" ht="13.5" thickBot="1" x14ac:dyDescent="0.25">
      <c r="A82" s="175"/>
      <c r="B82" s="184"/>
      <c r="C82" s="177"/>
      <c r="D82" s="177"/>
      <c r="E82" s="177"/>
      <c r="F82" s="177"/>
      <c r="G82" s="177"/>
      <c r="H82" s="184"/>
      <c r="I82" s="184"/>
      <c r="J82" s="184"/>
      <c r="K82" s="184"/>
      <c r="L82" s="184"/>
      <c r="M82" s="184"/>
      <c r="N82" s="184"/>
      <c r="O82" s="184"/>
      <c r="P82" s="184"/>
      <c r="Q82" s="185"/>
      <c r="R82" s="167"/>
    </row>
    <row r="83" spans="1:18" ht="13.5" thickBot="1" x14ac:dyDescent="0.25">
      <c r="A83" s="114" t="s">
        <v>50</v>
      </c>
      <c r="B83" s="164"/>
      <c r="C83" s="162">
        <v>1</v>
      </c>
      <c r="D83" s="162">
        <v>2</v>
      </c>
      <c r="E83" s="162">
        <v>3</v>
      </c>
      <c r="F83" s="162">
        <v>4</v>
      </c>
      <c r="G83" s="162">
        <v>5</v>
      </c>
      <c r="H83" s="162">
        <v>6</v>
      </c>
      <c r="I83" s="162">
        <v>7</v>
      </c>
      <c r="J83" s="162">
        <v>8</v>
      </c>
      <c r="K83" s="162">
        <v>9</v>
      </c>
      <c r="L83" s="162">
        <v>10</v>
      </c>
      <c r="M83" s="162">
        <v>11</v>
      </c>
      <c r="N83" s="162">
        <v>12</v>
      </c>
      <c r="O83" s="162">
        <v>13</v>
      </c>
      <c r="P83" s="162">
        <v>14</v>
      </c>
      <c r="Q83" s="162">
        <v>15</v>
      </c>
      <c r="R83" s="167"/>
    </row>
    <row r="84" spans="1:18" ht="13.5" thickBot="1" x14ac:dyDescent="0.25">
      <c r="A84" s="99"/>
      <c r="B84" s="202"/>
      <c r="C84" s="203">
        <f>+C68+C74+C81</f>
        <v>698969.68355904007</v>
      </c>
      <c r="D84" s="203">
        <f t="shared" ref="D84:Q84" si="3">+D68+D74+D81</f>
        <v>716443.92564801592</v>
      </c>
      <c r="E84" s="203">
        <f t="shared" si="3"/>
        <v>734355.0237892163</v>
      </c>
      <c r="F84" s="203">
        <f t="shared" si="3"/>
        <v>752713.89938394679</v>
      </c>
      <c r="G84" s="203">
        <f t="shared" si="3"/>
        <v>771531.74686854542</v>
      </c>
      <c r="H84" s="203">
        <f t="shared" si="3"/>
        <v>0</v>
      </c>
      <c r="I84" s="203">
        <f t="shared" si="3"/>
        <v>0</v>
      </c>
      <c r="J84" s="203">
        <f t="shared" si="3"/>
        <v>0</v>
      </c>
      <c r="K84" s="203">
        <f t="shared" si="3"/>
        <v>0</v>
      </c>
      <c r="L84" s="203">
        <f t="shared" si="3"/>
        <v>0</v>
      </c>
      <c r="M84" s="203">
        <f t="shared" si="3"/>
        <v>0</v>
      </c>
      <c r="N84" s="203">
        <f t="shared" si="3"/>
        <v>0</v>
      </c>
      <c r="O84" s="203">
        <f t="shared" si="3"/>
        <v>0</v>
      </c>
      <c r="P84" s="203">
        <f t="shared" si="3"/>
        <v>0</v>
      </c>
      <c r="Q84" s="203">
        <f t="shared" si="3"/>
        <v>0</v>
      </c>
      <c r="R84" s="167"/>
    </row>
    <row r="85" spans="1:18" x14ac:dyDescent="0.2">
      <c r="A85" s="184"/>
      <c r="B85" s="184"/>
      <c r="C85" s="184"/>
      <c r="D85" s="184"/>
      <c r="E85" s="184"/>
      <c r="F85" s="184"/>
      <c r="G85" s="184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</row>
    <row r="86" spans="1:18" x14ac:dyDescent="0.2">
      <c r="A86" s="207" t="s">
        <v>90</v>
      </c>
      <c r="B86" s="208">
        <f>IF(Inicio!$E$51="AÑOS",Inicio!D106,0)</f>
        <v>2.5000000000000001E-2</v>
      </c>
      <c r="C86" s="208">
        <f>IF(Inicio!$E$51="AÑOS",Inicio!D107,0)</f>
        <v>2.5000000000000001E-2</v>
      </c>
      <c r="D86" s="208">
        <f>IF(Inicio!$E$51="AÑOS",Inicio!D108,0)</f>
        <v>2.5000000000000001E-2</v>
      </c>
      <c r="E86" s="208">
        <f>IF(Inicio!$E$51="AÑOS",Inicio!D109,0)</f>
        <v>2.5000000000000001E-2</v>
      </c>
      <c r="F86" s="153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</row>
    <row r="87" spans="1:18" x14ac:dyDescent="0.2">
      <c r="A87" s="167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</row>
    <row r="88" spans="1:18" ht="13.5" thickBot="1" x14ac:dyDescent="0.25">
      <c r="A88" s="209" t="s">
        <v>272</v>
      </c>
      <c r="B88" s="167"/>
      <c r="C88" s="210" t="s">
        <v>1</v>
      </c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</row>
    <row r="89" spans="1:18" ht="13.5" thickBot="1" x14ac:dyDescent="0.25">
      <c r="A89" s="211" t="s">
        <v>273</v>
      </c>
      <c r="B89" s="212"/>
      <c r="C89" s="213">
        <v>1</v>
      </c>
      <c r="D89" s="162">
        <v>2</v>
      </c>
      <c r="E89" s="162">
        <v>3</v>
      </c>
      <c r="F89" s="162">
        <v>4</v>
      </c>
      <c r="G89" s="162">
        <v>5</v>
      </c>
      <c r="H89" s="162">
        <v>6</v>
      </c>
      <c r="I89" s="162">
        <v>7</v>
      </c>
      <c r="J89" s="162">
        <v>8</v>
      </c>
      <c r="K89" s="162">
        <v>9</v>
      </c>
      <c r="L89" s="162">
        <v>10</v>
      </c>
      <c r="M89" s="162">
        <v>11</v>
      </c>
      <c r="N89" s="162">
        <v>12</v>
      </c>
      <c r="O89" s="162">
        <v>13</v>
      </c>
      <c r="P89" s="162">
        <v>14</v>
      </c>
      <c r="Q89" s="162">
        <v>15</v>
      </c>
      <c r="R89" s="167"/>
    </row>
    <row r="90" spans="1:18" x14ac:dyDescent="0.2">
      <c r="A90" s="214">
        <f>+Inicio!D260</f>
        <v>1.02</v>
      </c>
      <c r="B90" s="215"/>
      <c r="C90" s="216">
        <f>+C81*$A$90</f>
        <v>395142.54317723523</v>
      </c>
      <c r="D90" s="217">
        <f t="shared" ref="D90:Q90" si="4">+D81*$A$90</f>
        <v>405021.10675666603</v>
      </c>
      <c r="E90" s="217">
        <f t="shared" si="4"/>
        <v>415146.63442558271</v>
      </c>
      <c r="F90" s="217">
        <f t="shared" si="4"/>
        <v>425525.30028622225</v>
      </c>
      <c r="G90" s="217">
        <f t="shared" si="4"/>
        <v>436163.43279337784</v>
      </c>
      <c r="H90" s="217">
        <f t="shared" si="4"/>
        <v>0</v>
      </c>
      <c r="I90" s="217">
        <f t="shared" si="4"/>
        <v>0</v>
      </c>
      <c r="J90" s="217">
        <f t="shared" si="4"/>
        <v>0</v>
      </c>
      <c r="K90" s="217">
        <f t="shared" si="4"/>
        <v>0</v>
      </c>
      <c r="L90" s="217">
        <f t="shared" si="4"/>
        <v>0</v>
      </c>
      <c r="M90" s="217">
        <f t="shared" si="4"/>
        <v>0</v>
      </c>
      <c r="N90" s="217">
        <f t="shared" si="4"/>
        <v>0</v>
      </c>
      <c r="O90" s="217">
        <f t="shared" si="4"/>
        <v>0</v>
      </c>
      <c r="P90" s="217">
        <f t="shared" si="4"/>
        <v>0</v>
      </c>
      <c r="Q90" s="217">
        <f t="shared" si="4"/>
        <v>0</v>
      </c>
      <c r="R90" s="167"/>
    </row>
    <row r="91" spans="1:18" x14ac:dyDescent="0.2">
      <c r="A91" s="167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</row>
    <row r="92" spans="1:18" x14ac:dyDescent="0.2">
      <c r="A92" s="167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</row>
    <row r="93" spans="1:18" x14ac:dyDescent="0.2">
      <c r="A93" s="167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</row>
    <row r="94" spans="1:18" x14ac:dyDescent="0.2">
      <c r="A94" s="167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</row>
    <row r="95" spans="1:18" x14ac:dyDescent="0.2">
      <c r="A95" s="167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</row>
    <row r="96" spans="1:18" x14ac:dyDescent="0.2">
      <c r="A96" s="167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</row>
    <row r="97" spans="1:18" x14ac:dyDescent="0.2">
      <c r="A97" s="167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</row>
    <row r="98" spans="1:18" x14ac:dyDescent="0.2">
      <c r="A98" s="167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</row>
    <row r="99" spans="1:18" x14ac:dyDescent="0.2">
      <c r="A99" s="167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</row>
    <row r="100" spans="1:18" x14ac:dyDescent="0.2">
      <c r="A100" s="167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</row>
  </sheetData>
  <sheetProtection password="F88E" sheet="1" formatColumns="0"/>
  <customSheetViews>
    <customSheetView guid="{4BF10618-D357-11D5-9338-EFF21189730A}" showGridLines="0" showRuler="0" topLeftCell="A64">
      <selection activeCell="A4" sqref="A4"/>
      <rowBreaks count="1" manualBreakCount="1">
        <brk id="58" max="16" man="1"/>
      </rowBreaks>
      <pageMargins left="0.78740157480314965" right="0.78740157480314965" top="0.43307086614173229" bottom="0.39370078740157483" header="0" footer="0"/>
      <printOptions horizontalCentered="1"/>
      <pageSetup scale="55" orientation="landscape" horizontalDpi="300" verticalDpi="300" r:id="rId1"/>
      <headerFooter alignWithMargins="0"/>
    </customSheetView>
  </customSheetViews>
  <mergeCells count="8">
    <mergeCell ref="A63:G63"/>
    <mergeCell ref="A61:G61"/>
    <mergeCell ref="A62:G62"/>
    <mergeCell ref="A3:F3"/>
    <mergeCell ref="A2:F2"/>
    <mergeCell ref="A4:F4"/>
    <mergeCell ref="A60:G60"/>
    <mergeCell ref="A5:F5"/>
  </mergeCells>
  <phoneticPr fontId="11" type="noConversion"/>
  <printOptions horizontalCentered="1"/>
  <pageMargins left="0.78740157480314965" right="0.78740157480314965" top="0.43307086614173229" bottom="0.39370078740157483" header="0" footer="0"/>
  <pageSetup scale="55" orientation="landscape" horizontalDpi="300" verticalDpi="300" r:id="rId2"/>
  <headerFooter alignWithMargins="0"/>
  <rowBreaks count="1" manualBreakCount="1">
    <brk id="59" max="16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5" name="Button 3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1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autoPageBreaks="0"/>
  </sheetPr>
  <dimension ref="A1:T164"/>
  <sheetViews>
    <sheetView showGridLines="0" topLeftCell="A4" workbookViewId="0">
      <selection activeCell="B8" sqref="B8"/>
    </sheetView>
  </sheetViews>
  <sheetFormatPr baseColWidth="10" defaultRowHeight="12.75" x14ac:dyDescent="0.2"/>
  <cols>
    <col min="1" max="1" width="28" style="1" bestFit="1" customWidth="1"/>
    <col min="2" max="2" width="15.140625" style="1" bestFit="1" customWidth="1"/>
    <col min="3" max="3" width="13.85546875" style="1" bestFit="1" customWidth="1"/>
    <col min="4" max="18" width="11.42578125" style="1"/>
    <col min="19" max="19" width="13.7109375" style="1" customWidth="1"/>
    <col min="20" max="16384" width="11.42578125" style="1"/>
  </cols>
  <sheetData>
    <row r="1" spans="1:20" ht="18" x14ac:dyDescent="0.25">
      <c r="A1" s="662" t="str">
        <f>'presupuesto compras y ventas'!A1:F1</f>
        <v>PREFACTIBILIDAD PARA LA CREACIÓN DE UN PRODUCTO; PARA LA FABRICACION DE BLOQUE CON COMPONENTE DE MATERIAL PET</v>
      </c>
      <c r="B1" s="662"/>
      <c r="C1" s="662"/>
      <c r="D1" s="662"/>
      <c r="E1" s="662"/>
      <c r="F1" s="662"/>
      <c r="G1" s="662"/>
      <c r="H1" s="662"/>
      <c r="I1" s="219"/>
      <c r="J1" s="219"/>
      <c r="K1" s="219"/>
      <c r="L1" s="219"/>
      <c r="M1" s="219"/>
      <c r="N1" s="219"/>
      <c r="O1" s="219"/>
      <c r="P1" s="219"/>
      <c r="Q1" s="219"/>
      <c r="R1" s="219"/>
    </row>
    <row r="2" spans="1:20" ht="15.75" x14ac:dyDescent="0.25">
      <c r="A2" s="663" t="s">
        <v>361</v>
      </c>
      <c r="B2" s="663"/>
      <c r="C2" s="663"/>
      <c r="D2" s="663"/>
      <c r="E2" s="663"/>
      <c r="F2" s="663"/>
      <c r="G2" s="663"/>
      <c r="H2" s="663"/>
      <c r="I2" s="220"/>
      <c r="J2" s="220"/>
      <c r="K2" s="220"/>
      <c r="L2" s="220"/>
      <c r="M2" s="220"/>
      <c r="N2" s="220"/>
      <c r="O2" s="220"/>
      <c r="P2" s="220"/>
      <c r="Q2" s="220"/>
      <c r="R2" s="220"/>
    </row>
    <row r="3" spans="1:20" ht="15.75" x14ac:dyDescent="0.25">
      <c r="A3" s="664" t="str">
        <f>IF(Inicio!$E$51="Años","En Años","En Meses")</f>
        <v>En Años</v>
      </c>
      <c r="B3" s="664"/>
      <c r="C3" s="664"/>
      <c r="D3" s="664"/>
      <c r="E3" s="664"/>
      <c r="F3" s="664"/>
      <c r="G3" s="664"/>
      <c r="H3" s="664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"/>
    </row>
    <row r="4" spans="1:20" ht="16.5" thickBot="1" x14ac:dyDescent="0.3">
      <c r="A4" s="665" t="s">
        <v>276</v>
      </c>
      <c r="B4" s="665"/>
      <c r="C4" s="665"/>
      <c r="D4" s="665"/>
      <c r="E4" s="665"/>
      <c r="F4" s="665"/>
      <c r="G4" s="665"/>
      <c r="H4" s="665"/>
      <c r="I4" s="222"/>
      <c r="J4" s="222"/>
      <c r="K4" s="222"/>
      <c r="L4" s="222"/>
      <c r="M4" s="222"/>
      <c r="N4" s="222"/>
      <c r="O4" s="222"/>
      <c r="P4" s="222"/>
      <c r="Q4" s="222"/>
      <c r="R4" s="222"/>
    </row>
    <row r="5" spans="1:20" ht="13.5" thickBot="1" x14ac:dyDescent="0.25">
      <c r="A5" s="223" t="s">
        <v>29</v>
      </c>
      <c r="B5" s="223" t="s">
        <v>143</v>
      </c>
      <c r="C5" s="224" t="s">
        <v>55</v>
      </c>
      <c r="D5" s="224">
        <v>1</v>
      </c>
      <c r="E5" s="225">
        <v>2</v>
      </c>
      <c r="F5" s="224">
        <v>3</v>
      </c>
      <c r="G5" s="225">
        <v>4</v>
      </c>
      <c r="H5" s="224">
        <v>5</v>
      </c>
      <c r="I5" s="225">
        <v>6</v>
      </c>
      <c r="J5" s="224">
        <v>7</v>
      </c>
      <c r="K5" s="225">
        <v>8</v>
      </c>
      <c r="L5" s="224">
        <v>9</v>
      </c>
      <c r="M5" s="225">
        <v>10</v>
      </c>
      <c r="N5" s="224">
        <v>11</v>
      </c>
      <c r="O5" s="225">
        <v>12</v>
      </c>
      <c r="P5" s="224">
        <v>13</v>
      </c>
      <c r="Q5" s="225">
        <v>14</v>
      </c>
      <c r="R5" s="224">
        <v>15</v>
      </c>
    </row>
    <row r="6" spans="1:20" x14ac:dyDescent="0.2">
      <c r="A6" s="226"/>
      <c r="B6" s="227"/>
      <c r="C6" s="228"/>
      <c r="D6" s="228"/>
      <c r="E6" s="229"/>
      <c r="F6" s="228"/>
      <c r="G6" s="229"/>
      <c r="H6" s="228"/>
      <c r="I6" s="230"/>
      <c r="J6" s="231"/>
      <c r="K6" s="232"/>
      <c r="L6" s="232"/>
      <c r="M6" s="232"/>
      <c r="N6" s="232"/>
      <c r="O6" s="232"/>
      <c r="P6" s="232"/>
      <c r="Q6" s="232"/>
      <c r="R6" s="232"/>
    </row>
    <row r="7" spans="1:20" x14ac:dyDescent="0.2">
      <c r="A7" s="226" t="s">
        <v>57</v>
      </c>
      <c r="B7" s="233"/>
      <c r="C7" s="228"/>
      <c r="D7" s="228"/>
      <c r="E7" s="229"/>
      <c r="F7" s="228"/>
      <c r="G7" s="229"/>
      <c r="H7" s="228"/>
      <c r="I7" s="230"/>
      <c r="J7" s="234"/>
      <c r="K7" s="235"/>
      <c r="L7" s="235"/>
      <c r="M7" s="235"/>
      <c r="N7" s="235"/>
      <c r="O7" s="235"/>
      <c r="P7" s="235"/>
      <c r="Q7" s="235"/>
      <c r="R7" s="235"/>
    </row>
    <row r="8" spans="1:20" x14ac:dyDescent="0.2">
      <c r="A8" s="236">
        <f>Inicio!C146</f>
        <v>0</v>
      </c>
      <c r="B8" s="237">
        <v>0</v>
      </c>
      <c r="C8" s="238">
        <f>Inicio!E146</f>
        <v>0</v>
      </c>
      <c r="D8" s="239">
        <f>IF(D$5&lt;=$B8,(IF(D$5&lt;=Inicio!$E$49,SLN($C8,0,$B8),0)),0)</f>
        <v>0</v>
      </c>
      <c r="E8" s="239">
        <f>IF(E$5&lt;=$B8,(IF(E$5&lt;=Inicio!$E$49,SLN($C8,0,$B8),0)),0)</f>
        <v>0</v>
      </c>
      <c r="F8" s="239">
        <f>IF(F$5&lt;=$B8,(IF(F$5&lt;=Inicio!$E$49,SLN($C8,0,$B8),0)),0)</f>
        <v>0</v>
      </c>
      <c r="G8" s="239">
        <f>IF(G$5&lt;=$B8,(IF(G$5&lt;=Inicio!$E$49,SLN($C8,0,$B8),0)),0)</f>
        <v>0</v>
      </c>
      <c r="H8" s="239">
        <f>IF(H$5&lt;=$B8,(IF(H$5&lt;=Inicio!$E$49,SLN($C8,0,$B8),0)),0)</f>
        <v>0</v>
      </c>
      <c r="I8" s="239">
        <f>IF(I$5&lt;=$B8,(IF(I$5&lt;=Inicio!$E$49,SLN($C8,0,$B8),0)),0)</f>
        <v>0</v>
      </c>
      <c r="J8" s="239">
        <f>IF(J$5&lt;=$B8,(IF(J$5&lt;=Inicio!$E$49,SLN($C8,0,$B8),0)),0)</f>
        <v>0</v>
      </c>
      <c r="K8" s="239">
        <f>IF(K$5&lt;=$B8,(IF(K$5&lt;=Inicio!$E$49,SLN($C8,0,$B8),0)),0)</f>
        <v>0</v>
      </c>
      <c r="L8" s="239">
        <f>IF(L$5&lt;=$B8,(IF(L$5&lt;=Inicio!$E$49,SLN($C8,0,$B8),0)),0)</f>
        <v>0</v>
      </c>
      <c r="M8" s="239">
        <f>IF(M$5&lt;=$B8,(IF(M$5&lt;=Inicio!$E$49,SLN($C8,0,$B8),0)),0)</f>
        <v>0</v>
      </c>
      <c r="N8" s="239">
        <f>IF(N$5&lt;=$B8,(IF(N$5&lt;=Inicio!$E$49,SLN($C8,0,$B8),0)),0)</f>
        <v>0</v>
      </c>
      <c r="O8" s="239">
        <f>IF(O$5&lt;=$B8,(IF(O$5&lt;=Inicio!$E$49,SLN($C8,0,$B8),0)),0)</f>
        <v>0</v>
      </c>
      <c r="P8" s="239">
        <f>IF(P$5&lt;=$B8,(IF(P$5&lt;=Inicio!$E$49,SLN($C8,0,$B8),0)),0)</f>
        <v>0</v>
      </c>
      <c r="Q8" s="239">
        <f>IF(Q$5&lt;=$B8,(IF(Q$5&lt;=Inicio!$E$49,SLN($C8,0,$B8),0)),0)</f>
        <v>0</v>
      </c>
      <c r="R8" s="239">
        <f>IF(R$5&lt;=$B8,(IF(R$5&lt;=Inicio!$E$49,SLN($C8,0,$B8),0)),0)</f>
        <v>0</v>
      </c>
      <c r="S8"/>
      <c r="T8" s="2"/>
    </row>
    <row r="9" spans="1:20" x14ac:dyDescent="0.2">
      <c r="A9" s="236" t="str">
        <f>Inicio!C147</f>
        <v xml:space="preserve">Muebles y enseres administrativo </v>
      </c>
      <c r="B9" s="176">
        <f>IF(Inicio!$E$51="Años",Inicio!D147,Inicio!D147*12)</f>
        <v>10</v>
      </c>
      <c r="C9" s="238">
        <f>Inicio!E147</f>
        <v>19700</v>
      </c>
      <c r="D9" s="239">
        <f>IF(D$5&lt;=$B9,(IF(D$5&lt;=Inicio!$E$49,SLN($C9,0,$B9),0)),0)</f>
        <v>1970</v>
      </c>
      <c r="E9" s="239">
        <f>IF(E$5&lt;=$B9,(IF(E$5&lt;=Inicio!$E$49,SLN($C9,0,$B9),0)),0)</f>
        <v>1970</v>
      </c>
      <c r="F9" s="239">
        <f>IF(F$5&lt;=$B9,(IF(F$5&lt;=Inicio!$E$49,SLN($C9,0,$B9),0)),0)</f>
        <v>1970</v>
      </c>
      <c r="G9" s="239">
        <f>IF(G$5&lt;=$B9,(IF(G$5&lt;=Inicio!$E$49,SLN($C9,0,$B9),0)),0)</f>
        <v>1970</v>
      </c>
      <c r="H9" s="239">
        <f>IF(H$5&lt;=$B9,(IF(H$5&lt;=Inicio!$E$49,SLN($C9,0,$B9),0)),0)</f>
        <v>1970</v>
      </c>
      <c r="I9" s="239">
        <f>IF(I$5&lt;=$B9,(IF(I$5&lt;=Inicio!$E$49,SLN($C9,0,$B9),0)),0)</f>
        <v>0</v>
      </c>
      <c r="J9" s="239">
        <f>IF(J$5&lt;=$B9,(IF(J$5&lt;=Inicio!$E$49,SLN($C9,0,$B9),0)),0)</f>
        <v>0</v>
      </c>
      <c r="K9" s="239">
        <f>IF(K$5&lt;=$B9,(IF(K$5&lt;=Inicio!$E$49,SLN($C9,0,$B9),0)),0)</f>
        <v>0</v>
      </c>
      <c r="L9" s="239">
        <f>IF(L$5&lt;=$B9,(IF(L$5&lt;=Inicio!$E$49,SLN($C9,0,$B9),0)),0)</f>
        <v>0</v>
      </c>
      <c r="M9" s="239">
        <f>IF(M$5&lt;=$B9,(IF(M$5&lt;=Inicio!$E$49,SLN($C9,0,$B9),0)),0)</f>
        <v>0</v>
      </c>
      <c r="N9" s="239">
        <f>IF(N$5&lt;=$B9,(IF(N$5&lt;=Inicio!$E$49,SLN($C9,0,$B9),0)),0)</f>
        <v>0</v>
      </c>
      <c r="O9" s="239">
        <f>IF(O$5&lt;=$B9,(IF(O$5&lt;=Inicio!$E$49,SLN($C9,0,$B9),0)),0)</f>
        <v>0</v>
      </c>
      <c r="P9" s="239">
        <f>IF(P$5&lt;=$B9,(IF(P$5&lt;=Inicio!$E$49,SLN($C9,0,$B9),0)),0)</f>
        <v>0</v>
      </c>
      <c r="Q9" s="239">
        <f>IF(Q$5&lt;=$B9,(IF(Q$5&lt;=Inicio!$E$49,SLN($C9,0,$B9),0)),0)</f>
        <v>0</v>
      </c>
      <c r="R9" s="239">
        <f>IF(R$5&lt;=$B9,(IF(R$5&lt;=Inicio!$E$49,SLN($C9,0,$B9),0)),0)</f>
        <v>0</v>
      </c>
      <c r="S9"/>
    </row>
    <row r="10" spans="1:20" x14ac:dyDescent="0.2">
      <c r="A10" s="236" t="str">
        <f>Inicio!C148</f>
        <v xml:space="preserve">Equipo de oficina administrativo </v>
      </c>
      <c r="B10" s="176">
        <f>IF(Inicio!$E$51="Años",Inicio!D148,Inicio!D148*12)</f>
        <v>3</v>
      </c>
      <c r="C10" s="238">
        <f>Inicio!E148</f>
        <v>24000</v>
      </c>
      <c r="D10" s="239">
        <f>IF(D$5&lt;=$B10,(IF(D$5&lt;=Inicio!$E$49,SLN($C10,0,$B10),0)),0)</f>
        <v>8000</v>
      </c>
      <c r="E10" s="239">
        <f>IF(E$5&lt;=$B10,(IF(E$5&lt;=Inicio!$E$49,SLN($C10,0,$B10),0)),0)</f>
        <v>8000</v>
      </c>
      <c r="F10" s="239">
        <f>IF(F$5&lt;=$B10,(IF(F$5&lt;=Inicio!$E$49,SLN($C10,0,$B10),0)),0)</f>
        <v>8000</v>
      </c>
      <c r="G10" s="239">
        <f>IF(G$5&lt;=$B10,(IF(G$5&lt;=Inicio!$E$49,SLN($C10,0,$B10),0)),0)</f>
        <v>0</v>
      </c>
      <c r="H10" s="239">
        <f>IF(H$5&lt;=$B10,(IF(H$5&lt;=Inicio!$E$49,SLN($C10,0,$B10),0)),0)</f>
        <v>0</v>
      </c>
      <c r="I10" s="239">
        <f>IF(I$5&lt;=$B10,(IF(I$5&lt;=Inicio!$E$49,SLN($C10,0,$B10),0)),0)</f>
        <v>0</v>
      </c>
      <c r="J10" s="239">
        <f>IF(J$5&lt;=$B10,(IF(J$5&lt;=Inicio!$E$49,SLN($C10,0,$B10),0)),0)</f>
        <v>0</v>
      </c>
      <c r="K10" s="239">
        <f>IF(K$5&lt;=$B10,(IF(K$5&lt;=Inicio!$E$49,SLN($C10,0,$B10),0)),0)</f>
        <v>0</v>
      </c>
      <c r="L10" s="239">
        <f>IF(L$5&lt;=$B10,(IF(L$5&lt;=Inicio!$E$49,SLN($C10,0,$B10),0)),0)</f>
        <v>0</v>
      </c>
      <c r="M10" s="239">
        <f>IF(M$5&lt;=$B10,(IF(M$5&lt;=Inicio!$E$49,SLN($C10,0,$B10),0)),0)</f>
        <v>0</v>
      </c>
      <c r="N10" s="239">
        <f>IF(N$5&lt;=$B10,(IF(N$5&lt;=Inicio!$E$49,SLN($C10,0,$B10),0)),0)</f>
        <v>0</v>
      </c>
      <c r="O10" s="239">
        <f>IF(O$5&lt;=$B10,(IF(O$5&lt;=Inicio!$E$49,SLN($C10,0,$B10),0)),0)</f>
        <v>0</v>
      </c>
      <c r="P10" s="239">
        <f>IF(P$5&lt;=$B10,(IF(P$5&lt;=Inicio!$E$49,SLN($C10,0,$B10),0)),0)</f>
        <v>0</v>
      </c>
      <c r="Q10" s="239">
        <f>IF(Q$5&lt;=$B10,(IF(Q$5&lt;=Inicio!$E$49,SLN($C10,0,$B10),0)),0)</f>
        <v>0</v>
      </c>
      <c r="R10" s="239">
        <f>IF(R$5&lt;=$B10,(IF(R$5&lt;=Inicio!$E$49,SLN($C10,0,$B10),0)),0)</f>
        <v>0</v>
      </c>
      <c r="S10"/>
    </row>
    <row r="11" spans="1:20" x14ac:dyDescent="0.2">
      <c r="A11" s="236" t="str">
        <f>Inicio!C149</f>
        <v>Equipo de  oficina operativo</v>
      </c>
      <c r="B11" s="176">
        <f>IF(Inicio!$E$51="Años",Inicio!D149,Inicio!D149*12)</f>
        <v>10</v>
      </c>
      <c r="C11" s="238">
        <f>Inicio!E149</f>
        <v>1600</v>
      </c>
      <c r="D11" s="239">
        <f>IF(D$5&lt;=$B11,(IF(D$5&lt;=Inicio!$E$49,SLN($C11,0,$B11),0)),0)</f>
        <v>160</v>
      </c>
      <c r="E11" s="239">
        <f>IF(E$5&lt;=$B11,(IF(E$5&lt;=Inicio!$E$49,SLN($C11,0,$B11),0)),0)</f>
        <v>160</v>
      </c>
      <c r="F11" s="239">
        <f>IF(F$5&lt;=$B11,(IF(F$5&lt;=Inicio!$E$49,SLN($C11,0,$B11),0)),0)</f>
        <v>160</v>
      </c>
      <c r="G11" s="239">
        <f>IF(G$5&lt;=$B11,(IF(G$5&lt;=Inicio!$E$49,SLN($C11,0,$B11),0)),0)</f>
        <v>160</v>
      </c>
      <c r="H11" s="239">
        <f>IF(H$5&lt;=$B11,(IF(H$5&lt;=Inicio!$E$49,SLN($C11,0,$B11),0)),0)</f>
        <v>160</v>
      </c>
      <c r="I11" s="239">
        <f>IF(I$5&lt;=$B11,(IF(I$5&lt;=Inicio!$E$49,SLN($C11,0,$B11),0)),0)</f>
        <v>0</v>
      </c>
      <c r="J11" s="239">
        <f>IF(J$5&lt;=$B11,(IF(J$5&lt;=Inicio!$E$49,SLN($C11,0,$B11),0)),0)</f>
        <v>0</v>
      </c>
      <c r="K11" s="239">
        <f>IF(K$5&lt;=$B11,(IF(K$5&lt;=Inicio!$E$49,SLN($C11,0,$B11),0)),0)</f>
        <v>0</v>
      </c>
      <c r="L11" s="239">
        <f>IF(L$5&lt;=$B11,(IF(L$5&lt;=Inicio!$E$49,SLN($C11,0,$B11),0)),0)</f>
        <v>0</v>
      </c>
      <c r="M11" s="239">
        <f>IF(M$5&lt;=$B11,(IF(M$5&lt;=Inicio!$E$49,SLN($C11,0,$B11),0)),0)</f>
        <v>0</v>
      </c>
      <c r="N11" s="239">
        <f>IF(N$5&lt;=$B11,(IF(N$5&lt;=Inicio!$E$49,SLN($C11,0,$B11),0)),0)</f>
        <v>0</v>
      </c>
      <c r="O11" s="239">
        <f>IF(O$5&lt;=$B11,(IF(O$5&lt;=Inicio!$E$49,SLN($C11,0,$B11),0)),0)</f>
        <v>0</v>
      </c>
      <c r="P11" s="239">
        <f>IF(P$5&lt;=$B11,(IF(P$5&lt;=Inicio!$E$49,SLN($C11,0,$B11),0)),0)</f>
        <v>0</v>
      </c>
      <c r="Q11" s="239">
        <f>IF(Q$5&lt;=$B11,(IF(Q$5&lt;=Inicio!$E$49,SLN($C11,0,$B11),0)),0)</f>
        <v>0</v>
      </c>
      <c r="R11" s="239">
        <f>IF(R$5&lt;=$B11,(IF(R$5&lt;=Inicio!$E$49,SLN($C11,0,$B11),0)),0)</f>
        <v>0</v>
      </c>
      <c r="S11"/>
    </row>
    <row r="12" spans="1:20" x14ac:dyDescent="0.2">
      <c r="A12" s="236" t="str">
        <f>Inicio!C150</f>
        <v xml:space="preserve">Vehiculo </v>
      </c>
      <c r="B12" s="176">
        <f>IF(Inicio!$E$51="Años",Inicio!D150,Inicio!D150*12)</f>
        <v>5</v>
      </c>
      <c r="C12" s="238">
        <f>Inicio!E150</f>
        <v>90000</v>
      </c>
      <c r="D12" s="239">
        <f>IF(D$5&lt;=$B12,(IF(D$5&lt;=Inicio!$E$49,SLN($C12,0,$B12),0)),0)</f>
        <v>18000</v>
      </c>
      <c r="E12" s="239">
        <f>IF(E$5&lt;=$B12,(IF(E$5&lt;=Inicio!$E$49,SLN($C12,0,$B12),0)),0)</f>
        <v>18000</v>
      </c>
      <c r="F12" s="239">
        <f>IF(F$5&lt;=$B12,(IF(F$5&lt;=Inicio!$E$49,SLN($C12,0,$B12),0)),0)</f>
        <v>18000</v>
      </c>
      <c r="G12" s="239">
        <f>IF(G$5&lt;=$B12,(IF(G$5&lt;=Inicio!$E$49,SLN($C12,0,$B12),0)),0)</f>
        <v>18000</v>
      </c>
      <c r="H12" s="239">
        <f>IF(H$5&lt;=$B12,(IF(H$5&lt;=Inicio!$E$49,SLN($C12,0,$B12),0)),0)</f>
        <v>18000</v>
      </c>
      <c r="I12" s="239">
        <f>IF(I$5&lt;=$B12,(IF(I$5&lt;=Inicio!$E$49,SLN($C12,0,$B12),0)),0)</f>
        <v>0</v>
      </c>
      <c r="J12" s="239">
        <f>IF(J$5&lt;=$B12,(IF(J$5&lt;=Inicio!$E$49,SLN($C12,0,$B12),0)),0)</f>
        <v>0</v>
      </c>
      <c r="K12" s="239">
        <f>IF(K$5&lt;=$B12,(IF(K$5&lt;=Inicio!$E$49,SLN($C12,0,$B12),0)),0)</f>
        <v>0</v>
      </c>
      <c r="L12" s="239">
        <f>IF(L$5&lt;=$B12,(IF(L$5&lt;=Inicio!$E$49,SLN($C12,0,$B12),0)),0)</f>
        <v>0</v>
      </c>
      <c r="M12" s="239">
        <f>IF(M$5&lt;=$B12,(IF(M$5&lt;=Inicio!$E$49,SLN($C12,0,$B12),0)),0)</f>
        <v>0</v>
      </c>
      <c r="N12" s="239">
        <f>IF(N$5&lt;=$B12,(IF(N$5&lt;=Inicio!$E$49,SLN($C12,0,$B12),0)),0)</f>
        <v>0</v>
      </c>
      <c r="O12" s="239">
        <f>IF(O$5&lt;=$B12,(IF(O$5&lt;=Inicio!$E$49,SLN($C12,0,$B12),0)),0)</f>
        <v>0</v>
      </c>
      <c r="P12" s="239">
        <f>IF(P$5&lt;=$B12,(IF(P$5&lt;=Inicio!$E$49,SLN($C12,0,$B12),0)),0)</f>
        <v>0</v>
      </c>
      <c r="Q12" s="239">
        <f>IF(Q$5&lt;=$B12,(IF(Q$5&lt;=Inicio!$E$49,SLN($C12,0,$B12),0)),0)</f>
        <v>0</v>
      </c>
      <c r="R12" s="239">
        <f>IF(R$5&lt;=$B12,(IF(R$5&lt;=Inicio!$E$49,SLN($C12,0,$B12),0)),0)</f>
        <v>0</v>
      </c>
      <c r="S12"/>
    </row>
    <row r="13" spans="1:20" x14ac:dyDescent="0.2">
      <c r="A13" s="236" t="str">
        <f>Inicio!C151</f>
        <v xml:space="preserve">Equipo y Herramienta </v>
      </c>
      <c r="B13" s="176">
        <f>IF(Inicio!$E$51="Años",Inicio!D151,Inicio!D151*12)</f>
        <v>10</v>
      </c>
      <c r="C13" s="238">
        <f>Inicio!E151</f>
        <v>164000</v>
      </c>
      <c r="D13" s="239">
        <f>IF(D$5&lt;=$B13,(IF(D$5&lt;=Inicio!$E$49,SLN($C13,0,$B13),0)),0)</f>
        <v>16400</v>
      </c>
      <c r="E13" s="239">
        <f>IF(E$5&lt;=$B13,(IF(E$5&lt;=Inicio!$E$49,SLN($C13,0,$B13),0)),0)</f>
        <v>16400</v>
      </c>
      <c r="F13" s="239">
        <f>IF(F$5&lt;=$B13,(IF(F$5&lt;=Inicio!$E$49,SLN($C13,0,$B13),0)),0)</f>
        <v>16400</v>
      </c>
      <c r="G13" s="239">
        <f>IF(G$5&lt;=$B13,(IF(G$5&lt;=Inicio!$E$49,SLN($C13,0,$B13),0)),0)</f>
        <v>16400</v>
      </c>
      <c r="H13" s="239">
        <f>IF(H$5&lt;=$B13,(IF(H$5&lt;=Inicio!$E$49,SLN($C13,0,$B13),0)),0)</f>
        <v>16400</v>
      </c>
      <c r="I13" s="239">
        <f>IF(I$5&lt;=$B13,(IF(I$5&lt;=Inicio!$E$49,SLN($C13,0,$B13),0)),0)</f>
        <v>0</v>
      </c>
      <c r="J13" s="239">
        <f>IF(J$5&lt;=$B13,(IF(J$5&lt;=Inicio!$E$49,SLN($C13,0,$B13),0)),0)</f>
        <v>0</v>
      </c>
      <c r="K13" s="239">
        <f>IF(K$5&lt;=$B13,(IF(K$5&lt;=Inicio!$E$49,SLN($C13,0,$B13),0)),0)</f>
        <v>0</v>
      </c>
      <c r="L13" s="239">
        <f>IF(L$5&lt;=$B13,(IF(L$5&lt;=Inicio!$E$49,SLN($C13,0,$B13),0)),0)</f>
        <v>0</v>
      </c>
      <c r="M13" s="239">
        <f>IF(M$5&lt;=$B13,(IF(M$5&lt;=Inicio!$E$49,SLN($C13,0,$B13),0)),0)</f>
        <v>0</v>
      </c>
      <c r="N13" s="239">
        <f>IF(N$5&lt;=$B13,(IF(N$5&lt;=Inicio!$E$49,SLN($C13,0,$B13),0)),0)</f>
        <v>0</v>
      </c>
      <c r="O13" s="239">
        <f>IF(O$5&lt;=$B13,(IF(O$5&lt;=Inicio!$E$49,SLN($C13,0,$B13),0)),0)</f>
        <v>0</v>
      </c>
      <c r="P13" s="239">
        <f>IF(P$5&lt;=$B13,(IF(P$5&lt;=Inicio!$E$49,SLN($C13,0,$B13),0)),0)</f>
        <v>0</v>
      </c>
      <c r="Q13" s="239">
        <f>IF(Q$5&lt;=$B13,(IF(Q$5&lt;=Inicio!$E$49,SLN($C13,0,$B13),0)),0)</f>
        <v>0</v>
      </c>
      <c r="R13" s="239">
        <f>IF(R$5&lt;=$B13,(IF(R$5&lt;=Inicio!$E$49,SLN($C13,0,$B13),0)),0)</f>
        <v>0</v>
      </c>
      <c r="S13"/>
    </row>
    <row r="14" spans="1:20" x14ac:dyDescent="0.2">
      <c r="A14" s="236">
        <f>Inicio!C152</f>
        <v>0</v>
      </c>
      <c r="B14" s="176">
        <f>IF(Inicio!$E$51="Años",Inicio!D152,Inicio!D152*12)</f>
        <v>0</v>
      </c>
      <c r="C14" s="238">
        <f>Inicio!E152</f>
        <v>0</v>
      </c>
      <c r="D14" s="239">
        <f>IF(D$5&lt;=$B14,(IF(D$5&lt;=Inicio!$E$49,SLN($C14,0,$B14),0)),0)</f>
        <v>0</v>
      </c>
      <c r="E14" s="239">
        <f>IF(E$5&lt;=$B14,(IF(E$5&lt;=Inicio!$E$49,SLN($C14,0,$B14),0)),0)</f>
        <v>0</v>
      </c>
      <c r="F14" s="239">
        <f>IF(F$5&lt;=$B14,(IF(F$5&lt;=Inicio!$E$49,SLN($C14,0,$B14),0)),0)</f>
        <v>0</v>
      </c>
      <c r="G14" s="239">
        <f>IF(G$5&lt;=$B14,(IF(G$5&lt;=Inicio!$E$49,SLN($C14,0,$B14),0)),0)</f>
        <v>0</v>
      </c>
      <c r="H14" s="239">
        <f>IF(H$5&lt;=$B14,(IF(H$5&lt;=Inicio!$E$49,SLN($C14,0,$B14),0)),0)</f>
        <v>0</v>
      </c>
      <c r="I14" s="239">
        <f>IF(I$5&lt;=$B14,(IF(I$5&lt;=Inicio!$E$49,SLN($C14,0,$B14),0)),0)</f>
        <v>0</v>
      </c>
      <c r="J14" s="239">
        <f>IF(J$5&lt;=$B14,(IF(J$5&lt;=Inicio!$E$49,SLN($C14,0,$B14),0)),0)</f>
        <v>0</v>
      </c>
      <c r="K14" s="239">
        <f>IF(K$5&lt;=$B14,(IF(K$5&lt;=Inicio!$E$49,SLN($C14,0,$B14),0)),0)</f>
        <v>0</v>
      </c>
      <c r="L14" s="239">
        <f>IF(L$5&lt;=$B14,(IF(L$5&lt;=Inicio!$E$49,SLN($C14,0,$B14),0)),0)</f>
        <v>0</v>
      </c>
      <c r="M14" s="239">
        <f>IF(M$5&lt;=$B14,(IF(M$5&lt;=Inicio!$E$49,SLN($C14,0,$B14),0)),0)</f>
        <v>0</v>
      </c>
      <c r="N14" s="239">
        <f>IF(N$5&lt;=$B14,(IF(N$5&lt;=Inicio!$E$49,SLN($C14,0,$B14),0)),0)</f>
        <v>0</v>
      </c>
      <c r="O14" s="239">
        <f>IF(O$5&lt;=$B14,(IF(O$5&lt;=Inicio!$E$49,SLN($C14,0,$B14),0)),0)</f>
        <v>0</v>
      </c>
      <c r="P14" s="239">
        <f>IF(P$5&lt;=$B14,(IF(P$5&lt;=Inicio!$E$49,SLN($C14,0,$B14),0)),0)</f>
        <v>0</v>
      </c>
      <c r="Q14" s="239">
        <f>IF(Q$5&lt;=$B14,(IF(Q$5&lt;=Inicio!$E$49,SLN($C14,0,$B14),0)),0)</f>
        <v>0</v>
      </c>
      <c r="R14" s="239">
        <f>IF(R$5&lt;=$B14,(IF(R$5&lt;=Inicio!$E$49,SLN($C14,0,$B14),0)),0)</f>
        <v>0</v>
      </c>
      <c r="S14"/>
    </row>
    <row r="15" spans="1:20" x14ac:dyDescent="0.2">
      <c r="A15" s="236">
        <f>Inicio!C153</f>
        <v>0</v>
      </c>
      <c r="B15" s="176">
        <f>IF(Inicio!$E$51="Años",Inicio!D153,Inicio!D153*12)</f>
        <v>0</v>
      </c>
      <c r="C15" s="238">
        <f>Inicio!E153</f>
        <v>0</v>
      </c>
      <c r="D15" s="239">
        <f>IF(D$5&lt;=$B15,(IF(D$5&lt;=Inicio!$E$49,SLN($C15,0,$B15),0)),0)</f>
        <v>0</v>
      </c>
      <c r="E15" s="239">
        <f>IF(E$5&lt;=$B15,(IF(E$5&lt;=Inicio!$E$49,SLN($C15,0,$B15),0)),0)</f>
        <v>0</v>
      </c>
      <c r="F15" s="239">
        <f>IF(F$5&lt;=$B15,(IF(F$5&lt;=Inicio!$E$49,SLN($C15,0,$B15),0)),0)</f>
        <v>0</v>
      </c>
      <c r="G15" s="239">
        <f>IF(G$5&lt;=$B15,(IF(G$5&lt;=Inicio!$E$49,SLN($C15,0,$B15),0)),0)</f>
        <v>0</v>
      </c>
      <c r="H15" s="239">
        <f>IF(H$5&lt;=$B15,(IF(H$5&lt;=Inicio!$E$49,SLN($C15,0,$B15),0)),0)</f>
        <v>0</v>
      </c>
      <c r="I15" s="239">
        <f>IF(I$5&lt;=$B15,(IF(I$5&lt;=Inicio!$E$49,SLN($C15,0,$B15),0)),0)</f>
        <v>0</v>
      </c>
      <c r="J15" s="239">
        <f>IF(J$5&lt;=$B15,(IF(J$5&lt;=Inicio!$E$49,SLN($C15,0,$B15),0)),0)</f>
        <v>0</v>
      </c>
      <c r="K15" s="239">
        <f>IF(K$5&lt;=$B15,(IF(K$5&lt;=Inicio!$E$49,SLN($C15,0,$B15),0)),0)</f>
        <v>0</v>
      </c>
      <c r="L15" s="239">
        <f>IF(L$5&lt;=$B15,(IF(L$5&lt;=Inicio!$E$49,SLN($C15,0,$B15),0)),0)</f>
        <v>0</v>
      </c>
      <c r="M15" s="239">
        <f>IF(M$5&lt;=$B15,(IF(M$5&lt;=Inicio!$E$49,SLN($C15,0,$B15),0)),0)</f>
        <v>0</v>
      </c>
      <c r="N15" s="239">
        <f>IF(N$5&lt;=$B15,(IF(N$5&lt;=Inicio!$E$49,SLN($C15,0,$B15),0)),0)</f>
        <v>0</v>
      </c>
      <c r="O15" s="239">
        <f>IF(O$5&lt;=$B15,(IF(O$5&lt;=Inicio!$E$49,SLN($C15,0,$B15),0)),0)</f>
        <v>0</v>
      </c>
      <c r="P15" s="239">
        <f>IF(P$5&lt;=$B15,(IF(P$5&lt;=Inicio!$E$49,SLN($C15,0,$B15),0)),0)</f>
        <v>0</v>
      </c>
      <c r="Q15" s="239">
        <f>IF(Q$5&lt;=$B15,(IF(Q$5&lt;=Inicio!$E$49,SLN($C15,0,$B15),0)),0)</f>
        <v>0</v>
      </c>
      <c r="R15" s="239">
        <f>IF(R$5&lt;=$B15,(IF(R$5&lt;=Inicio!$E$49,SLN($C15,0,$B15),0)),0)</f>
        <v>0</v>
      </c>
      <c r="S15"/>
    </row>
    <row r="16" spans="1:20" x14ac:dyDescent="0.2">
      <c r="A16" s="236">
        <f>Inicio!C154</f>
        <v>0</v>
      </c>
      <c r="B16" s="176">
        <f>IF(Inicio!$E$51="Años",Inicio!D154,Inicio!D154*12)</f>
        <v>0</v>
      </c>
      <c r="C16" s="238">
        <f>Inicio!E154</f>
        <v>0</v>
      </c>
      <c r="D16" s="239">
        <f>IF(D$5&lt;=$B16,(IF(D$5&lt;=Inicio!$E$49,SLN($C16,0,$B16),0)),0)</f>
        <v>0</v>
      </c>
      <c r="E16" s="239">
        <f>IF(E$5&lt;=$B16,(IF(E$5&lt;=Inicio!$E$49,SLN($C16,0,$B16),0)),0)</f>
        <v>0</v>
      </c>
      <c r="F16" s="239">
        <f>IF(F$5&lt;=$B16,(IF(F$5&lt;=Inicio!$E$49,SLN($C16,0,$B16),0)),0)</f>
        <v>0</v>
      </c>
      <c r="G16" s="239">
        <f>IF(G$5&lt;=$B16,(IF(G$5&lt;=Inicio!$E$49,SLN($C16,0,$B16),0)),0)</f>
        <v>0</v>
      </c>
      <c r="H16" s="239">
        <f>IF(H$5&lt;=$B16,(IF(H$5&lt;=Inicio!$E$49,SLN($C16,0,$B16),0)),0)</f>
        <v>0</v>
      </c>
      <c r="I16" s="239">
        <f>IF(I$5&lt;=$B16,(IF(I$5&lt;=Inicio!$E$49,SLN($C16,0,$B16),0)),0)</f>
        <v>0</v>
      </c>
      <c r="J16" s="239">
        <f>IF(J$5&lt;=$B16,(IF(J$5&lt;=Inicio!$E$49,SLN($C16,0,$B16),0)),0)</f>
        <v>0</v>
      </c>
      <c r="K16" s="239">
        <f>IF(K$5&lt;=$B16,(IF(K$5&lt;=Inicio!$E$49,SLN($C16,0,$B16),0)),0)</f>
        <v>0</v>
      </c>
      <c r="L16" s="239">
        <f>IF(L$5&lt;=$B16,(IF(L$5&lt;=Inicio!$E$49,SLN($C16,0,$B16),0)),0)</f>
        <v>0</v>
      </c>
      <c r="M16" s="239">
        <f>IF(M$5&lt;=$B16,(IF(M$5&lt;=Inicio!$E$49,SLN($C16,0,$B16),0)),0)</f>
        <v>0</v>
      </c>
      <c r="N16" s="239">
        <f>IF(N$5&lt;=$B16,(IF(N$5&lt;=Inicio!$E$49,SLN($C16,0,$B16),0)),0)</f>
        <v>0</v>
      </c>
      <c r="O16" s="239">
        <f>IF(O$5&lt;=$B16,(IF(O$5&lt;=Inicio!$E$49,SLN($C16,0,$B16),0)),0)</f>
        <v>0</v>
      </c>
      <c r="P16" s="239">
        <f>IF(P$5&lt;=$B16,(IF(P$5&lt;=Inicio!$E$49,SLN($C16,0,$B16),0)),0)</f>
        <v>0</v>
      </c>
      <c r="Q16" s="239">
        <f>IF(Q$5&lt;=$B16,(IF(Q$5&lt;=Inicio!$E$49,SLN($C16,0,$B16),0)),0)</f>
        <v>0</v>
      </c>
      <c r="R16" s="239">
        <f>IF(R$5&lt;=$B16,(IF(R$5&lt;=Inicio!$E$49,SLN($C16,0,$B16),0)),0)</f>
        <v>0</v>
      </c>
      <c r="S16"/>
    </row>
    <row r="17" spans="1:19" x14ac:dyDescent="0.2">
      <c r="A17" s="236">
        <f>Inicio!C155</f>
        <v>0</v>
      </c>
      <c r="B17" s="176">
        <f>IF(Inicio!$E$51="Años",Inicio!D155,Inicio!D155*12)</f>
        <v>0</v>
      </c>
      <c r="C17" s="238">
        <f>Inicio!E155</f>
        <v>0</v>
      </c>
      <c r="D17" s="239">
        <f>IF(D$5&lt;=$B17,(IF(D$5&lt;=Inicio!$E$49,SLN($C17,0,$B17),0)),0)</f>
        <v>0</v>
      </c>
      <c r="E17" s="239">
        <f>IF(E$5&lt;=$B17,(IF(E$5&lt;=Inicio!$E$49,SLN($C17,0,$B17),0)),0)</f>
        <v>0</v>
      </c>
      <c r="F17" s="239">
        <f>IF(F$5&lt;=$B17,(IF(F$5&lt;=Inicio!$E$49,SLN($C17,0,$B17),0)),0)</f>
        <v>0</v>
      </c>
      <c r="G17" s="239">
        <f>IF(G$5&lt;=$B17,(IF(G$5&lt;=Inicio!$E$49,SLN($C17,0,$B17),0)),0)</f>
        <v>0</v>
      </c>
      <c r="H17" s="239">
        <f>IF(H$5&lt;=$B17,(IF(H$5&lt;=Inicio!$E$49,SLN($C17,0,$B17),0)),0)</f>
        <v>0</v>
      </c>
      <c r="I17" s="239">
        <f>IF(I$5&lt;=$B17,(IF(I$5&lt;=Inicio!$E$49,SLN($C17,0,$B17),0)),0)</f>
        <v>0</v>
      </c>
      <c r="J17" s="239">
        <f>IF(J$5&lt;=$B17,(IF(J$5&lt;=Inicio!$E$49,SLN($C17,0,$B17),0)),0)</f>
        <v>0</v>
      </c>
      <c r="K17" s="239">
        <f>IF(K$5&lt;=$B17,(IF(K$5&lt;=Inicio!$E$49,SLN($C17,0,$B17),0)),0)</f>
        <v>0</v>
      </c>
      <c r="L17" s="239">
        <f>IF(L$5&lt;=$B17,(IF(L$5&lt;=Inicio!$E$49,SLN($C17,0,$B17),0)),0)</f>
        <v>0</v>
      </c>
      <c r="M17" s="239">
        <f>IF(M$5&lt;=$B17,(IF(M$5&lt;=Inicio!$E$49,SLN($C17,0,$B17),0)),0)</f>
        <v>0</v>
      </c>
      <c r="N17" s="239">
        <f>IF(N$5&lt;=$B17,(IF(N$5&lt;=Inicio!$E$49,SLN($C17,0,$B17),0)),0)</f>
        <v>0</v>
      </c>
      <c r="O17" s="239">
        <f>IF(O$5&lt;=$B17,(IF(O$5&lt;=Inicio!$E$49,SLN($C17,0,$B17),0)),0)</f>
        <v>0</v>
      </c>
      <c r="P17" s="239">
        <f>IF(P$5&lt;=$B17,(IF(P$5&lt;=Inicio!$E$49,SLN($C17,0,$B17),0)),0)</f>
        <v>0</v>
      </c>
      <c r="Q17" s="239">
        <f>IF(Q$5&lt;=$B17,(IF(Q$5&lt;=Inicio!$E$49,SLN($C17,0,$B17),0)),0)</f>
        <v>0</v>
      </c>
      <c r="R17" s="239">
        <f>IF(R$5&lt;=$B17,(IF(R$5&lt;=Inicio!$E$49,SLN($C17,0,$B17),0)),0)</f>
        <v>0</v>
      </c>
      <c r="S17"/>
    </row>
    <row r="18" spans="1:19" ht="13.5" thickBot="1" x14ac:dyDescent="0.25">
      <c r="A18" s="236">
        <f>Inicio!C156</f>
        <v>0</v>
      </c>
      <c r="B18" s="176">
        <f>IF(Inicio!$E$51="Años",Inicio!D156,Inicio!D156*12)</f>
        <v>0</v>
      </c>
      <c r="C18" s="238">
        <f>Inicio!E156</f>
        <v>0</v>
      </c>
      <c r="D18" s="239">
        <f>IF(D$5&lt;=$B18,(IF(D$5&lt;=Inicio!$E$49,SLN($C18,0,$B18),0)),0)</f>
        <v>0</v>
      </c>
      <c r="E18" s="239">
        <f>IF(E$5&lt;=$B18,(IF(E$5&lt;=Inicio!$E$49,SLN($C18,0,$B18),0)),0)</f>
        <v>0</v>
      </c>
      <c r="F18" s="239">
        <f>IF(F$5&lt;=$B18,(IF(F$5&lt;=Inicio!$E$49,SLN($C18,0,$B18),0)),0)</f>
        <v>0</v>
      </c>
      <c r="G18" s="239">
        <f>IF(G$5&lt;=$B18,(IF(G$5&lt;=Inicio!$E$49,SLN($C18,0,$B18),0)),0)</f>
        <v>0</v>
      </c>
      <c r="H18" s="239">
        <f>IF(H$5&lt;=$B18,(IF(H$5&lt;=Inicio!$E$49,SLN($C18,0,$B18),0)),0)</f>
        <v>0</v>
      </c>
      <c r="I18" s="239">
        <f>IF(I$5&lt;=$B18,(IF(I$5&lt;=Inicio!$E$49,SLN($C18,0,$B18),0)),0)</f>
        <v>0</v>
      </c>
      <c r="J18" s="239">
        <f>IF(J$5&lt;=$B18,(IF(J$5&lt;=Inicio!$E$49,SLN($C18,0,$B18),0)),0)</f>
        <v>0</v>
      </c>
      <c r="K18" s="239">
        <f>IF(K$5&lt;=$B18,(IF(K$5&lt;=Inicio!$E$49,SLN($C18,0,$B18),0)),0)</f>
        <v>0</v>
      </c>
      <c r="L18" s="239">
        <f>IF(L$5&lt;=$B18,(IF(L$5&lt;=Inicio!$E$49,SLN($C18,0,$B18),0)),0)</f>
        <v>0</v>
      </c>
      <c r="M18" s="239">
        <f>IF(M$5&lt;=$B18,(IF(M$5&lt;=Inicio!$E$49,SLN($C18,0,$B18),0)),0)</f>
        <v>0</v>
      </c>
      <c r="N18" s="239">
        <f>IF(N$5&lt;=$B18,(IF(N$5&lt;=Inicio!$E$49,SLN($C18,0,$B18),0)),0)</f>
        <v>0</v>
      </c>
      <c r="O18" s="239">
        <f>IF(O$5&lt;=$B18,(IF(O$5&lt;=Inicio!$E$49,SLN($C18,0,$B18),0)),0)</f>
        <v>0</v>
      </c>
      <c r="P18" s="239">
        <f>IF(P$5&lt;=$B18,(IF(P$5&lt;=Inicio!$E$49,SLN($C18,0,$B18),0)),0)</f>
        <v>0</v>
      </c>
      <c r="Q18" s="239">
        <f>IF(Q$5&lt;=$B18,(IF(Q$5&lt;=Inicio!$E$49,SLN($C18,0,$B18),0)),0)</f>
        <v>0</v>
      </c>
      <c r="R18" s="239">
        <f>IF(R$5&lt;=$B18,(IF(R$5&lt;=Inicio!$E$49,SLN($C18,0,$B18),0)),0)</f>
        <v>0</v>
      </c>
      <c r="S18"/>
    </row>
    <row r="19" spans="1:19" ht="13.5" thickBot="1" x14ac:dyDescent="0.25">
      <c r="A19" s="240" t="s">
        <v>52</v>
      </c>
      <c r="B19" s="240"/>
      <c r="C19" s="241">
        <f>SUM(C8:C18)</f>
        <v>299300</v>
      </c>
      <c r="D19" s="241">
        <f>SUM(D8:D18)</f>
        <v>44530</v>
      </c>
      <c r="E19" s="241">
        <f t="shared" ref="E19:R19" si="0">SUM(E8:E18)</f>
        <v>44530</v>
      </c>
      <c r="F19" s="241">
        <f t="shared" si="0"/>
        <v>44530</v>
      </c>
      <c r="G19" s="241">
        <f t="shared" si="0"/>
        <v>36530</v>
      </c>
      <c r="H19" s="241">
        <f t="shared" si="0"/>
        <v>36530</v>
      </c>
      <c r="I19" s="241">
        <f t="shared" si="0"/>
        <v>0</v>
      </c>
      <c r="J19" s="241">
        <f t="shared" si="0"/>
        <v>0</v>
      </c>
      <c r="K19" s="241">
        <f t="shared" si="0"/>
        <v>0</v>
      </c>
      <c r="L19" s="241">
        <f t="shared" si="0"/>
        <v>0</v>
      </c>
      <c r="M19" s="241">
        <f t="shared" si="0"/>
        <v>0</v>
      </c>
      <c r="N19" s="241">
        <f t="shared" si="0"/>
        <v>0</v>
      </c>
      <c r="O19" s="241">
        <f t="shared" si="0"/>
        <v>0</v>
      </c>
      <c r="P19" s="241">
        <f t="shared" si="0"/>
        <v>0</v>
      </c>
      <c r="Q19" s="241">
        <f t="shared" si="0"/>
        <v>0</v>
      </c>
      <c r="R19" s="241">
        <f t="shared" si="0"/>
        <v>0</v>
      </c>
    </row>
    <row r="20" spans="1:19" x14ac:dyDescent="0.2">
      <c r="A20" s="236"/>
      <c r="B20" s="242"/>
      <c r="C20" s="239"/>
      <c r="D20" s="239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243"/>
      <c r="Q20" s="243"/>
      <c r="R20" s="243"/>
    </row>
    <row r="21" spans="1:19" x14ac:dyDescent="0.2">
      <c r="A21" s="226" t="s">
        <v>58</v>
      </c>
      <c r="B21" s="233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</row>
    <row r="22" spans="1:19" x14ac:dyDescent="0.2">
      <c r="A22" s="236" t="str">
        <f>Inicio!C160</f>
        <v xml:space="preserve">Gastos de constitucion (estudio-constitucion) </v>
      </c>
      <c r="B22" s="176">
        <f>IF(Inicio!$E$51="Años",Inicio!D160,Inicio!D160*12)</f>
        <v>5</v>
      </c>
      <c r="C22" s="238">
        <f>Inicio!E160</f>
        <v>5000</v>
      </c>
      <c r="D22" s="239">
        <f>IF(D$5&lt;=$B22,(IF(D$5&lt;=Inicio!$E$49,+$C22/$B22,0)),0)</f>
        <v>1000</v>
      </c>
      <c r="E22" s="239">
        <f>IF(E$5&lt;=$B22,(IF(E$5&lt;=Inicio!$E$49,+$C22/$B22,0)),0)</f>
        <v>1000</v>
      </c>
      <c r="F22" s="239">
        <f>IF(F$5&lt;=$B22,(IF(F$5&lt;=Inicio!$E$49,+$C22/$B22,0)),0)</f>
        <v>1000</v>
      </c>
      <c r="G22" s="239">
        <f>IF(G$5&lt;=$B22,(IF(G$5&lt;=Inicio!$E$49,+$C22/$B22,0)),0)</f>
        <v>1000</v>
      </c>
      <c r="H22" s="239">
        <f>IF(H$5&lt;=$B22,(IF(H$5&lt;=Inicio!$E$49,+$C22/$B22,0)),0)</f>
        <v>1000</v>
      </c>
      <c r="I22" s="239">
        <f>IF(I$5&lt;=$B22,(IF(I$5&lt;=Inicio!$E$49,+$C22/$B22,0)),0)</f>
        <v>0</v>
      </c>
      <c r="J22" s="239">
        <f>IF(J$5&lt;=$B22,(IF(J$5&lt;=Inicio!$E$49,+$C22/$B22,0)),0)</f>
        <v>0</v>
      </c>
      <c r="K22" s="239">
        <f>IF(K$5&lt;=$B22,(IF(K$5&lt;=Inicio!$E$49,+$C22/$B22,0)),0)</f>
        <v>0</v>
      </c>
      <c r="L22" s="239">
        <f>IF(L$5&lt;=$B22,(IF(L$5&lt;=Inicio!$E$49,+$C22/$B22,0)),0)</f>
        <v>0</v>
      </c>
      <c r="M22" s="239">
        <f>IF(M$5&lt;=$B22,(IF(M$5&lt;=Inicio!$E$49,+$C22/$B22,0)),0)</f>
        <v>0</v>
      </c>
      <c r="N22" s="239">
        <f>IF(N$5&lt;=$B22,(IF(N$5&lt;=Inicio!$E$49,+$C22/$B22,0)),0)</f>
        <v>0</v>
      </c>
      <c r="O22" s="239">
        <f>IF(O$5&lt;=$B22,(IF(O$5&lt;=Inicio!$E$49,+$C22/$B22,0)),0)</f>
        <v>0</v>
      </c>
      <c r="P22" s="239">
        <f>IF(P$5&lt;=$B22,(IF(P$5&lt;=Inicio!$E$49,+$C22/$B22,0)),0)</f>
        <v>0</v>
      </c>
      <c r="Q22" s="239">
        <f>IF(Q$5&lt;=$B22,(IF(Q$5&lt;=Inicio!$E$49,+$C22/$B22,0)),0)</f>
        <v>0</v>
      </c>
      <c r="R22" s="239">
        <f>IF(R$5&lt;=$B22,(IF(R$5&lt;=Inicio!$E$49,+$C22/$B22,0)),0)</f>
        <v>0</v>
      </c>
    </row>
    <row r="23" spans="1:19" x14ac:dyDescent="0.2">
      <c r="A23" s="236" t="str">
        <f>Inicio!C161</f>
        <v xml:space="preserve">Adecuaciones Locativas </v>
      </c>
      <c r="B23" s="176">
        <f>IF(Inicio!$E$51="Años",Inicio!D161,Inicio!D161*12)</f>
        <v>5</v>
      </c>
      <c r="C23" s="238">
        <f>Inicio!E161</f>
        <v>3800</v>
      </c>
      <c r="D23" s="239">
        <f>IF(D$5&lt;=$B23,(IF(D$5&lt;=Inicio!$E$49,+$C23/$B23,0)),0)</f>
        <v>760</v>
      </c>
      <c r="E23" s="239">
        <f>IF(E$5&lt;=$B23,(IF(E$5&lt;=Inicio!$E$49,+$C23/$B23,0)),0)</f>
        <v>760</v>
      </c>
      <c r="F23" s="239">
        <f>IF(F$5&lt;=$B23,(IF(F$5&lt;=Inicio!$E$49,+$C23/$B23,0)),0)</f>
        <v>760</v>
      </c>
      <c r="G23" s="239">
        <f>IF(G$5&lt;=$B23,(IF(G$5&lt;=Inicio!$E$49,+$C23/$B23,0)),0)</f>
        <v>760</v>
      </c>
      <c r="H23" s="239">
        <f>IF(H$5&lt;=$B23,(IF(H$5&lt;=Inicio!$E$49,+$C23/$B23,0)),0)</f>
        <v>760</v>
      </c>
      <c r="I23" s="239">
        <f>IF(I$5&lt;=$B23,(IF(I$5&lt;=Inicio!$E$49,+$C23/$B23,0)),0)</f>
        <v>0</v>
      </c>
      <c r="J23" s="239">
        <f>IF(J$5&lt;=$B23,(IF(J$5&lt;=Inicio!$E$49,+$C23/$B23,0)),0)</f>
        <v>0</v>
      </c>
      <c r="K23" s="239">
        <f>IF(K$5&lt;=$B23,(IF(K$5&lt;=Inicio!$E$49,+$C23/$B23,0)),0)</f>
        <v>0</v>
      </c>
      <c r="L23" s="239">
        <f>IF(L$5&lt;=$B23,(IF(L$5&lt;=Inicio!$E$49,+$C23/$B23,0)),0)</f>
        <v>0</v>
      </c>
      <c r="M23" s="239">
        <f>IF(M$5&lt;=$B23,(IF(M$5&lt;=Inicio!$E$49,+$C23/$B23,0)),0)</f>
        <v>0</v>
      </c>
      <c r="N23" s="239">
        <f>IF(N$5&lt;=$B23,(IF(N$5&lt;=Inicio!$E$49,+$C23/$B23,0)),0)</f>
        <v>0</v>
      </c>
      <c r="O23" s="239">
        <f>IF(O$5&lt;=$B23,(IF(O$5&lt;=Inicio!$E$49,+$C23/$B23,0)),0)</f>
        <v>0</v>
      </c>
      <c r="P23" s="239">
        <f>IF(P$5&lt;=$B23,(IF(P$5&lt;=Inicio!$E$49,+$C23/$B23,0)),0)</f>
        <v>0</v>
      </c>
      <c r="Q23" s="239">
        <f>IF(Q$5&lt;=$B23,(IF(Q$5&lt;=Inicio!$E$49,+$C23/$B23,0)),0)</f>
        <v>0</v>
      </c>
      <c r="R23" s="239">
        <f>IF(R$5&lt;=$B23,(IF(R$5&lt;=Inicio!$E$49,+$C23/$B23,0)),0)</f>
        <v>0</v>
      </c>
    </row>
    <row r="24" spans="1:19" x14ac:dyDescent="0.2">
      <c r="A24" s="236" t="str">
        <f>Inicio!C162</f>
        <v>Publicidad y mercadeo</v>
      </c>
      <c r="B24" s="176">
        <f>IF(Inicio!$E$51="Años",Inicio!D162,Inicio!D162*12)</f>
        <v>5</v>
      </c>
      <c r="C24" s="238">
        <f>Inicio!E162</f>
        <v>3500</v>
      </c>
      <c r="D24" s="239">
        <f>IF(D$5&lt;=$B24,(IF(D$5&lt;=Inicio!$E$49,+$C24/$B24,0)),0)</f>
        <v>700</v>
      </c>
      <c r="E24" s="239">
        <f>IF(E$5&lt;=$B24,(IF(E$5&lt;=Inicio!$E$49,+$C24/$B24,0)),0)</f>
        <v>700</v>
      </c>
      <c r="F24" s="239">
        <f>IF(F$5&lt;=$B24,(IF(F$5&lt;=Inicio!$E$49,+$C24/$B24,0)),0)</f>
        <v>700</v>
      </c>
      <c r="G24" s="239">
        <f>IF(G$5&lt;=$B24,(IF(G$5&lt;=Inicio!$E$49,+$C24/$B24,0)),0)</f>
        <v>700</v>
      </c>
      <c r="H24" s="239">
        <f>IF(H$5&lt;=$B24,(IF(H$5&lt;=Inicio!$E$49,+$C24/$B24,0)),0)</f>
        <v>700</v>
      </c>
      <c r="I24" s="239">
        <f>IF(I$5&lt;=$B24,(IF(I$5&lt;=Inicio!$E$49,+$C24/$B24,0)),0)</f>
        <v>0</v>
      </c>
      <c r="J24" s="239">
        <f>IF(J$5&lt;=$B24,(IF(J$5&lt;=Inicio!$E$49,+$C24/$B24,0)),0)</f>
        <v>0</v>
      </c>
      <c r="K24" s="239">
        <f>IF(K$5&lt;=$B24,(IF(K$5&lt;=Inicio!$E$49,+$C24/$B24,0)),0)</f>
        <v>0</v>
      </c>
      <c r="L24" s="239">
        <f>IF(L$5&lt;=$B24,(IF(L$5&lt;=Inicio!$E$49,+$C24/$B24,0)),0)</f>
        <v>0</v>
      </c>
      <c r="M24" s="239">
        <f>IF(M$5&lt;=$B24,(IF(M$5&lt;=Inicio!$E$49,+$C24/$B24,0)),0)</f>
        <v>0</v>
      </c>
      <c r="N24" s="239">
        <f>IF(N$5&lt;=$B24,(IF(N$5&lt;=Inicio!$E$49,+$C24/$B24,0)),0)</f>
        <v>0</v>
      </c>
      <c r="O24" s="239">
        <f>IF(O$5&lt;=$B24,(IF(O$5&lt;=Inicio!$E$49,+$C24/$B24,0)),0)</f>
        <v>0</v>
      </c>
      <c r="P24" s="239">
        <f>IF(P$5&lt;=$B24,(IF(P$5&lt;=Inicio!$E$49,+$C24/$B24,0)),0)</f>
        <v>0</v>
      </c>
      <c r="Q24" s="239">
        <f>IF(Q$5&lt;=$B24,(IF(Q$5&lt;=Inicio!$E$49,+$C24/$B24,0)),0)</f>
        <v>0</v>
      </c>
      <c r="R24" s="239">
        <f>IF(R$5&lt;=$B24,(IF(R$5&lt;=Inicio!$E$49,+$C24/$B24,0)),0)</f>
        <v>0</v>
      </c>
    </row>
    <row r="25" spans="1:19" x14ac:dyDescent="0.2">
      <c r="A25" s="236" t="str">
        <f>Inicio!C163</f>
        <v xml:space="preserve">Arriendo </v>
      </c>
      <c r="B25" s="176">
        <f>IF(Inicio!$E$51="Años",Inicio!D163,Inicio!D163*12)</f>
        <v>5</v>
      </c>
      <c r="C25" s="238">
        <f>Inicio!E163</f>
        <v>5500</v>
      </c>
      <c r="D25" s="239">
        <f>IF(D$5&lt;=$B25,(IF(D$5&lt;=Inicio!$E$49,+$C25/$B25,0)),0)</f>
        <v>1100</v>
      </c>
      <c r="E25" s="239">
        <f>IF(E$5&lt;=$B25,(IF(E$5&lt;=Inicio!$E$49,+$C25/$B25,0)),0)</f>
        <v>1100</v>
      </c>
      <c r="F25" s="239">
        <f>IF(F$5&lt;=$B25,(IF(F$5&lt;=Inicio!$E$49,+$C25/$B25,0)),0)</f>
        <v>1100</v>
      </c>
      <c r="G25" s="239">
        <f>IF(G$5&lt;=$B25,(IF(G$5&lt;=Inicio!$E$49,+$C25/$B25,0)),0)</f>
        <v>1100</v>
      </c>
      <c r="H25" s="239">
        <f>IF(H$5&lt;=$B25,(IF(H$5&lt;=Inicio!$E$49,+$C25/$B25,0)),0)</f>
        <v>1100</v>
      </c>
      <c r="I25" s="239">
        <f>IF(I$5&lt;=$B25,(IF(I$5&lt;=Inicio!$E$49,+$C25/$B25,0)),0)</f>
        <v>0</v>
      </c>
      <c r="J25" s="239">
        <f>IF(J$5&lt;=$B25,(IF(J$5&lt;=Inicio!$E$49,+$C25/$B25,0)),0)</f>
        <v>0</v>
      </c>
      <c r="K25" s="239">
        <f>IF(K$5&lt;=$B25,(IF(K$5&lt;=Inicio!$E$49,+$C25/$B25,0)),0)</f>
        <v>0</v>
      </c>
      <c r="L25" s="239">
        <f>IF(L$5&lt;=$B25,(IF(L$5&lt;=Inicio!$E$49,+$C25/$B25,0)),0)</f>
        <v>0</v>
      </c>
      <c r="M25" s="239">
        <f>IF(M$5&lt;=$B25,(IF(M$5&lt;=Inicio!$E$49,+$C25/$B25,0)),0)</f>
        <v>0</v>
      </c>
      <c r="N25" s="239">
        <f>IF(N$5&lt;=$B25,(IF(N$5&lt;=Inicio!$E$49,+$C25/$B25,0)),0)</f>
        <v>0</v>
      </c>
      <c r="O25" s="239">
        <f>IF(O$5&lt;=$B25,(IF(O$5&lt;=Inicio!$E$49,+$C25/$B25,0)),0)</f>
        <v>0</v>
      </c>
      <c r="P25" s="239">
        <f>IF(P$5&lt;=$B25,(IF(P$5&lt;=Inicio!$E$49,+$C25/$B25,0)),0)</f>
        <v>0</v>
      </c>
      <c r="Q25" s="239">
        <f>IF(Q$5&lt;=$B25,(IF(Q$5&lt;=Inicio!$E$49,+$C25/$B25,0)),0)</f>
        <v>0</v>
      </c>
      <c r="R25" s="239">
        <f>IF(R$5&lt;=$B25,(IF(R$5&lt;=Inicio!$E$49,+$C25/$B25,0)),0)</f>
        <v>0</v>
      </c>
    </row>
    <row r="26" spans="1:19" x14ac:dyDescent="0.2">
      <c r="A26" s="236" t="str">
        <f>Inicio!C164</f>
        <v xml:space="preserve">Servicios publicos </v>
      </c>
      <c r="B26" s="176">
        <f>IF(Inicio!$E$51="Años",Inicio!D164,Inicio!D164*12)</f>
        <v>5</v>
      </c>
      <c r="C26" s="238">
        <f>Inicio!E164</f>
        <v>2700</v>
      </c>
      <c r="D26" s="239">
        <f>IF(D$5&lt;=$B26,(IF(D$5&lt;=Inicio!$E$49,+$C26/$B26,0)),0)</f>
        <v>540</v>
      </c>
      <c r="E26" s="239">
        <f>IF(E$5&lt;=$B26,(IF(E$5&lt;=Inicio!$E$49,+$C26/$B26,0)),0)</f>
        <v>540</v>
      </c>
      <c r="F26" s="239">
        <f>IF(F$5&lt;=$B26,(IF(F$5&lt;=Inicio!$E$49,+$C26/$B26,0)),0)</f>
        <v>540</v>
      </c>
      <c r="G26" s="239">
        <f>IF(G$5&lt;=$B26,(IF(G$5&lt;=Inicio!$E$49,+$C26/$B26,0)),0)</f>
        <v>540</v>
      </c>
      <c r="H26" s="239">
        <f>IF(H$5&lt;=$B26,(IF(H$5&lt;=Inicio!$E$49,+$C26/$B26,0)),0)</f>
        <v>540</v>
      </c>
      <c r="I26" s="239">
        <f>IF(I$5&lt;=$B26,(IF(I$5&lt;=Inicio!$E$49,+$C26/$B26,0)),0)</f>
        <v>0</v>
      </c>
      <c r="J26" s="239">
        <f>IF(J$5&lt;=$B26,(IF(J$5&lt;=Inicio!$E$49,+$C26/$B26,0)),0)</f>
        <v>0</v>
      </c>
      <c r="K26" s="239">
        <f>IF(K$5&lt;=$B26,(IF(K$5&lt;=Inicio!$E$49,+$C26/$B26,0)),0)</f>
        <v>0</v>
      </c>
      <c r="L26" s="239">
        <f>IF(L$5&lt;=$B26,(IF(L$5&lt;=Inicio!$E$49,+$C26/$B26,0)),0)</f>
        <v>0</v>
      </c>
      <c r="M26" s="239">
        <f>IF(M$5&lt;=$B26,(IF(M$5&lt;=Inicio!$E$49,+$C26/$B26,0)),0)</f>
        <v>0</v>
      </c>
      <c r="N26" s="239">
        <f>IF(N$5&lt;=$B26,(IF(N$5&lt;=Inicio!$E$49,+$C26/$B26,0)),0)</f>
        <v>0</v>
      </c>
      <c r="O26" s="239">
        <f>IF(O$5&lt;=$B26,(IF(O$5&lt;=Inicio!$E$49,+$C26/$B26,0)),0)</f>
        <v>0</v>
      </c>
      <c r="P26" s="239">
        <f>IF(P$5&lt;=$B26,(IF(P$5&lt;=Inicio!$E$49,+$C26/$B26,0)),0)</f>
        <v>0</v>
      </c>
      <c r="Q26" s="239">
        <f>IF(Q$5&lt;=$B26,(IF(Q$5&lt;=Inicio!$E$49,+$C26/$B26,0)),0)</f>
        <v>0</v>
      </c>
      <c r="R26" s="239">
        <f>IF(R$5&lt;=$B26,(IF(R$5&lt;=Inicio!$E$49,+$C26/$B26,0)),0)</f>
        <v>0</v>
      </c>
    </row>
    <row r="27" spans="1:19" x14ac:dyDescent="0.2">
      <c r="A27" s="236" t="str">
        <f>Inicio!C165</f>
        <v xml:space="preserve">Gastos de organización </v>
      </c>
      <c r="B27" s="176">
        <f>IF(Inicio!$E$51="Años",Inicio!D165,Inicio!D165*12)</f>
        <v>5</v>
      </c>
      <c r="C27" s="238">
        <f>Inicio!E165</f>
        <v>1000</v>
      </c>
      <c r="D27" s="239">
        <f>IF(D$5&lt;=$B27,(IF(D$5&lt;=Inicio!$E$49,+$C27/$B27,0)),0)</f>
        <v>200</v>
      </c>
      <c r="E27" s="239">
        <f>IF(E$5&lt;=$B27,(IF(E$5&lt;=Inicio!$E$49,+$C27/$B27,0)),0)</f>
        <v>200</v>
      </c>
      <c r="F27" s="239">
        <f>IF(F$5&lt;=$B27,(IF(F$5&lt;=Inicio!$E$49,+$C27/$B27,0)),0)</f>
        <v>200</v>
      </c>
      <c r="G27" s="239">
        <f>IF(G$5&lt;=$B27,(IF(G$5&lt;=Inicio!$E$49,+$C27/$B27,0)),0)</f>
        <v>200</v>
      </c>
      <c r="H27" s="239">
        <f>IF(H$5&lt;=$B27,(IF(H$5&lt;=Inicio!$E$49,+$C27/$B27,0)),0)</f>
        <v>200</v>
      </c>
      <c r="I27" s="239">
        <f>IF(I$5&lt;=$B27,(IF(I$5&lt;=Inicio!$E$49,+$C27/$B27,0)),0)</f>
        <v>0</v>
      </c>
      <c r="J27" s="239">
        <f>IF(J$5&lt;=$B27,(IF(J$5&lt;=Inicio!$E$49,+$C27/$B27,0)),0)</f>
        <v>0</v>
      </c>
      <c r="K27" s="239">
        <f>IF(K$5&lt;=$B27,(IF(K$5&lt;=Inicio!$E$49,+$C27/$B27,0)),0)</f>
        <v>0</v>
      </c>
      <c r="L27" s="239">
        <f>IF(L$5&lt;=$B27,(IF(L$5&lt;=Inicio!$E$49,+$C27/$B27,0)),0)</f>
        <v>0</v>
      </c>
      <c r="M27" s="239">
        <f>IF(M$5&lt;=$B27,(IF(M$5&lt;=Inicio!$E$49,+$C27/$B27,0)),0)</f>
        <v>0</v>
      </c>
      <c r="N27" s="239">
        <f>IF(N$5&lt;=$B27,(IF(N$5&lt;=Inicio!$E$49,+$C27/$B27,0)),0)</f>
        <v>0</v>
      </c>
      <c r="O27" s="239">
        <f>IF(O$5&lt;=$B27,(IF(O$5&lt;=Inicio!$E$49,+$C27/$B27,0)),0)</f>
        <v>0</v>
      </c>
      <c r="P27" s="239">
        <f>IF(P$5&lt;=$B27,(IF(P$5&lt;=Inicio!$E$49,+$C27/$B27,0)),0)</f>
        <v>0</v>
      </c>
      <c r="Q27" s="239">
        <f>IF(Q$5&lt;=$B27,(IF(Q$5&lt;=Inicio!$E$49,+$C27/$B27,0)),0)</f>
        <v>0</v>
      </c>
      <c r="R27" s="239">
        <f>IF(R$5&lt;=$B27,(IF(R$5&lt;=Inicio!$E$49,+$C27/$B27,0)),0)</f>
        <v>0</v>
      </c>
    </row>
    <row r="28" spans="1:19" x14ac:dyDescent="0.2">
      <c r="A28" s="236">
        <f>Inicio!C166</f>
        <v>0</v>
      </c>
      <c r="B28" s="176">
        <f>IF(Inicio!$E$51="Años",Inicio!D166,Inicio!D166*12)</f>
        <v>0</v>
      </c>
      <c r="C28" s="238">
        <f>Inicio!E166</f>
        <v>0</v>
      </c>
      <c r="D28" s="239">
        <f>IF(D$5&lt;=$B28,(IF(D$5&lt;=Inicio!$E$49,+$C28/$B28,0)),0)</f>
        <v>0</v>
      </c>
      <c r="E28" s="239">
        <f>IF(E$5&lt;=$B28,(IF(E$5&lt;=Inicio!$E$49,+$C28/$B28,0)),0)</f>
        <v>0</v>
      </c>
      <c r="F28" s="239">
        <f>IF(F$5&lt;=$B28,(IF(F$5&lt;=Inicio!$E$49,+$C28/$B28,0)),0)</f>
        <v>0</v>
      </c>
      <c r="G28" s="239">
        <f>IF(G$5&lt;=$B28,(IF(G$5&lt;=Inicio!$E$49,+$C28/$B28,0)),0)</f>
        <v>0</v>
      </c>
      <c r="H28" s="239">
        <f>IF(H$5&lt;=$B28,(IF(H$5&lt;=Inicio!$E$49,+$C28/$B28,0)),0)</f>
        <v>0</v>
      </c>
      <c r="I28" s="239">
        <f>IF(I$5&lt;=$B28,(IF(I$5&lt;=Inicio!$E$49,+$C28/$B28,0)),0)</f>
        <v>0</v>
      </c>
      <c r="J28" s="239">
        <f>IF(J$5&lt;=$B28,(IF(J$5&lt;=Inicio!$E$49,+$C28/$B28,0)),0)</f>
        <v>0</v>
      </c>
      <c r="K28" s="239">
        <f>IF(K$5&lt;=$B28,(IF(K$5&lt;=Inicio!$E$49,+$C28/$B28,0)),0)</f>
        <v>0</v>
      </c>
      <c r="L28" s="239">
        <f>IF(L$5&lt;=$B28,(IF(L$5&lt;=Inicio!$E$49,+$C28/$B28,0)),0)</f>
        <v>0</v>
      </c>
      <c r="M28" s="239">
        <f>IF(M$5&lt;=$B28,(IF(M$5&lt;=Inicio!$E$49,+$C28/$B28,0)),0)</f>
        <v>0</v>
      </c>
      <c r="N28" s="239">
        <f>IF(N$5&lt;=$B28,(IF(N$5&lt;=Inicio!$E$49,+$C28/$B28,0)),0)</f>
        <v>0</v>
      </c>
      <c r="O28" s="239">
        <f>IF(O$5&lt;=$B28,(IF(O$5&lt;=Inicio!$E$49,+$C28/$B28,0)),0)</f>
        <v>0</v>
      </c>
      <c r="P28" s="239">
        <f>IF(P$5&lt;=$B28,(IF(P$5&lt;=Inicio!$E$49,+$C28/$B28,0)),0)</f>
        <v>0</v>
      </c>
      <c r="Q28" s="239">
        <f>IF(Q$5&lt;=$B28,(IF(Q$5&lt;=Inicio!$E$49,+$C28/$B28,0)),0)</f>
        <v>0</v>
      </c>
      <c r="R28" s="239">
        <f>IF(R$5&lt;=$B28,(IF(R$5&lt;=Inicio!$E$49,+$C28/$B28,0)),0)</f>
        <v>0</v>
      </c>
    </row>
    <row r="29" spans="1:19" x14ac:dyDescent="0.2">
      <c r="A29" s="236">
        <f>Inicio!C167</f>
        <v>0</v>
      </c>
      <c r="B29" s="176">
        <f>IF(Inicio!$E$51="Años",Inicio!D167,Inicio!D167*12)</f>
        <v>0</v>
      </c>
      <c r="C29" s="238">
        <f>Inicio!E167</f>
        <v>0</v>
      </c>
      <c r="D29" s="239">
        <f>IF(D$5&lt;=$B29,(IF(D$5&lt;=Inicio!$E$49,+$C29/$B29,0)),0)</f>
        <v>0</v>
      </c>
      <c r="E29" s="239">
        <f>IF(E$5&lt;=$B29,(IF(E$5&lt;=Inicio!$E$49,+$C29/$B29,0)),0)</f>
        <v>0</v>
      </c>
      <c r="F29" s="239">
        <f>IF(F$5&lt;=$B29,(IF(F$5&lt;=Inicio!$E$49,+$C29/$B29,0)),0)</f>
        <v>0</v>
      </c>
      <c r="G29" s="239">
        <f>IF(G$5&lt;=$B29,(IF(G$5&lt;=Inicio!$E$49,+$C29/$B29,0)),0)</f>
        <v>0</v>
      </c>
      <c r="H29" s="239">
        <f>IF(H$5&lt;=$B29,(IF(H$5&lt;=Inicio!$E$49,+$C29/$B29,0)),0)</f>
        <v>0</v>
      </c>
      <c r="I29" s="239">
        <f>IF(I$5&lt;=$B29,(IF(I$5&lt;=Inicio!$E$49,+$C29/$B29,0)),0)</f>
        <v>0</v>
      </c>
      <c r="J29" s="239">
        <f>IF(J$5&lt;=$B29,(IF(J$5&lt;=Inicio!$E$49,+$C29/$B29,0)),0)</f>
        <v>0</v>
      </c>
      <c r="K29" s="239">
        <f>IF(K$5&lt;=$B29,(IF(K$5&lt;=Inicio!$E$49,+$C29/$B29,0)),0)</f>
        <v>0</v>
      </c>
      <c r="L29" s="239">
        <f>IF(L$5&lt;=$B29,(IF(L$5&lt;=Inicio!$E$49,+$C29/$B29,0)),0)</f>
        <v>0</v>
      </c>
      <c r="M29" s="239">
        <f>IF(M$5&lt;=$B29,(IF(M$5&lt;=Inicio!$E$49,+$C29/$B29,0)),0)</f>
        <v>0</v>
      </c>
      <c r="N29" s="239">
        <f>IF(N$5&lt;=$B29,(IF(N$5&lt;=Inicio!$E$49,+$C29/$B29,0)),0)</f>
        <v>0</v>
      </c>
      <c r="O29" s="239">
        <f>IF(O$5&lt;=$B29,(IF(O$5&lt;=Inicio!$E$49,+$C29/$B29,0)),0)</f>
        <v>0</v>
      </c>
      <c r="P29" s="239">
        <f>IF(P$5&lt;=$B29,(IF(P$5&lt;=Inicio!$E$49,+$C29/$B29,0)),0)</f>
        <v>0</v>
      </c>
      <c r="Q29" s="239">
        <f>IF(Q$5&lt;=$B29,(IF(Q$5&lt;=Inicio!$E$49,+$C29/$B29,0)),0)</f>
        <v>0</v>
      </c>
      <c r="R29" s="239">
        <f>IF(R$5&lt;=$B29,(IF(R$5&lt;=Inicio!$E$49,+$C29/$B29,0)),0)</f>
        <v>0</v>
      </c>
    </row>
    <row r="30" spans="1:19" x14ac:dyDescent="0.2">
      <c r="A30" s="236">
        <f>Inicio!C168</f>
        <v>0</v>
      </c>
      <c r="B30" s="176">
        <f>IF(Inicio!$E$51="Años",Inicio!D168,Inicio!D168*12)</f>
        <v>0</v>
      </c>
      <c r="C30" s="238">
        <f>Inicio!E168</f>
        <v>0</v>
      </c>
      <c r="D30" s="239">
        <f>IF(D$5&lt;=$B30,(IF(D$5&lt;=Inicio!$E$49,+$C30/$B30,0)),0)</f>
        <v>0</v>
      </c>
      <c r="E30" s="239">
        <f>IF(E$5&lt;=$B30,(IF(E$5&lt;=Inicio!$E$49,+$C30/$B30,0)),0)</f>
        <v>0</v>
      </c>
      <c r="F30" s="239">
        <f>IF(F$5&lt;=$B30,(IF(F$5&lt;=Inicio!$E$49,+$C30/$B30,0)),0)</f>
        <v>0</v>
      </c>
      <c r="G30" s="239">
        <f>IF(G$5&lt;=$B30,(IF(G$5&lt;=Inicio!$E$49,+$C30/$B30,0)),0)</f>
        <v>0</v>
      </c>
      <c r="H30" s="239">
        <f>IF(H$5&lt;=$B30,(IF(H$5&lt;=Inicio!$E$49,+$C30/$B30,0)),0)</f>
        <v>0</v>
      </c>
      <c r="I30" s="239">
        <f>IF(I$5&lt;=$B30,(IF(I$5&lt;=Inicio!$E$49,+$C30/$B30,0)),0)</f>
        <v>0</v>
      </c>
      <c r="J30" s="239">
        <f>IF(J$5&lt;=$B30,(IF(J$5&lt;=Inicio!$E$49,+$C30/$B30,0)),0)</f>
        <v>0</v>
      </c>
      <c r="K30" s="239">
        <f>IF(K$5&lt;=$B30,(IF(K$5&lt;=Inicio!$E$49,+$C30/$B30,0)),0)</f>
        <v>0</v>
      </c>
      <c r="L30" s="239">
        <f>IF(L$5&lt;=$B30,(IF(L$5&lt;=Inicio!$E$49,+$C30/$B30,0)),0)</f>
        <v>0</v>
      </c>
      <c r="M30" s="239">
        <f>IF(M$5&lt;=$B30,(IF(M$5&lt;=Inicio!$E$49,+$C30/$B30,0)),0)</f>
        <v>0</v>
      </c>
      <c r="N30" s="239">
        <f>IF(N$5&lt;=$B30,(IF(N$5&lt;=Inicio!$E$49,+$C30/$B30,0)),0)</f>
        <v>0</v>
      </c>
      <c r="O30" s="239">
        <f>IF(O$5&lt;=$B30,(IF(O$5&lt;=Inicio!$E$49,+$C30/$B30,0)),0)</f>
        <v>0</v>
      </c>
      <c r="P30" s="239">
        <f>IF(P$5&lt;=$B30,(IF(P$5&lt;=Inicio!$E$49,+$C30/$B30,0)),0)</f>
        <v>0</v>
      </c>
      <c r="Q30" s="239">
        <f>IF(Q$5&lt;=$B30,(IF(Q$5&lt;=Inicio!$E$49,+$C30/$B30,0)),0)</f>
        <v>0</v>
      </c>
      <c r="R30" s="239">
        <f>IF(R$5&lt;=$B30,(IF(R$5&lt;=Inicio!$E$49,+$C30/$B30,0)),0)</f>
        <v>0</v>
      </c>
      <c r="S30" s="1" t="s">
        <v>1</v>
      </c>
    </row>
    <row r="31" spans="1:19" ht="13.5" thickBot="1" x14ac:dyDescent="0.25">
      <c r="A31" s="236">
        <f>Inicio!C169</f>
        <v>0</v>
      </c>
      <c r="B31" s="176">
        <f>IF(Inicio!$E$51="Años",Inicio!D169,Inicio!D169*12)</f>
        <v>0</v>
      </c>
      <c r="C31" s="238">
        <f>Inicio!E169</f>
        <v>0</v>
      </c>
      <c r="D31" s="239">
        <f>IF(D$5&lt;=$B31,(IF(D$5&lt;=Inicio!$E$49,+$C31/$B31,0)),0)</f>
        <v>0</v>
      </c>
      <c r="E31" s="239">
        <f>IF(E$5&lt;=$B31,(IF(E$5&lt;=Inicio!$E$49,+$C31/$B31,0)),0)</f>
        <v>0</v>
      </c>
      <c r="F31" s="239">
        <f>IF(F$5&lt;=$B31,(IF(F$5&lt;=Inicio!$E$49,+$C31/$B31,0)),0)</f>
        <v>0</v>
      </c>
      <c r="G31" s="239">
        <f>IF(G$5&lt;=$B31,(IF(G$5&lt;=Inicio!$E$49,+$C31/$B31,0)),0)</f>
        <v>0</v>
      </c>
      <c r="H31" s="239">
        <f>IF(H$5&lt;=$B31,(IF(H$5&lt;=Inicio!$E$49,+$C31/$B31,0)),0)</f>
        <v>0</v>
      </c>
      <c r="I31" s="239">
        <f>IF(I$5&lt;=$B31,(IF(I$5&lt;=Inicio!$E$49,+$C31/$B31,0)),0)</f>
        <v>0</v>
      </c>
      <c r="J31" s="239">
        <f>IF(J$5&lt;=$B31,(IF(J$5&lt;=Inicio!$E$49,+$C31/$B31,0)),0)</f>
        <v>0</v>
      </c>
      <c r="K31" s="239">
        <f>IF(K$5&lt;=$B31,(IF(K$5&lt;=Inicio!$E$49,+$C31/$B31,0)),0)</f>
        <v>0</v>
      </c>
      <c r="L31" s="239">
        <f>IF(L$5&lt;=$B31,(IF(L$5&lt;=Inicio!$E$49,+$C31/$B31,0)),0)</f>
        <v>0</v>
      </c>
      <c r="M31" s="239">
        <f>IF(M$5&lt;=$B31,(IF(M$5&lt;=Inicio!$E$49,+$C31/$B31,0)),0)</f>
        <v>0</v>
      </c>
      <c r="N31" s="239">
        <f>IF(N$5&lt;=$B31,(IF(N$5&lt;=Inicio!$E$49,+$C31/$B31,0)),0)</f>
        <v>0</v>
      </c>
      <c r="O31" s="239">
        <f>IF(O$5&lt;=$B31,(IF(O$5&lt;=Inicio!$E$49,+$C31/$B31,0)),0)</f>
        <v>0</v>
      </c>
      <c r="P31" s="239">
        <f>IF(P$5&lt;=$B31,(IF(P$5&lt;=Inicio!$E$49,+$C31/$B31,0)),0)</f>
        <v>0</v>
      </c>
      <c r="Q31" s="239">
        <f>IF(Q$5&lt;=$B31,(IF(Q$5&lt;=Inicio!$E$49,+$C31/$B31,0)),0)</f>
        <v>0</v>
      </c>
      <c r="R31" s="239">
        <f>IF(R$5&lt;=$B31,(IF(R$5&lt;=Inicio!$E$49,+$C31/$B31,0)),0)</f>
        <v>0</v>
      </c>
    </row>
    <row r="32" spans="1:19" ht="13.5" thickBot="1" x14ac:dyDescent="0.25">
      <c r="A32" s="240" t="s">
        <v>52</v>
      </c>
      <c r="B32" s="240"/>
      <c r="C32" s="241">
        <f t="shared" ref="C32:H32" si="1">SUM(C22:C30)</f>
        <v>21500</v>
      </c>
      <c r="D32" s="241">
        <f t="shared" si="1"/>
        <v>4300</v>
      </c>
      <c r="E32" s="244">
        <f t="shared" si="1"/>
        <v>4300</v>
      </c>
      <c r="F32" s="241">
        <f t="shared" si="1"/>
        <v>4300</v>
      </c>
      <c r="G32" s="244">
        <f t="shared" si="1"/>
        <v>4300</v>
      </c>
      <c r="H32" s="241">
        <f t="shared" si="1"/>
        <v>4300</v>
      </c>
      <c r="I32" s="244">
        <f t="shared" ref="I32:R32" si="2">SUM(I22:I30)</f>
        <v>0</v>
      </c>
      <c r="J32" s="241">
        <f t="shared" si="2"/>
        <v>0</v>
      </c>
      <c r="K32" s="244">
        <f t="shared" si="2"/>
        <v>0</v>
      </c>
      <c r="L32" s="241">
        <f t="shared" si="2"/>
        <v>0</v>
      </c>
      <c r="M32" s="244">
        <f t="shared" si="2"/>
        <v>0</v>
      </c>
      <c r="N32" s="241">
        <f t="shared" si="2"/>
        <v>0</v>
      </c>
      <c r="O32" s="244">
        <f t="shared" si="2"/>
        <v>0</v>
      </c>
      <c r="P32" s="241">
        <f t="shared" si="2"/>
        <v>0</v>
      </c>
      <c r="Q32" s="244">
        <f t="shared" si="2"/>
        <v>0</v>
      </c>
      <c r="R32" s="241">
        <f t="shared" si="2"/>
        <v>0</v>
      </c>
    </row>
    <row r="33" spans="1:20" x14ac:dyDescent="0.2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</row>
    <row r="34" spans="1:20" x14ac:dyDescent="0.2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</row>
    <row r="35" spans="1:20" x14ac:dyDescent="0.2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</row>
    <row r="36" spans="1:20" x14ac:dyDescent="0.2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/>
    </row>
    <row r="37" spans="1:20" x14ac:dyDescent="0.2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/>
    </row>
    <row r="38" spans="1:20" x14ac:dyDescent="0.2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/>
    </row>
    <row r="39" spans="1:20" x14ac:dyDescent="0.2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/>
      <c r="T39" s="2"/>
    </row>
    <row r="40" spans="1:20" x14ac:dyDescent="0.2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/>
    </row>
    <row r="41" spans="1:20" x14ac:dyDescent="0.2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/>
    </row>
    <row r="42" spans="1:20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20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20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0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20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20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20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 s="40" t="s">
        <v>1</v>
      </c>
    </row>
    <row r="68" spans="1:19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 s="40" t="s">
        <v>1</v>
      </c>
    </row>
    <row r="69" spans="1:19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 s="40" t="s">
        <v>1</v>
      </c>
    </row>
    <row r="70" spans="1:19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1:19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9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9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9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9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9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9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9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9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1:19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1:18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1:18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1:18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1:18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1:18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1:18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1:18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1:18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1:18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1:18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1:18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1:18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1:18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1:18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1:18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1:18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1:18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1:18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1:18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1:18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1:18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1:18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1:18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1:18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1:18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1:18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1:18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</row>
    <row r="109" spans="1:18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1:18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1:18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1:18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1:18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1:18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1:18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1:18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1:18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</row>
    <row r="118" spans="1:18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1:18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1:18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1:18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1:18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1:18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 spans="1:18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 spans="1:18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 spans="1:18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</row>
    <row r="127" spans="1:18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</row>
    <row r="128" spans="1:18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</row>
    <row r="129" spans="1:18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</row>
    <row r="130" spans="1:18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</row>
    <row r="131" spans="1:18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</row>
    <row r="132" spans="1:18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</row>
    <row r="133" spans="1:18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</row>
    <row r="134" spans="1:18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</row>
    <row r="135" spans="1:18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</row>
    <row r="136" spans="1:18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</row>
    <row r="137" spans="1:18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</row>
    <row r="138" spans="1:18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</row>
    <row r="139" spans="1:18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</row>
    <row r="140" spans="1:18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</row>
    <row r="141" spans="1:18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</row>
    <row r="142" spans="1:18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</row>
    <row r="143" spans="1:18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</row>
    <row r="144" spans="1:18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</row>
    <row r="145" spans="1:18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</row>
    <row r="146" spans="1:18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</row>
    <row r="147" spans="1:18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</row>
    <row r="148" spans="1:18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</row>
    <row r="149" spans="1:18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</row>
    <row r="150" spans="1:18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</row>
    <row r="151" spans="1:18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</row>
    <row r="152" spans="1:18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</row>
    <row r="153" spans="1:18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</row>
    <row r="154" spans="1:18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</row>
    <row r="155" spans="1:18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</row>
    <row r="156" spans="1:18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</row>
    <row r="157" spans="1:18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</row>
    <row r="158" spans="1:18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</row>
    <row r="159" spans="1:18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</row>
    <row r="160" spans="1:18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</row>
    <row r="161" spans="1:18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</row>
    <row r="162" spans="1:18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</row>
    <row r="163" spans="1:18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</row>
    <row r="164" spans="1:18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</row>
  </sheetData>
  <sheetProtection password="F88E" sheet="1" objects="1" scenarios="1" formatColumns="0"/>
  <customSheetViews>
    <customSheetView guid="{4BF10618-D357-11D5-9338-EFF21189730A}" showGridLines="0" showRuler="0" topLeftCell="J1">
      <selection activeCell="R3" sqref="R3"/>
      <pageMargins left="0.48" right="0.51181102362204722" top="0.68" bottom="0.98425196850393704" header="0" footer="0"/>
      <printOptions horizontalCentered="1"/>
      <pageSetup scale="55" orientation="landscape" horizontalDpi="300" verticalDpi="300" r:id="rId1"/>
      <headerFooter alignWithMargins="0"/>
    </customSheetView>
  </customSheetViews>
  <mergeCells count="4">
    <mergeCell ref="A1:H1"/>
    <mergeCell ref="A2:H2"/>
    <mergeCell ref="A3:H3"/>
    <mergeCell ref="A4:H4"/>
  </mergeCells>
  <phoneticPr fontId="11" type="noConversion"/>
  <printOptions horizontalCentered="1"/>
  <pageMargins left="0.48" right="0.51181102362204722" top="0.68" bottom="0.98425196850393704" header="0" footer="0"/>
  <pageSetup scale="55" orientation="landscape" horizontalDpi="300" verticalDpi="30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Q84"/>
  <sheetViews>
    <sheetView showGridLines="0" showOutlineSymbols="0" topLeftCell="A7" workbookViewId="0">
      <selection activeCell="H25" sqref="H25"/>
    </sheetView>
  </sheetViews>
  <sheetFormatPr baseColWidth="10" defaultRowHeight="12.75" x14ac:dyDescent="0.2"/>
  <cols>
    <col min="1" max="1" width="27.85546875" style="1" bestFit="1" customWidth="1"/>
    <col min="2" max="16384" width="11.42578125" style="1"/>
  </cols>
  <sheetData>
    <row r="1" spans="1:17" ht="18" x14ac:dyDescent="0.25">
      <c r="A1" s="662" t="str">
        <f>'presupuesto compras y ventas'!A1:F1</f>
        <v>PREFACTIBILIDAD PARA LA CREACIÓN DE UN PRODUCTO; PARA LA FABRICACION DE BLOQUE CON COMPONENTE DE MATERIAL PET</v>
      </c>
      <c r="B1" s="662"/>
      <c r="C1" s="662"/>
      <c r="D1" s="662"/>
      <c r="E1" s="662"/>
      <c r="F1" s="662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153"/>
    </row>
    <row r="2" spans="1:17" x14ac:dyDescent="0.2">
      <c r="A2" s="666" t="s">
        <v>362</v>
      </c>
      <c r="B2" s="666"/>
      <c r="C2" s="666"/>
      <c r="D2" s="666"/>
      <c r="E2" s="666"/>
      <c r="F2" s="666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153"/>
    </row>
    <row r="3" spans="1:17" x14ac:dyDescent="0.2">
      <c r="A3" s="667" t="str">
        <f>IF(Inicio!$E$51="Años","En Años","En Meses")</f>
        <v>En Años</v>
      </c>
      <c r="B3" s="667"/>
      <c r="C3" s="667"/>
      <c r="D3" s="667"/>
      <c r="E3" s="667"/>
      <c r="F3" s="667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47"/>
    </row>
    <row r="4" spans="1:17" ht="13.5" thickBot="1" x14ac:dyDescent="0.25">
      <c r="A4" s="668" t="s">
        <v>276</v>
      </c>
      <c r="B4" s="668"/>
      <c r="C4" s="668"/>
      <c r="D4" s="668"/>
      <c r="E4" s="668"/>
      <c r="F4" s="668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153"/>
    </row>
    <row r="5" spans="1:17" ht="13.5" thickBot="1" x14ac:dyDescent="0.25">
      <c r="A5" s="240" t="s">
        <v>44</v>
      </c>
      <c r="B5" s="249">
        <v>1</v>
      </c>
      <c r="C5" s="249">
        <v>2</v>
      </c>
      <c r="D5" s="249">
        <v>3</v>
      </c>
      <c r="E5" s="249">
        <v>4</v>
      </c>
      <c r="F5" s="249">
        <v>5</v>
      </c>
      <c r="G5" s="249">
        <v>6</v>
      </c>
      <c r="H5" s="249">
        <v>7</v>
      </c>
      <c r="I5" s="249">
        <v>8</v>
      </c>
      <c r="J5" s="249">
        <v>9</v>
      </c>
      <c r="K5" s="249">
        <v>10</v>
      </c>
      <c r="L5" s="249">
        <v>11</v>
      </c>
      <c r="M5" s="249">
        <v>12</v>
      </c>
      <c r="N5" s="249">
        <v>13</v>
      </c>
      <c r="O5" s="249">
        <v>14</v>
      </c>
      <c r="P5" s="249">
        <v>15</v>
      </c>
      <c r="Q5" s="230"/>
    </row>
    <row r="6" spans="1:17" x14ac:dyDescent="0.2">
      <c r="A6" s="242" t="str">
        <f>Inicio!C179</f>
        <v>Honorarios</v>
      </c>
      <c r="B6" s="176">
        <f>IF(Inicio!$E$51="Años",(Inicio!D179*12),Inicio!D179)</f>
        <v>12000</v>
      </c>
      <c r="C6" s="250">
        <f>IF(C$5&lt;=Inicio!$E$49,+(B6*$B$25)+B6,0)</f>
        <v>12300</v>
      </c>
      <c r="D6" s="250">
        <f>IF(D$5&lt;=Inicio!$E$49,+(C6*$C$25)+C6,0)</f>
        <v>12607.5</v>
      </c>
      <c r="E6" s="250">
        <f>IF(E$5&lt;=Inicio!$E$49,+(D6*$D$25)+D6,0)</f>
        <v>12922.6875</v>
      </c>
      <c r="F6" s="250">
        <f>IF(F$5&lt;=Inicio!$E$49,+(E6*$E$25)+E6,0)</f>
        <v>13245.754687500001</v>
      </c>
      <c r="G6" s="250">
        <f>IF(G$5&lt;=Inicio!$E$49,+(F6*$E$25)+F6,0)</f>
        <v>0</v>
      </c>
      <c r="H6" s="250">
        <f>IF(H$5&lt;=Inicio!$E$49,+(G6*$E$25)+G6,0)</f>
        <v>0</v>
      </c>
      <c r="I6" s="250">
        <f>IF(I$5&lt;=Inicio!$E$49,+(H6*$E$25)+H6,0)</f>
        <v>0</v>
      </c>
      <c r="J6" s="250">
        <f>IF(J$5&lt;=Inicio!$E$49,+(I6*$E$25)+I6,0)</f>
        <v>0</v>
      </c>
      <c r="K6" s="250">
        <f>IF(K$5&lt;=Inicio!$E$49,+(J6*$E$25)+J6,0)</f>
        <v>0</v>
      </c>
      <c r="L6" s="250">
        <f>IF(L$5&lt;=Inicio!$E$49,+(K6*$E$25)+K6,0)</f>
        <v>0</v>
      </c>
      <c r="M6" s="250">
        <f>IF(M$5&lt;=Inicio!$E$49,+(L6*$E$25)+L6,0)</f>
        <v>0</v>
      </c>
      <c r="N6" s="250">
        <f>IF(N$5&lt;=Inicio!$E$49,+(M6*$E$25)+M6,0)</f>
        <v>0</v>
      </c>
      <c r="O6" s="250">
        <f>IF(O$5&lt;=Inicio!$E$49,+(N6*$E$25)+N6,0)</f>
        <v>0</v>
      </c>
      <c r="P6" s="239">
        <f>IF(P$5&lt;=Inicio!$E$49,+(O6*$E$25)+O6,0)</f>
        <v>0</v>
      </c>
      <c r="Q6" s="230"/>
    </row>
    <row r="7" spans="1:17" x14ac:dyDescent="0.2">
      <c r="A7" s="242" t="str">
        <f>Inicio!C180</f>
        <v>Impuestos</v>
      </c>
      <c r="B7" s="176">
        <f>IF(Inicio!$E$51="Años",(Inicio!D180*12),Inicio!D180)</f>
        <v>6000</v>
      </c>
      <c r="C7" s="250">
        <f>IF(C$5&lt;=Inicio!$E$49,+(B7*$B$25)+B7,0)</f>
        <v>6150</v>
      </c>
      <c r="D7" s="250">
        <f>IF(D$5&lt;=Inicio!$E$49,+(C7*$C$25)+C7,0)</f>
        <v>6303.75</v>
      </c>
      <c r="E7" s="250">
        <f>IF(E$5&lt;=Inicio!$E$49,+(D7*$D$25)+D7,0)</f>
        <v>6461.34375</v>
      </c>
      <c r="F7" s="250">
        <f>IF(F$5&lt;=Inicio!$E$49,+(E7*$E$25)+E7,0)</f>
        <v>6622.8773437500004</v>
      </c>
      <c r="G7" s="250">
        <f>IF(G$5&lt;=Inicio!$E$49,+(F7*$E$25)+F7,0)</f>
        <v>0</v>
      </c>
      <c r="H7" s="250">
        <f>IF(H$5&lt;=Inicio!$E$49,+(G7*$E$25)+G7,0)</f>
        <v>0</v>
      </c>
      <c r="I7" s="250">
        <f>IF(I$5&lt;=Inicio!$E$49,+(H7*$E$25)+H7,0)</f>
        <v>0</v>
      </c>
      <c r="J7" s="250">
        <f>IF(J$5&lt;=Inicio!$E$49,+(I7*$E$25)+I7,0)</f>
        <v>0</v>
      </c>
      <c r="K7" s="250">
        <f>IF(K$5&lt;=Inicio!$E$49,+(J7*$E$25)+J7,0)</f>
        <v>0</v>
      </c>
      <c r="L7" s="250">
        <f>IF(L$5&lt;=Inicio!$E$49,+(K7*$E$25)+K7,0)</f>
        <v>0</v>
      </c>
      <c r="M7" s="250">
        <f>IF(M$5&lt;=Inicio!$E$49,+(L7*$E$25)+L7,0)</f>
        <v>0</v>
      </c>
      <c r="N7" s="250">
        <f>IF(N$5&lt;=Inicio!$E$49,+(M7*$E$25)+M7,0)</f>
        <v>0</v>
      </c>
      <c r="O7" s="250">
        <f>IF(O$5&lt;=Inicio!$E$49,+(N7*$E$25)+N7,0)</f>
        <v>0</v>
      </c>
      <c r="P7" s="239">
        <f>IF(P$5&lt;=Inicio!$E$49,+(O7*$E$25)+O7,0)</f>
        <v>0</v>
      </c>
      <c r="Q7" s="230"/>
    </row>
    <row r="8" spans="1:17" x14ac:dyDescent="0.2">
      <c r="A8" s="242" t="str">
        <f>Inicio!C181</f>
        <v>Arrendamiento</v>
      </c>
      <c r="B8" s="176">
        <f>IF(Inicio!$E$51="Años",(Inicio!D181*12),Inicio!D181)</f>
        <v>33000</v>
      </c>
      <c r="C8" s="250">
        <f>IF(C$5&lt;=Inicio!$E$49,+(B8*$B$25)+B8,0)</f>
        <v>33825</v>
      </c>
      <c r="D8" s="250">
        <f>IF(D$5&lt;=Inicio!$E$49,+(C8*$C$25)+C8,0)</f>
        <v>34670.625</v>
      </c>
      <c r="E8" s="250">
        <f>IF(E$5&lt;=Inicio!$E$49,+(D8*$D$25)+D8,0)</f>
        <v>35537.390625</v>
      </c>
      <c r="F8" s="250">
        <f>IF(F$5&lt;=Inicio!$E$49,+(E8*$E$25)+E8,0)</f>
        <v>36425.825390625003</v>
      </c>
      <c r="G8" s="250">
        <f>IF(G$5&lt;=Inicio!$E$49,+(F8*$E$25)+F8,0)</f>
        <v>0</v>
      </c>
      <c r="H8" s="250">
        <f>IF(H$5&lt;=Inicio!$E$49,+(G8*$E$25)+G8,0)</f>
        <v>0</v>
      </c>
      <c r="I8" s="250">
        <f>IF(I$5&lt;=Inicio!$E$49,+(H8*$E$25)+H8,0)</f>
        <v>0</v>
      </c>
      <c r="J8" s="250">
        <f>IF(J$5&lt;=Inicio!$E$49,+(I8*$E$25)+I8,0)</f>
        <v>0</v>
      </c>
      <c r="K8" s="250">
        <f>IF(K$5&lt;=Inicio!$E$49,+(J8*$E$25)+J8,0)</f>
        <v>0</v>
      </c>
      <c r="L8" s="250">
        <f>IF(L$5&lt;=Inicio!$E$49,+(K8*$E$25)+K8,0)</f>
        <v>0</v>
      </c>
      <c r="M8" s="250">
        <f>IF(M$5&lt;=Inicio!$E$49,+(L8*$E$25)+L8,0)</f>
        <v>0</v>
      </c>
      <c r="N8" s="250">
        <f>IF(N$5&lt;=Inicio!$E$49,+(M8*$E$25)+M8,0)</f>
        <v>0</v>
      </c>
      <c r="O8" s="250">
        <f>IF(O$5&lt;=Inicio!$E$49,+(N8*$E$25)+N8,0)</f>
        <v>0</v>
      </c>
      <c r="P8" s="239">
        <f>IF(P$5&lt;=Inicio!$E$49,+(O8*$E$25)+O8,0)</f>
        <v>0</v>
      </c>
      <c r="Q8" s="230"/>
    </row>
    <row r="9" spans="1:17" x14ac:dyDescent="0.2">
      <c r="A9" s="242" t="str">
        <f>Inicio!C182</f>
        <v>Seguros</v>
      </c>
      <c r="B9" s="176">
        <f>IF(Inicio!$E$51="Años",(Inicio!D182*12),Inicio!D182)</f>
        <v>0</v>
      </c>
      <c r="C9" s="250">
        <f>IF(C$5&lt;=Inicio!$E$49,+(B9*$B$25)+B9,0)</f>
        <v>0</v>
      </c>
      <c r="D9" s="250">
        <f>IF(D$5&lt;=Inicio!$E$49,+(C9*$C$25)+C9,0)</f>
        <v>0</v>
      </c>
      <c r="E9" s="250">
        <f>IF(E$5&lt;=Inicio!$E$49,+(D9*$D$25)+D9,0)</f>
        <v>0</v>
      </c>
      <c r="F9" s="250">
        <f>IF(F$5&lt;=Inicio!$E$49,+(E9*$E$25)+E9,0)</f>
        <v>0</v>
      </c>
      <c r="G9" s="250">
        <f>IF(G$5&lt;=Inicio!$E$49,+(F9*$E$25)+F9,0)</f>
        <v>0</v>
      </c>
      <c r="H9" s="250">
        <f>IF(H$5&lt;=Inicio!$E$49,+(G9*$E$25)+G9,0)</f>
        <v>0</v>
      </c>
      <c r="I9" s="250">
        <f>IF(I$5&lt;=Inicio!$E$49,+(H9*$E$25)+H9,0)</f>
        <v>0</v>
      </c>
      <c r="J9" s="250">
        <f>IF(J$5&lt;=Inicio!$E$49,+(I9*$E$25)+I9,0)</f>
        <v>0</v>
      </c>
      <c r="K9" s="250">
        <f>IF(K$5&lt;=Inicio!$E$49,+(J9*$E$25)+J9,0)</f>
        <v>0</v>
      </c>
      <c r="L9" s="250">
        <f>IF(L$5&lt;=Inicio!$E$49,+(K9*$E$25)+K9,0)</f>
        <v>0</v>
      </c>
      <c r="M9" s="250">
        <f>IF(M$5&lt;=Inicio!$E$49,+(L9*$E$25)+L9,0)</f>
        <v>0</v>
      </c>
      <c r="N9" s="250">
        <f>IF(N$5&lt;=Inicio!$E$49,+(M9*$E$25)+M9,0)</f>
        <v>0</v>
      </c>
      <c r="O9" s="250">
        <f>IF(O$5&lt;=Inicio!$E$49,+(N9*$E$25)+N9,0)</f>
        <v>0</v>
      </c>
      <c r="P9" s="239">
        <f>IF(P$5&lt;=Inicio!$E$49,+(O9*$E$25)+O9,0)</f>
        <v>0</v>
      </c>
      <c r="Q9" s="230"/>
    </row>
    <row r="10" spans="1:17" x14ac:dyDescent="0.2">
      <c r="A10" s="242" t="str">
        <f>Inicio!C183</f>
        <v>Servicios  Públicos</v>
      </c>
      <c r="B10" s="176">
        <f>IF(Inicio!$E$51="Años",(Inicio!D183*12),Inicio!D183)</f>
        <v>16200</v>
      </c>
      <c r="C10" s="250">
        <f>IF(C$5&lt;=Inicio!$E$49,+(B10*$B$25)+B10,0)</f>
        <v>16605</v>
      </c>
      <c r="D10" s="250">
        <f>IF(D$5&lt;=Inicio!$E$49,+(C10*$C$25)+C10,0)</f>
        <v>17020.125</v>
      </c>
      <c r="E10" s="250">
        <f>IF(E$5&lt;=Inicio!$E$49,+(D10*$D$25)+D10,0)</f>
        <v>17445.628124999999</v>
      </c>
      <c r="F10" s="250">
        <f>IF(F$5&lt;=Inicio!$E$49,+(E10*$E$25)+E10,0)</f>
        <v>17881.768828124998</v>
      </c>
      <c r="G10" s="250">
        <f>IF(G$5&lt;=Inicio!$E$49,+(F10*$E$25)+F10,0)</f>
        <v>0</v>
      </c>
      <c r="H10" s="250">
        <f>IF(H$5&lt;=Inicio!$E$49,+(G10*$E$25)+G10,0)</f>
        <v>0</v>
      </c>
      <c r="I10" s="250">
        <f>IF(I$5&lt;=Inicio!$E$49,+(H10*$E$25)+H10,0)</f>
        <v>0</v>
      </c>
      <c r="J10" s="250">
        <f>IF(J$5&lt;=Inicio!$E$49,+(I10*$E$25)+I10,0)</f>
        <v>0</v>
      </c>
      <c r="K10" s="250">
        <f>IF(K$5&lt;=Inicio!$E$49,+(J10*$E$25)+J10,0)</f>
        <v>0</v>
      </c>
      <c r="L10" s="250">
        <f>IF(L$5&lt;=Inicio!$E$49,+(K10*$E$25)+K10,0)</f>
        <v>0</v>
      </c>
      <c r="M10" s="250">
        <f>IF(M$5&lt;=Inicio!$E$49,+(L10*$E$25)+L10,0)</f>
        <v>0</v>
      </c>
      <c r="N10" s="250">
        <f>IF(N$5&lt;=Inicio!$E$49,+(M10*$E$25)+M10,0)</f>
        <v>0</v>
      </c>
      <c r="O10" s="250">
        <f>IF(O$5&lt;=Inicio!$E$49,+(N10*$E$25)+N10,0)</f>
        <v>0</v>
      </c>
      <c r="P10" s="239">
        <f>IF(P$5&lt;=Inicio!$E$49,+(O10*$E$25)+O10,0)</f>
        <v>0</v>
      </c>
      <c r="Q10" s="230"/>
    </row>
    <row r="11" spans="1:17" x14ac:dyDescent="0.2">
      <c r="A11" s="242" t="str">
        <f>Inicio!C184</f>
        <v>Servicios Transporte y Acarreos</v>
      </c>
      <c r="B11" s="176">
        <f>IF(Inicio!$E$51="Años",(Inicio!D184*12),Inicio!D184)</f>
        <v>0</v>
      </c>
      <c r="C11" s="250">
        <f>IF(C$5&lt;=Inicio!$E$49,+(B11*$B$25)+B11,0)</f>
        <v>0</v>
      </c>
      <c r="D11" s="250">
        <f>IF(D$5&lt;=Inicio!$E$49,+(C11*$C$25)+C11,0)</f>
        <v>0</v>
      </c>
      <c r="E11" s="250">
        <f>IF(E$5&lt;=Inicio!$E$49,+(D11*$D$25)+D11,0)</f>
        <v>0</v>
      </c>
      <c r="F11" s="250">
        <f>IF(F$5&lt;=Inicio!$E$49,+(E11*$E$25)+E11,0)</f>
        <v>0</v>
      </c>
      <c r="G11" s="250">
        <f>IF(G$5&lt;=Inicio!$E$49,+(F11*$E$25)+F11,0)</f>
        <v>0</v>
      </c>
      <c r="H11" s="250">
        <f>IF(H$5&lt;=Inicio!$E$49,+(G11*$E$25)+G11,0)</f>
        <v>0</v>
      </c>
      <c r="I11" s="250">
        <f>IF(I$5&lt;=Inicio!$E$49,+(H11*$E$25)+H11,0)</f>
        <v>0</v>
      </c>
      <c r="J11" s="250">
        <f>IF(J$5&lt;=Inicio!$E$49,+(I11*$E$25)+I11,0)</f>
        <v>0</v>
      </c>
      <c r="K11" s="250">
        <f>IF(K$5&lt;=Inicio!$E$49,+(J11*$E$25)+J11,0)</f>
        <v>0</v>
      </c>
      <c r="L11" s="250">
        <f>IF(L$5&lt;=Inicio!$E$49,+(K11*$E$25)+K11,0)</f>
        <v>0</v>
      </c>
      <c r="M11" s="250">
        <f>IF(M$5&lt;=Inicio!$E$49,+(L11*$E$25)+L11,0)</f>
        <v>0</v>
      </c>
      <c r="N11" s="250">
        <f>IF(N$5&lt;=Inicio!$E$49,+(M11*$E$25)+M11,0)</f>
        <v>0</v>
      </c>
      <c r="O11" s="250">
        <f>IF(O$5&lt;=Inicio!$E$49,+(N11*$E$25)+N11,0)</f>
        <v>0</v>
      </c>
      <c r="P11" s="239">
        <f>IF(P$5&lt;=Inicio!$E$49,+(O11*$E$25)+O11,0)</f>
        <v>0</v>
      </c>
      <c r="Q11" s="230"/>
    </row>
    <row r="12" spans="1:17" x14ac:dyDescent="0.2">
      <c r="A12" s="242" t="str">
        <f>Inicio!C185</f>
        <v>Gastos Legales</v>
      </c>
      <c r="B12" s="176">
        <f>IF(Inicio!$E$51="Años",(Inicio!D185*12),Inicio!D185)</f>
        <v>0</v>
      </c>
      <c r="C12" s="250">
        <f>IF(C$5&lt;=Inicio!$E$49,+(B12*$B$25)+B12,0)</f>
        <v>0</v>
      </c>
      <c r="D12" s="250">
        <f>IF(D$5&lt;=Inicio!$E$49,+(C12*$C$25)+C12,0)</f>
        <v>0</v>
      </c>
      <c r="E12" s="250">
        <f>IF(E$5&lt;=Inicio!$E$49,+(D12*$D$25)+D12,0)</f>
        <v>0</v>
      </c>
      <c r="F12" s="250">
        <f>IF(F$5&lt;=Inicio!$E$49,+(E12*$E$25)+E12,0)</f>
        <v>0</v>
      </c>
      <c r="G12" s="250">
        <f>IF(G$5&lt;=Inicio!$E$49,+(F12*$E$25)+F12,0)</f>
        <v>0</v>
      </c>
      <c r="H12" s="250">
        <f>IF(H$5&lt;=Inicio!$E$49,+(G12*$E$25)+G12,0)</f>
        <v>0</v>
      </c>
      <c r="I12" s="250">
        <f>IF(I$5&lt;=Inicio!$E$49,+(H12*$E$25)+H12,0)</f>
        <v>0</v>
      </c>
      <c r="J12" s="250">
        <f>IF(J$5&lt;=Inicio!$E$49,+(I12*$E$25)+I12,0)</f>
        <v>0</v>
      </c>
      <c r="K12" s="250">
        <f>IF(K$5&lt;=Inicio!$E$49,+(J12*$E$25)+J12,0)</f>
        <v>0</v>
      </c>
      <c r="L12" s="250">
        <f>IF(L$5&lt;=Inicio!$E$49,+(K12*$E$25)+K12,0)</f>
        <v>0</v>
      </c>
      <c r="M12" s="250">
        <f>IF(M$5&lt;=Inicio!$E$49,+(L12*$E$25)+L12,0)</f>
        <v>0</v>
      </c>
      <c r="N12" s="250">
        <f>IF(N$5&lt;=Inicio!$E$49,+(M12*$E$25)+M12,0)</f>
        <v>0</v>
      </c>
      <c r="O12" s="250">
        <f>IF(O$5&lt;=Inicio!$E$49,+(N12*$E$25)+N12,0)</f>
        <v>0</v>
      </c>
      <c r="P12" s="239">
        <f>IF(P$5&lt;=Inicio!$E$49,+(O12*$E$25)+O12,0)</f>
        <v>0</v>
      </c>
      <c r="Q12" s="230"/>
    </row>
    <row r="13" spans="1:17" x14ac:dyDescent="0.2">
      <c r="A13" s="242" t="str">
        <f>Inicio!C186</f>
        <v>Mantenimiento Reparaciones</v>
      </c>
      <c r="B13" s="176">
        <f>IF(Inicio!$E$51="Años",(Inicio!D186*12),Inicio!D186)</f>
        <v>4500</v>
      </c>
      <c r="C13" s="250">
        <f>IF(C$5&lt;=Inicio!$E$49,+(B13*$B$25)+B13,0)</f>
        <v>4612.5</v>
      </c>
      <c r="D13" s="250">
        <f>IF(D$5&lt;=Inicio!$E$49,+(C13*$C$25)+C13,0)</f>
        <v>4727.8125</v>
      </c>
      <c r="E13" s="250">
        <f>IF(E$5&lt;=Inicio!$E$49,+(D13*$D$25)+D13,0)</f>
        <v>4846.0078125</v>
      </c>
      <c r="F13" s="250">
        <f>IF(F$5&lt;=Inicio!$E$49,+(E13*$E$25)+E13,0)</f>
        <v>4967.1580078124998</v>
      </c>
      <c r="G13" s="250">
        <f>IF(G$5&lt;=Inicio!$E$49,+(F13*$E$25)+F13,0)</f>
        <v>0</v>
      </c>
      <c r="H13" s="250">
        <f>IF(H$5&lt;=Inicio!$E$49,+(G13*$E$25)+G13,0)</f>
        <v>0</v>
      </c>
      <c r="I13" s="250">
        <f>IF(I$5&lt;=Inicio!$E$49,+(H13*$E$25)+H13,0)</f>
        <v>0</v>
      </c>
      <c r="J13" s="250">
        <f>IF(J$5&lt;=Inicio!$E$49,+(I13*$E$25)+I13,0)</f>
        <v>0</v>
      </c>
      <c r="K13" s="250">
        <f>IF(K$5&lt;=Inicio!$E$49,+(J13*$E$25)+J13,0)</f>
        <v>0</v>
      </c>
      <c r="L13" s="250">
        <f>IF(L$5&lt;=Inicio!$E$49,+(K13*$E$25)+K13,0)</f>
        <v>0</v>
      </c>
      <c r="M13" s="250">
        <f>IF(M$5&lt;=Inicio!$E$49,+(L13*$E$25)+L13,0)</f>
        <v>0</v>
      </c>
      <c r="N13" s="250">
        <f>IF(N$5&lt;=Inicio!$E$49,+(M13*$E$25)+M13,0)</f>
        <v>0</v>
      </c>
      <c r="O13" s="250">
        <f>IF(O$5&lt;=Inicio!$E$49,+(N13*$E$25)+N13,0)</f>
        <v>0</v>
      </c>
      <c r="P13" s="239">
        <f>IF(P$5&lt;=Inicio!$E$49,+(O13*$E$25)+O13,0)</f>
        <v>0</v>
      </c>
      <c r="Q13" s="230"/>
    </row>
    <row r="14" spans="1:17" x14ac:dyDescent="0.2">
      <c r="A14" s="242" t="str">
        <f>Inicio!C187</f>
        <v>Gastos de Viaje</v>
      </c>
      <c r="B14" s="176">
        <f>IF(Inicio!$E$51="Años",(Inicio!D187*12),Inicio!D187)</f>
        <v>0</v>
      </c>
      <c r="C14" s="250">
        <f>IF(C$5&lt;=Inicio!$E$49,+(B14*$B$25)+B14,0)</f>
        <v>0</v>
      </c>
      <c r="D14" s="250">
        <f>IF(D$5&lt;=Inicio!$E$49,+(C14*$C$25)+C14,0)</f>
        <v>0</v>
      </c>
      <c r="E14" s="250">
        <f>IF(E$5&lt;=Inicio!$E$49,+(D14*$D$25)+D14,0)</f>
        <v>0</v>
      </c>
      <c r="F14" s="250">
        <f>IF(F$5&lt;=Inicio!$E$49,+(E14*$E$25)+E14,0)</f>
        <v>0</v>
      </c>
      <c r="G14" s="250">
        <f>IF(G$5&lt;=Inicio!$E$49,+(F14*$E$25)+F14,0)</f>
        <v>0</v>
      </c>
      <c r="H14" s="250">
        <f>IF(H$5&lt;=Inicio!$E$49,+(G14*$E$25)+G14,0)</f>
        <v>0</v>
      </c>
      <c r="I14" s="250">
        <f>IF(I$5&lt;=Inicio!$E$49,+(H14*$E$25)+H14,0)</f>
        <v>0</v>
      </c>
      <c r="J14" s="250">
        <f>IF(J$5&lt;=Inicio!$E$49,+(I14*$E$25)+I14,0)</f>
        <v>0</v>
      </c>
      <c r="K14" s="250">
        <f>IF(K$5&lt;=Inicio!$E$49,+(J14*$E$25)+J14,0)</f>
        <v>0</v>
      </c>
      <c r="L14" s="250">
        <f>IF(L$5&lt;=Inicio!$E$49,+(K14*$E$25)+K14,0)</f>
        <v>0</v>
      </c>
      <c r="M14" s="250">
        <f>IF(M$5&lt;=Inicio!$E$49,+(L14*$E$25)+L14,0)</f>
        <v>0</v>
      </c>
      <c r="N14" s="250">
        <f>IF(N$5&lt;=Inicio!$E$49,+(M14*$E$25)+M14,0)</f>
        <v>0</v>
      </c>
      <c r="O14" s="250">
        <f>IF(O$5&lt;=Inicio!$E$49,+(N14*$E$25)+N14,0)</f>
        <v>0</v>
      </c>
      <c r="P14" s="239">
        <f>IF(P$5&lt;=Inicio!$E$49,+(O14*$E$25)+O14,0)</f>
        <v>0</v>
      </c>
      <c r="Q14" s="230"/>
    </row>
    <row r="15" spans="1:17" x14ac:dyDescent="0.2">
      <c r="A15" s="242" t="str">
        <f>Inicio!C188</f>
        <v>Propaganda y Publicidad</v>
      </c>
      <c r="B15" s="176">
        <f>IF(Inicio!$E$51="Años",(Inicio!D188*12),Inicio!D188)</f>
        <v>0</v>
      </c>
      <c r="C15" s="250">
        <f>IF(C$5&lt;=Inicio!$E$49,+(B15*$B$25)+B15,0)</f>
        <v>0</v>
      </c>
      <c r="D15" s="250">
        <f>IF(D$5&lt;=Inicio!$E$49,+(C15*$C$25)+C15,0)</f>
        <v>0</v>
      </c>
      <c r="E15" s="250">
        <f>IF(E$5&lt;=Inicio!$E$49,+(D15*$D$25)+D15,0)</f>
        <v>0</v>
      </c>
      <c r="F15" s="250">
        <f>IF(F$5&lt;=Inicio!$E$49,+(E15*$E$25)+E15,0)</f>
        <v>0</v>
      </c>
      <c r="G15" s="250">
        <f>IF(G$5&lt;=Inicio!$E$49,+(F15*$E$25)+F15,0)</f>
        <v>0</v>
      </c>
      <c r="H15" s="250">
        <f>IF(H$5&lt;=Inicio!$E$49,+(G15*$E$25)+G15,0)</f>
        <v>0</v>
      </c>
      <c r="I15" s="250">
        <f>IF(I$5&lt;=Inicio!$E$49,+(H15*$E$25)+H15,0)</f>
        <v>0</v>
      </c>
      <c r="J15" s="250">
        <f>IF(J$5&lt;=Inicio!$E$49,+(I15*$E$25)+I15,0)</f>
        <v>0</v>
      </c>
      <c r="K15" s="250">
        <f>IF(K$5&lt;=Inicio!$E$49,+(J15*$E$25)+J15,0)</f>
        <v>0</v>
      </c>
      <c r="L15" s="250">
        <f>IF(L$5&lt;=Inicio!$E$49,+(K15*$E$25)+K15,0)</f>
        <v>0</v>
      </c>
      <c r="M15" s="250">
        <f>IF(M$5&lt;=Inicio!$E$49,+(L15*$E$25)+L15,0)</f>
        <v>0</v>
      </c>
      <c r="N15" s="250">
        <f>IF(N$5&lt;=Inicio!$E$49,+(M15*$E$25)+M15,0)</f>
        <v>0</v>
      </c>
      <c r="O15" s="250">
        <f>IF(O$5&lt;=Inicio!$E$49,+(N15*$E$25)+N15,0)</f>
        <v>0</v>
      </c>
      <c r="P15" s="239">
        <f>IF(P$5&lt;=Inicio!$E$49,+(O15*$E$25)+O15,0)</f>
        <v>0</v>
      </c>
      <c r="Q15" s="230"/>
    </row>
    <row r="16" spans="1:17" x14ac:dyDescent="0.2">
      <c r="A16" s="242" t="str">
        <f>Inicio!C189</f>
        <v>Elementos de Aseo y Cafetería</v>
      </c>
      <c r="B16" s="176">
        <f>IF(Inicio!$E$51="Años",(Inicio!D189*12),Inicio!D189)</f>
        <v>4200</v>
      </c>
      <c r="C16" s="250">
        <f>IF(C$5&lt;=Inicio!$E$49,+(B16*$B$25)+B16,0)</f>
        <v>4305</v>
      </c>
      <c r="D16" s="250">
        <f>IF(D$5&lt;=Inicio!$E$49,+(C16*$C$25)+C16,0)</f>
        <v>4412.625</v>
      </c>
      <c r="E16" s="250">
        <f>IF(E$5&lt;=Inicio!$E$49,+(D16*$D$25)+D16,0)</f>
        <v>4522.9406250000002</v>
      </c>
      <c r="F16" s="250">
        <f>IF(F$5&lt;=Inicio!$E$49,+(E16*$E$25)+E16,0)</f>
        <v>4636.0141406250004</v>
      </c>
      <c r="G16" s="250">
        <f>IF(G$5&lt;=Inicio!$E$49,+(F16*$E$25)+F16,0)</f>
        <v>0</v>
      </c>
      <c r="H16" s="250">
        <f>IF(H$5&lt;=Inicio!$E$49,+(G16*$E$25)+G16,0)</f>
        <v>0</v>
      </c>
      <c r="I16" s="250">
        <f>IF(I$5&lt;=Inicio!$E$49,+(H16*$E$25)+H16,0)</f>
        <v>0</v>
      </c>
      <c r="J16" s="250">
        <f>IF(J$5&lt;=Inicio!$E$49,+(I16*$E$25)+I16,0)</f>
        <v>0</v>
      </c>
      <c r="K16" s="250">
        <f>IF(K$5&lt;=Inicio!$E$49,+(J16*$E$25)+J16,0)</f>
        <v>0</v>
      </c>
      <c r="L16" s="250">
        <f>IF(L$5&lt;=Inicio!$E$49,+(K16*$E$25)+K16,0)</f>
        <v>0</v>
      </c>
      <c r="M16" s="250">
        <f>IF(M$5&lt;=Inicio!$E$49,+(L16*$E$25)+L16,0)</f>
        <v>0</v>
      </c>
      <c r="N16" s="250">
        <f>IF(N$5&lt;=Inicio!$E$49,+(M16*$E$25)+M16,0)</f>
        <v>0</v>
      </c>
      <c r="O16" s="250">
        <f>IF(O$5&lt;=Inicio!$E$49,+(N16*$E$25)+N16,0)</f>
        <v>0</v>
      </c>
      <c r="P16" s="239">
        <f>IF(P$5&lt;=Inicio!$E$49,+(O16*$E$25)+O16,0)</f>
        <v>0</v>
      </c>
      <c r="Q16" s="230"/>
    </row>
    <row r="17" spans="1:17" x14ac:dyDescent="0.2">
      <c r="A17" s="242" t="str">
        <f>Inicio!C190</f>
        <v>Útiles y Papelería</v>
      </c>
      <c r="B17" s="176">
        <f>IF(Inicio!$E$51="Años",(Inicio!D190*12),Inicio!D190)</f>
        <v>6000</v>
      </c>
      <c r="C17" s="250">
        <f>IF(C$5&lt;=Inicio!$E$49,+(B17*$B$25)+B17,0)</f>
        <v>6150</v>
      </c>
      <c r="D17" s="250">
        <f>IF(D$5&lt;=Inicio!$E$49,+(C17*$C$25)+C17,0)</f>
        <v>6303.75</v>
      </c>
      <c r="E17" s="250">
        <f>IF(E$5&lt;=Inicio!$E$49,+(D17*$D$25)+D17,0)</f>
        <v>6461.34375</v>
      </c>
      <c r="F17" s="250">
        <f>IF(F$5&lt;=Inicio!$E$49,+(E17*$E$25)+E17,0)</f>
        <v>6622.8773437500004</v>
      </c>
      <c r="G17" s="250">
        <f>IF(G$5&lt;=Inicio!$E$49,+(F17*$E$25)+F17,0)</f>
        <v>0</v>
      </c>
      <c r="H17" s="250">
        <f>IF(H$5&lt;=Inicio!$E$49,+(G17*$E$25)+G17,0)</f>
        <v>0</v>
      </c>
      <c r="I17" s="250">
        <f>IF(I$5&lt;=Inicio!$E$49,+(H17*$E$25)+H17,0)</f>
        <v>0</v>
      </c>
      <c r="J17" s="250">
        <f>IF(J$5&lt;=Inicio!$E$49,+(I17*$E$25)+I17,0)</f>
        <v>0</v>
      </c>
      <c r="K17" s="250">
        <f>IF(K$5&lt;=Inicio!$E$49,+(J17*$E$25)+J17,0)</f>
        <v>0</v>
      </c>
      <c r="L17" s="250">
        <f>IF(L$5&lt;=Inicio!$E$49,+(K17*$E$25)+K17,0)</f>
        <v>0</v>
      </c>
      <c r="M17" s="250">
        <f>IF(M$5&lt;=Inicio!$E$49,+(L17*$E$25)+L17,0)</f>
        <v>0</v>
      </c>
      <c r="N17" s="250">
        <f>IF(N$5&lt;=Inicio!$E$49,+(M17*$E$25)+M17,0)</f>
        <v>0</v>
      </c>
      <c r="O17" s="250">
        <f>IF(O$5&lt;=Inicio!$E$49,+(N17*$E$25)+N17,0)</f>
        <v>0</v>
      </c>
      <c r="P17" s="239">
        <f>IF(P$5&lt;=Inicio!$E$49,+(O17*$E$25)+O17,0)</f>
        <v>0</v>
      </c>
      <c r="Q17" s="230"/>
    </row>
    <row r="18" spans="1:17" x14ac:dyDescent="0.2">
      <c r="A18" s="242" t="str">
        <f>Inicio!C191</f>
        <v>Combustibles y Lubricantes</v>
      </c>
      <c r="B18" s="176">
        <f>IF(Inicio!$E$51="Años",(Inicio!D191*12),Inicio!D191)</f>
        <v>9000</v>
      </c>
      <c r="C18" s="250">
        <f>IF(C$5&lt;=Inicio!$E$49,+(B18*$B$25)+B18,0)</f>
        <v>9225</v>
      </c>
      <c r="D18" s="250">
        <f>IF(D$5&lt;=Inicio!$E$49,+(C18*$C$25)+C18,0)</f>
        <v>9455.625</v>
      </c>
      <c r="E18" s="250">
        <f>IF(E$5&lt;=Inicio!$E$49,+(D18*$D$25)+D18,0)</f>
        <v>9692.015625</v>
      </c>
      <c r="F18" s="250">
        <f>IF(F$5&lt;=Inicio!$E$49,+(E18*$E$25)+E18,0)</f>
        <v>9934.3160156249996</v>
      </c>
      <c r="G18" s="250">
        <f>IF(G$5&lt;=Inicio!$E$49,+(F18*$E$25)+F18,0)</f>
        <v>0</v>
      </c>
      <c r="H18" s="250">
        <f>IF(H$5&lt;=Inicio!$E$49,+(G18*$E$25)+G18,0)</f>
        <v>0</v>
      </c>
      <c r="I18" s="250">
        <f>IF(I$5&lt;=Inicio!$E$49,+(H18*$E$25)+H18,0)</f>
        <v>0</v>
      </c>
      <c r="J18" s="250">
        <f>IF(J$5&lt;=Inicio!$E$49,+(I18*$E$25)+I18,0)</f>
        <v>0</v>
      </c>
      <c r="K18" s="250">
        <f>IF(K$5&lt;=Inicio!$E$49,+(J18*$E$25)+J18,0)</f>
        <v>0</v>
      </c>
      <c r="L18" s="250">
        <f>IF(L$5&lt;=Inicio!$E$49,+(K18*$E$25)+K18,0)</f>
        <v>0</v>
      </c>
      <c r="M18" s="250">
        <f>IF(M$5&lt;=Inicio!$E$49,+(L18*$E$25)+L18,0)</f>
        <v>0</v>
      </c>
      <c r="N18" s="250">
        <f>IF(N$5&lt;=Inicio!$E$49,+(M18*$E$25)+M18,0)</f>
        <v>0</v>
      </c>
      <c r="O18" s="250">
        <f>IF(O$5&lt;=Inicio!$E$49,+(N18*$E$25)+N18,0)</f>
        <v>0</v>
      </c>
      <c r="P18" s="239">
        <f>IF(P$5&lt;=Inicio!$E$49,+(O18*$E$25)+O18,0)</f>
        <v>0</v>
      </c>
      <c r="Q18" s="230"/>
    </row>
    <row r="19" spans="1:17" x14ac:dyDescent="0.2">
      <c r="A19" s="242" t="str">
        <f>Inicio!C192</f>
        <v>Envases y Empaques</v>
      </c>
      <c r="B19" s="176">
        <f>IF(Inicio!$E$51="Años",(Inicio!D192*12),Inicio!D192)</f>
        <v>0</v>
      </c>
      <c r="C19" s="250">
        <f>IF(C$5&lt;=Inicio!$E$49,+(B19*$B$25)+B19,0)</f>
        <v>0</v>
      </c>
      <c r="D19" s="250">
        <f>IF(D$5&lt;=Inicio!$E$49,+(C19*$C$25)+C19,0)</f>
        <v>0</v>
      </c>
      <c r="E19" s="250">
        <f>IF(E$5&lt;=Inicio!$E$49,+(D19*$D$25)+D19,0)</f>
        <v>0</v>
      </c>
      <c r="F19" s="250">
        <f>IF(F$5&lt;=Inicio!$E$49,+(E19*$E$25)+E19,0)</f>
        <v>0</v>
      </c>
      <c r="G19" s="250">
        <f>IF(G$5&lt;=Inicio!$E$49,+(F19*$E$25)+F19,0)</f>
        <v>0</v>
      </c>
      <c r="H19" s="250">
        <f>IF(H$5&lt;=Inicio!$E$49,+(G19*$E$25)+G19,0)</f>
        <v>0</v>
      </c>
      <c r="I19" s="250">
        <f>IF(I$5&lt;=Inicio!$E$49,+(H19*$E$25)+H19,0)</f>
        <v>0</v>
      </c>
      <c r="J19" s="250">
        <f>IF(J$5&lt;=Inicio!$E$49,+(I19*$E$25)+I19,0)</f>
        <v>0</v>
      </c>
      <c r="K19" s="250">
        <f>IF(K$5&lt;=Inicio!$E$49,+(J19*$E$25)+J19,0)</f>
        <v>0</v>
      </c>
      <c r="L19" s="250">
        <f>IF(L$5&lt;=Inicio!$E$49,+(K19*$E$25)+K19,0)</f>
        <v>0</v>
      </c>
      <c r="M19" s="250">
        <f>IF(M$5&lt;=Inicio!$E$49,+(L19*$E$25)+L19,0)</f>
        <v>0</v>
      </c>
      <c r="N19" s="250">
        <f>IF(N$5&lt;=Inicio!$E$49,+(M19*$E$25)+M19,0)</f>
        <v>0</v>
      </c>
      <c r="O19" s="250">
        <f>IF(O$5&lt;=Inicio!$E$49,+(N19*$E$25)+N19,0)</f>
        <v>0</v>
      </c>
      <c r="P19" s="239">
        <f>IF(P$5&lt;=Inicio!$E$49,+(O19*$E$25)+O19,0)</f>
        <v>0</v>
      </c>
      <c r="Q19" s="230"/>
    </row>
    <row r="20" spans="1:17" x14ac:dyDescent="0.2">
      <c r="A20" s="242" t="str">
        <f>Inicio!C193</f>
        <v>Comisiones Contado  %</v>
      </c>
      <c r="B20" s="238">
        <f>IF(Inicio!$E$49&gt;=B5,(IF(Inicio!$E$51="AÑOS",((+$B$24*'presupuesto compras y ventas'!B56)+($D$24*'presupuesto compras y ventas'!B55)),($B$24*'presupuesto compras y ventas'!$B$53)+('gastos generales'!$D$24*'presupuesto compras y ventas'!$B$52))),0)</f>
        <v>0</v>
      </c>
      <c r="C20" s="238">
        <f>IF(Inicio!$E$49&gt;=C5,(IF(Inicio!$E$51="AÑOS",((+$B$24*'presupuesto compras y ventas'!C56)+($D$24*'presupuesto compras y ventas'!C55)),($B$24*'presupuesto compras y ventas'!$B$53)+('gastos generales'!$D$24*'presupuesto compras y ventas'!$B$52))),0)</f>
        <v>0</v>
      </c>
      <c r="D20" s="238">
        <f>IF(Inicio!$E$49&gt;=D5,(IF(Inicio!$E$51="AÑOS",((+$B$24*'presupuesto compras y ventas'!D56)+($D$24*'presupuesto compras y ventas'!D55)),($B$24*'presupuesto compras y ventas'!$B$53)+('gastos generales'!$D$24*'presupuesto compras y ventas'!$B$52))),0)</f>
        <v>0</v>
      </c>
      <c r="E20" s="238">
        <f>IF(Inicio!$E$49&gt;=E5,(IF(Inicio!$E$51="AÑOS",((+$B$24*'presupuesto compras y ventas'!E56)+($D$24*'presupuesto compras y ventas'!E55)),($B$24*'presupuesto compras y ventas'!$B$53)+('gastos generales'!$D$24*'presupuesto compras y ventas'!$B$52))),0)</f>
        <v>0</v>
      </c>
      <c r="F20" s="238">
        <f>IF(Inicio!$E$49&gt;=F5,(IF(Inicio!$E$51="AÑOS",((+$B$24*'presupuesto compras y ventas'!F56)+($D$24*'presupuesto compras y ventas'!F55)),($B$24*'presupuesto compras y ventas'!$B$53)+('gastos generales'!$D$24*'presupuesto compras y ventas'!$B$52))),0)</f>
        <v>0</v>
      </c>
      <c r="G20" s="238">
        <f>IF(Inicio!$E$49&gt;=G5,(IF(Inicio!$E$51="AÑOS",((+$B$24*'presupuesto compras y ventas'!G56)+($D$24*'presupuesto compras y ventas'!G55)),($B$24*'presupuesto compras y ventas'!$B$53)+('gastos generales'!$D$24*'presupuesto compras y ventas'!$B$52))),0)</f>
        <v>0</v>
      </c>
      <c r="H20" s="238">
        <f>IF(Inicio!$E$49&gt;=H5,(IF(Inicio!$E$51="AÑOS",((+$B$24*'presupuesto compras y ventas'!H56)+($D$24*'presupuesto compras y ventas'!H55)),($B$24*'presupuesto compras y ventas'!$B$53)+('gastos generales'!$D$24*'presupuesto compras y ventas'!$B$52))),0)</f>
        <v>0</v>
      </c>
      <c r="I20" s="238">
        <f>IF(Inicio!$E$49&gt;=I5,(IF(Inicio!$E$51="AÑOS",((+$B$24*'presupuesto compras y ventas'!I56)+($D$24*'presupuesto compras y ventas'!I55)),($B$24*'presupuesto compras y ventas'!$B$53)+('gastos generales'!$D$24*'presupuesto compras y ventas'!$B$52))),0)</f>
        <v>0</v>
      </c>
      <c r="J20" s="238">
        <f>IF(Inicio!$E$49&gt;=J5,(IF(Inicio!$E$51="AÑOS",((+$B$24*'presupuesto compras y ventas'!J56)+($D$24*'presupuesto compras y ventas'!J55)),($B$24*'presupuesto compras y ventas'!$B$53)+('gastos generales'!$D$24*'presupuesto compras y ventas'!$B$52))),0)</f>
        <v>0</v>
      </c>
      <c r="K20" s="238">
        <f>IF(Inicio!$E$49&gt;=K5,(IF(Inicio!$E$51="AÑOS",((+$B$24*'presupuesto compras y ventas'!K56)+($D$24*'presupuesto compras y ventas'!K55)),($B$24*'presupuesto compras y ventas'!$B$53)+('gastos generales'!$D$24*'presupuesto compras y ventas'!$B$52))),0)</f>
        <v>0</v>
      </c>
      <c r="L20" s="238">
        <f>IF(Inicio!$E$49&gt;=L5,(IF(Inicio!$E$51="AÑOS",((+$B$24*'presupuesto compras y ventas'!L56)+($D$24*'presupuesto compras y ventas'!L55)),($B$24*'presupuesto compras y ventas'!$B$53)+('gastos generales'!$D$24*'presupuesto compras y ventas'!$B$52))),0)</f>
        <v>0</v>
      </c>
      <c r="M20" s="238">
        <f>IF(Inicio!$E$49&gt;=M5,(IF(Inicio!$E$51="AÑOS",((+$B$24*'presupuesto compras y ventas'!M56)+($D$24*'presupuesto compras y ventas'!M55)),($B$24*'presupuesto compras y ventas'!$B$53)+('gastos generales'!$D$24*'presupuesto compras y ventas'!$B$52))),0)</f>
        <v>0</v>
      </c>
      <c r="N20" s="238">
        <f>IF(Inicio!$E$49&gt;=N5,(IF(Inicio!$E$51="AÑOS",((+$B$24*'presupuesto compras y ventas'!N56)+($D$24*'presupuesto compras y ventas'!N55)),($B$24*'presupuesto compras y ventas'!$B$53)+('gastos generales'!$D$24*'presupuesto compras y ventas'!$B$52))),0)</f>
        <v>0</v>
      </c>
      <c r="O20" s="238">
        <f>IF(Inicio!$E$49&gt;=O5,(IF(Inicio!$E$51="AÑOS",((+$B$24*'presupuesto compras y ventas'!O56)+($D$24*'presupuesto compras y ventas'!O55)),($B$24*'presupuesto compras y ventas'!$B$53)+('gastos generales'!$D$24*'presupuesto compras y ventas'!$B$52))),0)</f>
        <v>0</v>
      </c>
      <c r="P20" s="238">
        <f>IF(Inicio!$E$49&gt;=P5,(IF(Inicio!$E$51="AÑOS",((+$B$24*'presupuesto compras y ventas'!P56)+($D$24*'presupuesto compras y ventas'!P55)),($B$24*'presupuesto compras y ventas'!$B$53)+('gastos generales'!$D$24*'presupuesto compras y ventas'!$B$52))),0)</f>
        <v>0</v>
      </c>
      <c r="Q20" s="230"/>
    </row>
    <row r="21" spans="1:17" x14ac:dyDescent="0.2">
      <c r="A21" s="237" t="str">
        <f>+Inicio!C215</f>
        <v>Imprevistos</v>
      </c>
      <c r="B21" s="176">
        <f>IF(Inicio!$E$51="Años",(Inicio!D195*12),Inicio!D195)</f>
        <v>3000</v>
      </c>
      <c r="C21" s="250">
        <f>IF(C$5&lt;=Inicio!$E$49,+(B21*$B$25)+B21,0)</f>
        <v>3075</v>
      </c>
      <c r="D21" s="250">
        <f>IF(D$5&lt;=Inicio!$E$49,+(C21*$C$25)+C21,0)</f>
        <v>3151.875</v>
      </c>
      <c r="E21" s="250">
        <f>IF(E$5&lt;=Inicio!$E$49,+(D21*$D$25)+D21,0)</f>
        <v>3230.671875</v>
      </c>
      <c r="F21" s="250">
        <f>IF(F$5&lt;=Inicio!$E$49,+(E21*$B$25)+E21,0)</f>
        <v>3311.4386718750002</v>
      </c>
      <c r="G21" s="250">
        <f>IF(G$5&lt;=Inicio!$E$49,+(F21*$B$25)+F21,0)</f>
        <v>0</v>
      </c>
      <c r="H21" s="250">
        <f>IF(H$5&lt;=Inicio!$E$49,+(G21*$B$25)+G21,0)</f>
        <v>0</v>
      </c>
      <c r="I21" s="250">
        <f>IF(I$5&lt;=Inicio!$E$49,+(H21*$B$25)+H21,0)</f>
        <v>0</v>
      </c>
      <c r="J21" s="250">
        <f>IF(J$5&lt;=Inicio!$E$49,+(I21*$B$25)+I21,0)</f>
        <v>0</v>
      </c>
      <c r="K21" s="250">
        <f>IF(K$5&lt;=Inicio!$E$49,+(J21*$B$25)+J21,0)</f>
        <v>0</v>
      </c>
      <c r="L21" s="250">
        <f>IF(L$5&lt;=Inicio!$E$49,+(K21*$B$25)+K21,0)</f>
        <v>0</v>
      </c>
      <c r="M21" s="250">
        <f>IF(M$5&lt;=Inicio!$E$49,+(L21*$B$25)+L21,0)</f>
        <v>0</v>
      </c>
      <c r="N21" s="250">
        <f>IF(N$5&lt;=Inicio!$E$49,+(M21*$B$25)+M21,0)</f>
        <v>0</v>
      </c>
      <c r="O21" s="250">
        <f>IF(O$5&lt;=Inicio!$E$49,+(N21*$B$25)+N21,0)</f>
        <v>0</v>
      </c>
      <c r="P21" s="239">
        <f>IF(P$5&lt;=Inicio!$E$49,+(O21*$B$25)+O21,0)</f>
        <v>0</v>
      </c>
      <c r="Q21" s="230"/>
    </row>
    <row r="22" spans="1:17" ht="13.5" thickBot="1" x14ac:dyDescent="0.25">
      <c r="A22" s="237" t="str">
        <f>+Inicio!C216</f>
        <v>Otros</v>
      </c>
      <c r="B22" s="176">
        <f>IF(Inicio!$E$51="Años",(Inicio!D196*12),Inicio!D196)</f>
        <v>18000</v>
      </c>
      <c r="C22" s="250">
        <f>IF(C$5&lt;=Inicio!$E$49,+(B22*$B$25)+B22,0)</f>
        <v>18450</v>
      </c>
      <c r="D22" s="250">
        <f>IF(D$5&lt;=Inicio!$E$49,+(C22*$C$25)+C22,0)</f>
        <v>18911.25</v>
      </c>
      <c r="E22" s="250">
        <f>IF(E$5&lt;=Inicio!$E$49,+(D22*$D$25)+D22,0)</f>
        <v>19384.03125</v>
      </c>
      <c r="F22" s="250">
        <f>IF(F$5&lt;=Inicio!$E$49,+(E22*$E$25)+E22,0)</f>
        <v>19868.632031249999</v>
      </c>
      <c r="G22" s="250">
        <f>IF(G$5&lt;=Inicio!$E$49,+(F22*$E$25)+F22,0)</f>
        <v>0</v>
      </c>
      <c r="H22" s="250">
        <f>IF(H$5&lt;=Inicio!$E$49,+(G22*$E$25)+G22,0)</f>
        <v>0</v>
      </c>
      <c r="I22" s="250">
        <f>IF(I$5&lt;=Inicio!$E$49,+(H22*$E$25)+H22,0)</f>
        <v>0</v>
      </c>
      <c r="J22" s="250">
        <f>IF(J$5&lt;=Inicio!$E$49,+(I22*$E$25)+I22,0)</f>
        <v>0</v>
      </c>
      <c r="K22" s="250">
        <f>IF(K$5&lt;=Inicio!$E$49,+(J22*$E$25)+J22,0)</f>
        <v>0</v>
      </c>
      <c r="L22" s="250">
        <f>IF(L$5&lt;=Inicio!$E$49,+(K22*$E$25)+K22,0)</f>
        <v>0</v>
      </c>
      <c r="M22" s="250">
        <f>IF(M$5&lt;=Inicio!$E$49,+(L22*$E$25)+L22,0)</f>
        <v>0</v>
      </c>
      <c r="N22" s="250">
        <f>IF(N$5&lt;=Inicio!$E$49,+(M22*$E$25)+M22,0)</f>
        <v>0</v>
      </c>
      <c r="O22" s="250">
        <f>IF(O$5&lt;=Inicio!$E$49,+(N22*$E$25)+N22,0)</f>
        <v>0</v>
      </c>
      <c r="P22" s="251">
        <f>IF(P$5&lt;=Inicio!$E$49,+(O22*$E$25)+O22,0)</f>
        <v>0</v>
      </c>
      <c r="Q22" s="230"/>
    </row>
    <row r="23" spans="1:17" ht="13.5" thickBot="1" x14ac:dyDescent="0.25">
      <c r="A23" s="252" t="s">
        <v>50</v>
      </c>
      <c r="B23" s="253">
        <f>SUM(B6:B22)</f>
        <v>111900</v>
      </c>
      <c r="C23" s="253">
        <f t="shared" ref="C23:P23" si="0">SUM(C6:C22)</f>
        <v>114697.5</v>
      </c>
      <c r="D23" s="253">
        <f t="shared" si="0"/>
        <v>117564.9375</v>
      </c>
      <c r="E23" s="253">
        <f t="shared" si="0"/>
        <v>120504.06093750001</v>
      </c>
      <c r="F23" s="253">
        <f t="shared" si="0"/>
        <v>123516.66246093751</v>
      </c>
      <c r="G23" s="253">
        <f t="shared" si="0"/>
        <v>0</v>
      </c>
      <c r="H23" s="253">
        <f t="shared" si="0"/>
        <v>0</v>
      </c>
      <c r="I23" s="253">
        <f t="shared" si="0"/>
        <v>0</v>
      </c>
      <c r="J23" s="253">
        <f t="shared" si="0"/>
        <v>0</v>
      </c>
      <c r="K23" s="253">
        <f t="shared" si="0"/>
        <v>0</v>
      </c>
      <c r="L23" s="253">
        <f t="shared" si="0"/>
        <v>0</v>
      </c>
      <c r="M23" s="253">
        <f t="shared" si="0"/>
        <v>0</v>
      </c>
      <c r="N23" s="253">
        <f t="shared" si="0"/>
        <v>0</v>
      </c>
      <c r="O23" s="253">
        <f t="shared" si="0"/>
        <v>0</v>
      </c>
      <c r="P23" s="253">
        <f t="shared" si="0"/>
        <v>0</v>
      </c>
      <c r="Q23" s="230"/>
    </row>
    <row r="24" spans="1:17" ht="13.5" thickBot="1" x14ac:dyDescent="0.25">
      <c r="A24" s="254" t="s">
        <v>198</v>
      </c>
      <c r="B24" s="468">
        <f>Inicio!D193</f>
        <v>0</v>
      </c>
      <c r="C24" s="254" t="s">
        <v>363</v>
      </c>
      <c r="D24" s="469">
        <f>Inicio!D194</f>
        <v>0</v>
      </c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35"/>
      <c r="Q24" s="230"/>
    </row>
    <row r="25" spans="1:17" ht="13.5" thickBot="1" x14ac:dyDescent="0.25">
      <c r="A25" s="257" t="s">
        <v>141</v>
      </c>
      <c r="B25" s="258">
        <f>IF(Inicio!$E$51="AÑOS",Inicio!D176,0)</f>
        <v>2.5000000000000001E-2</v>
      </c>
      <c r="C25" s="258">
        <f>IF(Inicio!$E$51="AÑOS",Inicio!D177,0)</f>
        <v>2.5000000000000001E-2</v>
      </c>
      <c r="D25" s="258">
        <f>IF(Inicio!$E$51="AÑOS",Inicio!F176,0)</f>
        <v>2.5000000000000001E-2</v>
      </c>
      <c r="E25" s="467">
        <f>IF(Inicio!$E$51="AÑOS",Inicio!F177,0)</f>
        <v>2.5000000000000001E-2</v>
      </c>
      <c r="F25" s="259"/>
      <c r="G25" s="259"/>
      <c r="H25" s="259"/>
      <c r="I25" s="259"/>
      <c r="J25" s="259"/>
      <c r="K25" s="259"/>
      <c r="L25" s="259"/>
      <c r="M25" s="259"/>
      <c r="N25" s="259"/>
      <c r="O25" s="259"/>
      <c r="P25" s="260"/>
      <c r="Q25" s="230"/>
    </row>
    <row r="26" spans="1:17" ht="13.5" thickBot="1" x14ac:dyDescent="0.25">
      <c r="A26" s="230" t="s">
        <v>1</v>
      </c>
      <c r="B26" s="261" t="s">
        <v>1</v>
      </c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</row>
    <row r="27" spans="1:17" ht="13.5" thickBot="1" x14ac:dyDescent="0.25">
      <c r="A27" s="240" t="s">
        <v>56</v>
      </c>
      <c r="B27" s="249">
        <v>1</v>
      </c>
      <c r="C27" s="249">
        <v>2</v>
      </c>
      <c r="D27" s="249">
        <v>3</v>
      </c>
      <c r="E27" s="249">
        <v>4</v>
      </c>
      <c r="F27" s="249">
        <v>5</v>
      </c>
      <c r="G27" s="249">
        <v>6</v>
      </c>
      <c r="H27" s="249">
        <v>7</v>
      </c>
      <c r="I27" s="249">
        <v>8</v>
      </c>
      <c r="J27" s="249">
        <v>9</v>
      </c>
      <c r="K27" s="249">
        <v>10</v>
      </c>
      <c r="L27" s="249">
        <v>11</v>
      </c>
      <c r="M27" s="249">
        <v>12</v>
      </c>
      <c r="N27" s="249">
        <v>13</v>
      </c>
      <c r="O27" s="249">
        <v>14</v>
      </c>
      <c r="P27" s="249">
        <v>15</v>
      </c>
      <c r="Q27" s="230"/>
    </row>
    <row r="28" spans="1:17" x14ac:dyDescent="0.2">
      <c r="A28" s="242" t="str">
        <f>+Inicio!E179</f>
        <v>Honorarios</v>
      </c>
      <c r="B28" s="176">
        <f>IF(Inicio!$E$51="Años",(Inicio!F179*12),Inicio!F179)</f>
        <v>0</v>
      </c>
      <c r="C28" s="250">
        <f>IF(C$5&lt;=Inicio!$E$49,+(B28*$B$25)+B28,0)</f>
        <v>0</v>
      </c>
      <c r="D28" s="250">
        <f>IF(D$5&lt;=Inicio!$E$49,+(C28*$C$25)+C28,0)</f>
        <v>0</v>
      </c>
      <c r="E28" s="250">
        <f>IF(E$5&lt;=Inicio!$E$49,+(D28*$D$25)+D28,0)</f>
        <v>0</v>
      </c>
      <c r="F28" s="250">
        <f>IF(F$5&lt;=Inicio!$E$49,+(E28*$E$25)+E28,0)</f>
        <v>0</v>
      </c>
      <c r="G28" s="250">
        <f>IF(G$5&lt;=Inicio!$E$49,+(F28*$E$25)+F28,0)</f>
        <v>0</v>
      </c>
      <c r="H28" s="250">
        <f>IF(H$5&lt;=Inicio!$E$49,+(G28*$E$25)+G28,0)</f>
        <v>0</v>
      </c>
      <c r="I28" s="250">
        <f>IF(I$5&lt;=Inicio!$E$49,+(H28*$E$25)+H28,0)</f>
        <v>0</v>
      </c>
      <c r="J28" s="250">
        <f>IF(J$5&lt;=Inicio!$E$49,+(I28*$E$25)+I28,0)</f>
        <v>0</v>
      </c>
      <c r="K28" s="250">
        <f>IF(K$5&lt;=Inicio!$E$49,+(J28*$E$25)+J28,0)</f>
        <v>0</v>
      </c>
      <c r="L28" s="250">
        <f>IF(L$5&lt;=Inicio!$E$49,+(K28*$E$25)+K28,0)</f>
        <v>0</v>
      </c>
      <c r="M28" s="250">
        <f>IF(M$5&lt;=Inicio!$E$49,+(L28*$E$25)+L28,0)</f>
        <v>0</v>
      </c>
      <c r="N28" s="250">
        <f>IF(N$5&lt;=Inicio!$E$49,+(M28*$E$25)+M28,0)</f>
        <v>0</v>
      </c>
      <c r="O28" s="250">
        <f>IF(O$5&lt;=Inicio!$E$49,+(N28*$E$25)+N28,0)</f>
        <v>0</v>
      </c>
      <c r="P28" s="243">
        <f>IF(P$5&lt;=Inicio!$E$49,+(O28*$E$25)+O28,0)</f>
        <v>0</v>
      </c>
      <c r="Q28" s="230"/>
    </row>
    <row r="29" spans="1:17" x14ac:dyDescent="0.2">
      <c r="A29" s="242" t="str">
        <f>+Inicio!E180</f>
        <v>Impuestos</v>
      </c>
      <c r="B29" s="176">
        <f>IF(Inicio!$E$51="Años",(Inicio!F180*12),Inicio!F180)</f>
        <v>6000</v>
      </c>
      <c r="C29" s="250">
        <f>IF(C$5&lt;=Inicio!$E$49,+(B29*$B$25)+B29,0)</f>
        <v>6150</v>
      </c>
      <c r="D29" s="250">
        <f>IF(D$5&lt;=Inicio!$E$49,+(C29*$C$25)+C29,0)</f>
        <v>6303.75</v>
      </c>
      <c r="E29" s="250">
        <f>IF(E$5&lt;=Inicio!$E$49,+(D29*$D$25)+D29,0)</f>
        <v>6461.34375</v>
      </c>
      <c r="F29" s="250">
        <f>IF(F$5&lt;=Inicio!$E$49,+(E29*$E$25)+E29,0)</f>
        <v>6622.8773437500004</v>
      </c>
      <c r="G29" s="250">
        <f>IF(G$5&lt;=Inicio!$E$49,+(F29*$E$25)+F29,0)</f>
        <v>0</v>
      </c>
      <c r="H29" s="250">
        <f>IF(H$5&lt;=Inicio!$E$49,+(G29*$E$25)+G29,0)</f>
        <v>0</v>
      </c>
      <c r="I29" s="250">
        <f>IF(I$5&lt;=Inicio!$E$49,+(H29*$E$25)+H29,0)</f>
        <v>0</v>
      </c>
      <c r="J29" s="250">
        <f>IF(J$5&lt;=Inicio!$E$49,+(I29*$E$25)+I29,0)</f>
        <v>0</v>
      </c>
      <c r="K29" s="250">
        <f>IF(K$5&lt;=Inicio!$E$49,+(J29*$E$25)+J29,0)</f>
        <v>0</v>
      </c>
      <c r="L29" s="250">
        <f>IF(L$5&lt;=Inicio!$E$49,+(K29*$E$25)+K29,0)</f>
        <v>0</v>
      </c>
      <c r="M29" s="250">
        <f>IF(M$5&lt;=Inicio!$E$49,+(L29*$E$25)+L29,0)</f>
        <v>0</v>
      </c>
      <c r="N29" s="250">
        <f>IF(N$5&lt;=Inicio!$E$49,+(M29*$E$25)+M29,0)</f>
        <v>0</v>
      </c>
      <c r="O29" s="250">
        <f>IF(O$5&lt;=Inicio!$E$49,+(N29*$E$25)+N29,0)</f>
        <v>0</v>
      </c>
      <c r="P29" s="239">
        <f>IF(P$5&lt;=Inicio!$E$49,+(O29*$E$25)+O29,0)</f>
        <v>0</v>
      </c>
      <c r="Q29" s="230"/>
    </row>
    <row r="30" spans="1:17" x14ac:dyDescent="0.2">
      <c r="A30" s="242" t="str">
        <f>+Inicio!E181</f>
        <v>Arrendamiento</v>
      </c>
      <c r="B30" s="176">
        <f>IF(Inicio!$E$51="Años",(Inicio!F181*12),Inicio!F181)</f>
        <v>33000</v>
      </c>
      <c r="C30" s="250">
        <f>IF(C$5&lt;=Inicio!$E$49,+(B30*$B$25)+B30,0)</f>
        <v>33825</v>
      </c>
      <c r="D30" s="250">
        <f>IF(D$5&lt;=Inicio!$E$49,+(C30*$C$25)+C30,0)</f>
        <v>34670.625</v>
      </c>
      <c r="E30" s="250">
        <f>IF(E$5&lt;=Inicio!$E$49,+(D30*$D$25)+D30,0)</f>
        <v>35537.390625</v>
      </c>
      <c r="F30" s="250">
        <f>IF(F$5&lt;=Inicio!$E$49,+(E30*$E$25)+E30,0)</f>
        <v>36425.825390625003</v>
      </c>
      <c r="G30" s="250">
        <f>IF(G$5&lt;=Inicio!$E$49,+(F30*$E$25)+F30,0)</f>
        <v>0</v>
      </c>
      <c r="H30" s="250">
        <f>IF(H$5&lt;=Inicio!$E$49,+(G30*$E$25)+G30,0)</f>
        <v>0</v>
      </c>
      <c r="I30" s="250">
        <f>IF(I$5&lt;=Inicio!$E$49,+(H30*$E$25)+H30,0)</f>
        <v>0</v>
      </c>
      <c r="J30" s="250">
        <f>IF(J$5&lt;=Inicio!$E$49,+(I30*$E$25)+I30,0)</f>
        <v>0</v>
      </c>
      <c r="K30" s="250">
        <f>IF(K$5&lt;=Inicio!$E$49,+(J30*$E$25)+J30,0)</f>
        <v>0</v>
      </c>
      <c r="L30" s="250">
        <f>IF(L$5&lt;=Inicio!$E$49,+(K30*$E$25)+K30,0)</f>
        <v>0</v>
      </c>
      <c r="M30" s="250">
        <f>IF(M$5&lt;=Inicio!$E$49,+(L30*$E$25)+L30,0)</f>
        <v>0</v>
      </c>
      <c r="N30" s="250">
        <f>IF(N$5&lt;=Inicio!$E$49,+(M30*$E$25)+M30,0)</f>
        <v>0</v>
      </c>
      <c r="O30" s="250">
        <f>IF(O$5&lt;=Inicio!$E$49,+(N30*$E$25)+N30,0)</f>
        <v>0</v>
      </c>
      <c r="P30" s="239">
        <f>IF(P$5&lt;=Inicio!$E$49,+(O30*$E$25)+O30,0)</f>
        <v>0</v>
      </c>
      <c r="Q30" s="230"/>
    </row>
    <row r="31" spans="1:17" x14ac:dyDescent="0.2">
      <c r="A31" s="242" t="str">
        <f>+Inicio!E182</f>
        <v>Seguros</v>
      </c>
      <c r="B31" s="176">
        <f>IF(Inicio!$E$51="Años",(Inicio!F182*12),Inicio!F182)</f>
        <v>0</v>
      </c>
      <c r="C31" s="250">
        <f>IF(C$5&lt;=Inicio!$E$49,+(B31*$B$25)+B31,0)</f>
        <v>0</v>
      </c>
      <c r="D31" s="250">
        <f>IF(D$5&lt;=Inicio!$E$49,+(C31*$C$25)+C31,0)</f>
        <v>0</v>
      </c>
      <c r="E31" s="250">
        <f>IF(E$5&lt;=Inicio!$E$49,+(D31*$D$25)+D31,0)</f>
        <v>0</v>
      </c>
      <c r="F31" s="250">
        <f>IF(F$5&lt;=Inicio!$E$49,+(E31*$E$25)+E31,0)</f>
        <v>0</v>
      </c>
      <c r="G31" s="250">
        <f>IF(G$5&lt;=Inicio!$E$49,+(F31*$E$25)+F31,0)</f>
        <v>0</v>
      </c>
      <c r="H31" s="250">
        <f>IF(H$5&lt;=Inicio!$E$49,+(G31*$E$25)+G31,0)</f>
        <v>0</v>
      </c>
      <c r="I31" s="250">
        <f>IF(I$5&lt;=Inicio!$E$49,+(H31*$E$25)+H31,0)</f>
        <v>0</v>
      </c>
      <c r="J31" s="250">
        <f>IF(J$5&lt;=Inicio!$E$49,+(I31*$E$25)+I31,0)</f>
        <v>0</v>
      </c>
      <c r="K31" s="250">
        <f>IF(K$5&lt;=Inicio!$E$49,+(J31*$E$25)+J31,0)</f>
        <v>0</v>
      </c>
      <c r="L31" s="250">
        <f>IF(L$5&lt;=Inicio!$E$49,+(K31*$E$25)+K31,0)</f>
        <v>0</v>
      </c>
      <c r="M31" s="250">
        <f>IF(M$5&lt;=Inicio!$E$49,+(L31*$E$25)+L31,0)</f>
        <v>0</v>
      </c>
      <c r="N31" s="250">
        <f>IF(N$5&lt;=Inicio!$E$49,+(M31*$E$25)+M31,0)</f>
        <v>0</v>
      </c>
      <c r="O31" s="250">
        <f>IF(O$5&lt;=Inicio!$E$49,+(N31*$E$25)+N31,0)</f>
        <v>0</v>
      </c>
      <c r="P31" s="239">
        <f>IF(P$5&lt;=Inicio!$E$49,+(O31*$E$25)+O31,0)</f>
        <v>0</v>
      </c>
      <c r="Q31" s="230"/>
    </row>
    <row r="32" spans="1:17" x14ac:dyDescent="0.2">
      <c r="A32" s="242" t="str">
        <f>+Inicio!E183</f>
        <v>Servicios  Públicos</v>
      </c>
      <c r="B32" s="176">
        <f>IF(Inicio!$E$51="Años",(Inicio!F183*12),Inicio!F183)</f>
        <v>16200</v>
      </c>
      <c r="C32" s="250">
        <f>IF(C$5&lt;=Inicio!$E$49,+(B32*$B$25)+B32,0)</f>
        <v>16605</v>
      </c>
      <c r="D32" s="250">
        <f>IF(D$5&lt;=Inicio!$E$49,+(C32*$C$25)+C32,0)</f>
        <v>17020.125</v>
      </c>
      <c r="E32" s="250">
        <f>IF(E$5&lt;=Inicio!$E$49,+(D32*$D$25)+D32,0)</f>
        <v>17445.628124999999</v>
      </c>
      <c r="F32" s="250">
        <f>IF(F$5&lt;=Inicio!$E$49,+(E32*$E$25)+E32,0)</f>
        <v>17881.768828124998</v>
      </c>
      <c r="G32" s="250">
        <f>IF(G$5&lt;=Inicio!$E$49,+(F32*$E$25)+F32,0)</f>
        <v>0</v>
      </c>
      <c r="H32" s="250">
        <f>IF(H$5&lt;=Inicio!$E$49,+(G32*$E$25)+G32,0)</f>
        <v>0</v>
      </c>
      <c r="I32" s="250">
        <f>IF(I$5&lt;=Inicio!$E$49,+(H32*$E$25)+H32,0)</f>
        <v>0</v>
      </c>
      <c r="J32" s="250">
        <f>IF(J$5&lt;=Inicio!$E$49,+(I32*$E$25)+I32,0)</f>
        <v>0</v>
      </c>
      <c r="K32" s="250">
        <f>IF(K$5&lt;=Inicio!$E$49,+(J32*$E$25)+J32,0)</f>
        <v>0</v>
      </c>
      <c r="L32" s="250">
        <f>IF(L$5&lt;=Inicio!$E$49,+(K32*$E$25)+K32,0)</f>
        <v>0</v>
      </c>
      <c r="M32" s="250">
        <f>IF(M$5&lt;=Inicio!$E$49,+(L32*$E$25)+L32,0)</f>
        <v>0</v>
      </c>
      <c r="N32" s="250">
        <f>IF(N$5&lt;=Inicio!$E$49,+(M32*$E$25)+M32,0)</f>
        <v>0</v>
      </c>
      <c r="O32" s="250">
        <f>IF(O$5&lt;=Inicio!$E$49,+(N32*$E$25)+N32,0)</f>
        <v>0</v>
      </c>
      <c r="P32" s="239">
        <f>IF(P$5&lt;=Inicio!$E$49,+(O32*$E$25)+O32,0)</f>
        <v>0</v>
      </c>
      <c r="Q32" s="230"/>
    </row>
    <row r="33" spans="1:17" x14ac:dyDescent="0.2">
      <c r="A33" s="242" t="str">
        <f>+Inicio!E184</f>
        <v>Servicios Transporte y Acarreos</v>
      </c>
      <c r="B33" s="176">
        <f>IF(Inicio!$E$51="Años",(Inicio!F184*12),Inicio!F184)</f>
        <v>0</v>
      </c>
      <c r="C33" s="250">
        <f>IF(C$5&lt;=Inicio!$E$49,+(B33*$B$25)+B33,0)</f>
        <v>0</v>
      </c>
      <c r="D33" s="250">
        <f>IF(D$5&lt;=Inicio!$E$49,+(C33*$C$25)+C33,0)</f>
        <v>0</v>
      </c>
      <c r="E33" s="250">
        <f>IF(E$5&lt;=Inicio!$E$49,+(D33*$D$25)+D33,0)</f>
        <v>0</v>
      </c>
      <c r="F33" s="250">
        <f>IF(F$5&lt;=Inicio!$E$49,+(E33*$E$25)+E33,0)</f>
        <v>0</v>
      </c>
      <c r="G33" s="250">
        <f>IF(G$5&lt;=Inicio!$E$49,+(F33*$E$25)+F33,0)</f>
        <v>0</v>
      </c>
      <c r="H33" s="250">
        <f>IF(H$5&lt;=Inicio!$E$49,+(G33*$E$25)+G33,0)</f>
        <v>0</v>
      </c>
      <c r="I33" s="250">
        <f>IF(I$5&lt;=Inicio!$E$49,+(H33*$E$25)+H33,0)</f>
        <v>0</v>
      </c>
      <c r="J33" s="250">
        <f>IF(J$5&lt;=Inicio!$E$49,+(I33*$E$25)+I33,0)</f>
        <v>0</v>
      </c>
      <c r="K33" s="250">
        <f>IF(K$5&lt;=Inicio!$E$49,+(J33*$E$25)+J33,0)</f>
        <v>0</v>
      </c>
      <c r="L33" s="250">
        <f>IF(L$5&lt;=Inicio!$E$49,+(K33*$E$25)+K33,0)</f>
        <v>0</v>
      </c>
      <c r="M33" s="250">
        <f>IF(M$5&lt;=Inicio!$E$49,+(L33*$E$25)+L33,0)</f>
        <v>0</v>
      </c>
      <c r="N33" s="250">
        <f>IF(N$5&lt;=Inicio!$E$49,+(M33*$E$25)+M33,0)</f>
        <v>0</v>
      </c>
      <c r="O33" s="250">
        <f>IF(O$5&lt;=Inicio!$E$49,+(N33*$E$25)+N33,0)</f>
        <v>0</v>
      </c>
      <c r="P33" s="239">
        <f>IF(P$5&lt;=Inicio!$E$49,+(O33*$E$25)+O33,0)</f>
        <v>0</v>
      </c>
      <c r="Q33" s="230"/>
    </row>
    <row r="34" spans="1:17" x14ac:dyDescent="0.2">
      <c r="A34" s="242" t="str">
        <f>+Inicio!E185</f>
        <v>Gastos Legales</v>
      </c>
      <c r="B34" s="176">
        <f>IF(Inicio!$E$51="Años",(Inicio!F185*12),Inicio!F185)</f>
        <v>0</v>
      </c>
      <c r="C34" s="250">
        <f>IF(C$5&lt;=Inicio!$E$49,+(B34*$B$25)+B34,0)</f>
        <v>0</v>
      </c>
      <c r="D34" s="250">
        <f>IF(D$5&lt;=Inicio!$E$49,+(C34*$C$25)+C34,0)</f>
        <v>0</v>
      </c>
      <c r="E34" s="250">
        <f>IF(E$5&lt;=Inicio!$E$49,+(D34*$D$25)+D34,0)</f>
        <v>0</v>
      </c>
      <c r="F34" s="250">
        <f>IF(F$5&lt;=Inicio!$E$49,+(E34*$E$25)+E34,0)</f>
        <v>0</v>
      </c>
      <c r="G34" s="250">
        <f>IF(G$5&lt;=Inicio!$E$49,+(F34*$E$25)+F34,0)</f>
        <v>0</v>
      </c>
      <c r="H34" s="250">
        <f>IF(H$5&lt;=Inicio!$E$49,+(G34*$E$25)+G34,0)</f>
        <v>0</v>
      </c>
      <c r="I34" s="250">
        <f>IF(I$5&lt;=Inicio!$E$49,+(H34*$E$25)+H34,0)</f>
        <v>0</v>
      </c>
      <c r="J34" s="250">
        <f>IF(J$5&lt;=Inicio!$E$49,+(I34*$E$25)+I34,0)</f>
        <v>0</v>
      </c>
      <c r="K34" s="250">
        <f>IF(K$5&lt;=Inicio!$E$49,+(J34*$E$25)+J34,0)</f>
        <v>0</v>
      </c>
      <c r="L34" s="250">
        <f>IF(L$5&lt;=Inicio!$E$49,+(K34*$E$25)+K34,0)</f>
        <v>0</v>
      </c>
      <c r="M34" s="250">
        <f>IF(M$5&lt;=Inicio!$E$49,+(L34*$E$25)+L34,0)</f>
        <v>0</v>
      </c>
      <c r="N34" s="250">
        <f>IF(N$5&lt;=Inicio!$E$49,+(M34*$E$25)+M34,0)</f>
        <v>0</v>
      </c>
      <c r="O34" s="250">
        <f>IF(O$5&lt;=Inicio!$E$49,+(N34*$E$25)+N34,0)</f>
        <v>0</v>
      </c>
      <c r="P34" s="239">
        <f>IF(P$5&lt;=Inicio!$E$49,+(O34*$E$25)+O34,0)</f>
        <v>0</v>
      </c>
      <c r="Q34" s="230"/>
    </row>
    <row r="35" spans="1:17" x14ac:dyDescent="0.2">
      <c r="A35" s="242" t="str">
        <f>+Inicio!E186</f>
        <v>Mantenimiento Reparaciones</v>
      </c>
      <c r="B35" s="176">
        <f>IF(Inicio!$E$51="Años",(Inicio!F186*12),Inicio!F186)</f>
        <v>4500</v>
      </c>
      <c r="C35" s="250">
        <f>IF(C$5&lt;=Inicio!$E$49,+(B35*$B$25)+B35,0)</f>
        <v>4612.5</v>
      </c>
      <c r="D35" s="250">
        <f>IF(D$5&lt;=Inicio!$E$49,+(C35*$C$25)+C35,0)</f>
        <v>4727.8125</v>
      </c>
      <c r="E35" s="250">
        <f>IF(E$5&lt;=Inicio!$E$49,+(D35*$D$25)+D35,0)</f>
        <v>4846.0078125</v>
      </c>
      <c r="F35" s="250">
        <f>IF(F$5&lt;=Inicio!$E$49,+(E35*$E$25)+E35,0)</f>
        <v>4967.1580078124998</v>
      </c>
      <c r="G35" s="250">
        <f>IF(G$5&lt;=Inicio!$E$49,+(F35*$E$25)+F35,0)</f>
        <v>0</v>
      </c>
      <c r="H35" s="250">
        <f>IF(H$5&lt;=Inicio!$E$49,+(G35*$E$25)+G35,0)</f>
        <v>0</v>
      </c>
      <c r="I35" s="250">
        <f>IF(I$5&lt;=Inicio!$E$49,+(H35*$E$25)+H35,0)</f>
        <v>0</v>
      </c>
      <c r="J35" s="250">
        <f>IF(J$5&lt;=Inicio!$E$49,+(I35*$E$25)+I35,0)</f>
        <v>0</v>
      </c>
      <c r="K35" s="250">
        <f>IF(K$5&lt;=Inicio!$E$49,+(J35*$E$25)+J35,0)</f>
        <v>0</v>
      </c>
      <c r="L35" s="250">
        <f>IF(L$5&lt;=Inicio!$E$49,+(K35*$E$25)+K35,0)</f>
        <v>0</v>
      </c>
      <c r="M35" s="250">
        <f>IF(M$5&lt;=Inicio!$E$49,+(L35*$E$25)+L35,0)</f>
        <v>0</v>
      </c>
      <c r="N35" s="250">
        <f>IF(N$5&lt;=Inicio!$E$49,+(M35*$E$25)+M35,0)</f>
        <v>0</v>
      </c>
      <c r="O35" s="250">
        <f>IF(O$5&lt;=Inicio!$E$49,+(N35*$E$25)+N35,0)</f>
        <v>0</v>
      </c>
      <c r="P35" s="239">
        <f>IF(P$5&lt;=Inicio!$E$49,+(O35*$E$25)+O35,0)</f>
        <v>0</v>
      </c>
      <c r="Q35" s="230"/>
    </row>
    <row r="36" spans="1:17" x14ac:dyDescent="0.2">
      <c r="A36" s="242" t="str">
        <f>+Inicio!E187</f>
        <v>Gastos de Viaje</v>
      </c>
      <c r="B36" s="176">
        <f>IF(Inicio!$E$51="Años",(Inicio!F187*12),Inicio!F187)</f>
        <v>0</v>
      </c>
      <c r="C36" s="250">
        <f>IF(C$5&lt;=Inicio!$E$49,+(B36*$B$25)+B36,0)</f>
        <v>0</v>
      </c>
      <c r="D36" s="250">
        <f>IF(D$5&lt;=Inicio!$E$49,+(C36*$C$25)+C36,0)</f>
        <v>0</v>
      </c>
      <c r="E36" s="250">
        <f>IF(E$5&lt;=Inicio!$E$49,+(D36*$D$25)+D36,0)</f>
        <v>0</v>
      </c>
      <c r="F36" s="250">
        <f>IF(F$5&lt;=Inicio!$E$49,+(E36*$E$25)+E36,0)</f>
        <v>0</v>
      </c>
      <c r="G36" s="250">
        <f>IF(G$5&lt;=Inicio!$E$49,+(F36*$E$25)+F36,0)</f>
        <v>0</v>
      </c>
      <c r="H36" s="250">
        <f>IF(H$5&lt;=Inicio!$E$49,+(G36*$E$25)+G36,0)</f>
        <v>0</v>
      </c>
      <c r="I36" s="250">
        <f>IF(I$5&lt;=Inicio!$E$49,+(H36*$E$25)+H36,0)</f>
        <v>0</v>
      </c>
      <c r="J36" s="250">
        <f>IF(J$5&lt;=Inicio!$E$49,+(I36*$E$25)+I36,0)</f>
        <v>0</v>
      </c>
      <c r="K36" s="250">
        <f>IF(K$5&lt;=Inicio!$E$49,+(J36*$E$25)+J36,0)</f>
        <v>0</v>
      </c>
      <c r="L36" s="250">
        <f>IF(L$5&lt;=Inicio!$E$49,+(K36*$E$25)+K36,0)</f>
        <v>0</v>
      </c>
      <c r="M36" s="250">
        <f>IF(M$5&lt;=Inicio!$E$49,+(L36*$E$25)+L36,0)</f>
        <v>0</v>
      </c>
      <c r="N36" s="250">
        <f>IF(N$5&lt;=Inicio!$E$49,+(M36*$E$25)+M36,0)</f>
        <v>0</v>
      </c>
      <c r="O36" s="250">
        <f>IF(O$5&lt;=Inicio!$E$49,+(N36*$E$25)+N36,0)</f>
        <v>0</v>
      </c>
      <c r="P36" s="239">
        <f>IF(P$5&lt;=Inicio!$E$49,+(O36*$E$25)+O36,0)</f>
        <v>0</v>
      </c>
      <c r="Q36" s="230"/>
    </row>
    <row r="37" spans="1:17" x14ac:dyDescent="0.2">
      <c r="A37" s="242" t="str">
        <f>+Inicio!E188</f>
        <v>Propaganda y Publicidad</v>
      </c>
      <c r="B37" s="176">
        <f>IF(Inicio!$E$51="Años",(Inicio!F188*12),Inicio!F188)</f>
        <v>6000</v>
      </c>
      <c r="C37" s="250">
        <f>IF(C$5&lt;=Inicio!$E$49,+(B37*$B$25)+B37,0)</f>
        <v>6150</v>
      </c>
      <c r="D37" s="250">
        <f>IF(D$5&lt;=Inicio!$E$49,+(C37*$C$25)+C37,0)</f>
        <v>6303.75</v>
      </c>
      <c r="E37" s="250">
        <f>IF(E$5&lt;=Inicio!$E$49,+(D37*$D$25)+D37,0)</f>
        <v>6461.34375</v>
      </c>
      <c r="F37" s="250">
        <f>IF(F$5&lt;=Inicio!$E$49,+(E37*$E$25)+E37,0)</f>
        <v>6622.8773437500004</v>
      </c>
      <c r="G37" s="250">
        <f>IF(G$5&lt;=Inicio!$E$49,+(F37*$E$25)+F37,0)</f>
        <v>0</v>
      </c>
      <c r="H37" s="250">
        <f>IF(H$5&lt;=Inicio!$E$49,+(G37*$E$25)+G37,0)</f>
        <v>0</v>
      </c>
      <c r="I37" s="250">
        <f>IF(I$5&lt;=Inicio!$E$49,+(H37*$E$25)+H37,0)</f>
        <v>0</v>
      </c>
      <c r="J37" s="250">
        <f>IF(J$5&lt;=Inicio!$E$49,+(I37*$E$25)+I37,0)</f>
        <v>0</v>
      </c>
      <c r="K37" s="250">
        <f>IF(K$5&lt;=Inicio!$E$49,+(J37*$E$25)+J37,0)</f>
        <v>0</v>
      </c>
      <c r="L37" s="250">
        <f>IF(L$5&lt;=Inicio!$E$49,+(K37*$E$25)+K37,0)</f>
        <v>0</v>
      </c>
      <c r="M37" s="250">
        <f>IF(M$5&lt;=Inicio!$E$49,+(L37*$E$25)+L37,0)</f>
        <v>0</v>
      </c>
      <c r="N37" s="250">
        <f>IF(N$5&lt;=Inicio!$E$49,+(M37*$E$25)+M37,0)</f>
        <v>0</v>
      </c>
      <c r="O37" s="250">
        <f>IF(O$5&lt;=Inicio!$E$49,+(N37*$E$25)+N37,0)</f>
        <v>0</v>
      </c>
      <c r="P37" s="239">
        <f>IF(P$5&lt;=Inicio!$E$49,+(O37*$E$25)+O37,0)</f>
        <v>0</v>
      </c>
      <c r="Q37" s="230"/>
    </row>
    <row r="38" spans="1:17" x14ac:dyDescent="0.2">
      <c r="A38" s="242" t="str">
        <f>+Inicio!E189</f>
        <v>Elementos de Aseo y Cafetería</v>
      </c>
      <c r="B38" s="176">
        <f>IF(Inicio!$E$51="Años",(Inicio!F189*12),Inicio!F189)</f>
        <v>0</v>
      </c>
      <c r="C38" s="250">
        <f>IF(C$5&lt;=Inicio!$E$49,+(B38*$B$25)+B38,0)</f>
        <v>0</v>
      </c>
      <c r="D38" s="250">
        <f>IF(D$5&lt;=Inicio!$E$49,+(C38*$C$25)+C38,0)</f>
        <v>0</v>
      </c>
      <c r="E38" s="250">
        <f>IF(E$5&lt;=Inicio!$E$49,+(D38*$D$25)+D38,0)</f>
        <v>0</v>
      </c>
      <c r="F38" s="250">
        <f>IF(F$5&lt;=Inicio!$E$49,+(E38*$E$25)+E38,0)</f>
        <v>0</v>
      </c>
      <c r="G38" s="250">
        <f>IF(G$5&lt;=Inicio!$E$49,+(F38*$E$25)+F38,0)</f>
        <v>0</v>
      </c>
      <c r="H38" s="250">
        <f>IF(H$5&lt;=Inicio!$E$49,+(G38*$E$25)+G38,0)</f>
        <v>0</v>
      </c>
      <c r="I38" s="250">
        <f>IF(I$5&lt;=Inicio!$E$49,+(H38*$E$25)+H38,0)</f>
        <v>0</v>
      </c>
      <c r="J38" s="250">
        <f>IF(J$5&lt;=Inicio!$E$49,+(I38*$E$25)+I38,0)</f>
        <v>0</v>
      </c>
      <c r="K38" s="250">
        <f>IF(K$5&lt;=Inicio!$E$49,+(J38*$E$25)+J38,0)</f>
        <v>0</v>
      </c>
      <c r="L38" s="250">
        <f>IF(L$5&lt;=Inicio!$E$49,+(K38*$E$25)+K38,0)</f>
        <v>0</v>
      </c>
      <c r="M38" s="250">
        <f>IF(M$5&lt;=Inicio!$E$49,+(L38*$E$25)+L38,0)</f>
        <v>0</v>
      </c>
      <c r="N38" s="250">
        <f>IF(N$5&lt;=Inicio!$E$49,+(M38*$E$25)+M38,0)</f>
        <v>0</v>
      </c>
      <c r="O38" s="250">
        <f>IF(O$5&lt;=Inicio!$E$49,+(N38*$E$25)+N38,0)</f>
        <v>0</v>
      </c>
      <c r="P38" s="239">
        <f>IF(P$5&lt;=Inicio!$E$49,+(O38*$E$25)+O38,0)</f>
        <v>0</v>
      </c>
      <c r="Q38" s="230"/>
    </row>
    <row r="39" spans="1:17" x14ac:dyDescent="0.2">
      <c r="A39" s="242" t="str">
        <f>+Inicio!E190</f>
        <v>Útiles y Papelería</v>
      </c>
      <c r="B39" s="176">
        <f>IF(Inicio!$E$51="Años",(Inicio!F190*12),Inicio!F190)</f>
        <v>0</v>
      </c>
      <c r="C39" s="250">
        <f>IF(C$5&lt;=Inicio!$E$49,+(B39*$B$25)+B39,0)</f>
        <v>0</v>
      </c>
      <c r="D39" s="250">
        <f>IF(D$5&lt;=Inicio!$E$49,+(C39*$C$25)+C39,0)</f>
        <v>0</v>
      </c>
      <c r="E39" s="250">
        <f>IF(E$5&lt;=Inicio!$E$49,+(D39*$D$25)+D39,0)</f>
        <v>0</v>
      </c>
      <c r="F39" s="250">
        <f>IF(F$5&lt;=Inicio!$E$49,+(E39*$E$25)+E39,0)</f>
        <v>0</v>
      </c>
      <c r="G39" s="250">
        <f>IF(G$5&lt;=Inicio!$E$49,+(F39*$E$25)+F39,0)</f>
        <v>0</v>
      </c>
      <c r="H39" s="250">
        <f>IF(H$5&lt;=Inicio!$E$49,+(G39*$E$25)+G39,0)</f>
        <v>0</v>
      </c>
      <c r="I39" s="250">
        <f>IF(I$5&lt;=Inicio!$E$49,+(H39*$E$25)+H39,0)</f>
        <v>0</v>
      </c>
      <c r="J39" s="250">
        <f>IF(J$5&lt;=Inicio!$E$49,+(I39*$E$25)+I39,0)</f>
        <v>0</v>
      </c>
      <c r="K39" s="250">
        <f>IF(K$5&lt;=Inicio!$E$49,+(J39*$E$25)+J39,0)</f>
        <v>0</v>
      </c>
      <c r="L39" s="250">
        <f>IF(L$5&lt;=Inicio!$E$49,+(K39*$E$25)+K39,0)</f>
        <v>0</v>
      </c>
      <c r="M39" s="250">
        <f>IF(M$5&lt;=Inicio!$E$49,+(L39*$E$25)+L39,0)</f>
        <v>0</v>
      </c>
      <c r="N39" s="250">
        <f>IF(N$5&lt;=Inicio!$E$49,+(M39*$E$25)+M39,0)</f>
        <v>0</v>
      </c>
      <c r="O39" s="250">
        <f>IF(O$5&lt;=Inicio!$E$49,+(N39*$E$25)+N39,0)</f>
        <v>0</v>
      </c>
      <c r="P39" s="239">
        <f>IF(P$5&lt;=Inicio!$E$49,+(O39*$E$25)+O39,0)</f>
        <v>0</v>
      </c>
      <c r="Q39" s="230"/>
    </row>
    <row r="40" spans="1:17" x14ac:dyDescent="0.2">
      <c r="A40" s="242" t="str">
        <f>+Inicio!E191</f>
        <v>Combustibles y Lubricantes</v>
      </c>
      <c r="B40" s="176">
        <f>IF(Inicio!$E$51="Años",(Inicio!F191*12),Inicio!F191)</f>
        <v>9000</v>
      </c>
      <c r="C40" s="250">
        <f>IF(C$5&lt;=Inicio!$E$49,+(B40*$B$25)+B40,0)</f>
        <v>9225</v>
      </c>
      <c r="D40" s="250">
        <f>IF(D$5&lt;=Inicio!$E$49,+(C40*$C$25)+C40,0)</f>
        <v>9455.625</v>
      </c>
      <c r="E40" s="250">
        <f>IF(E$5&lt;=Inicio!$E$49,+(D40*$D$25)+D40,0)</f>
        <v>9692.015625</v>
      </c>
      <c r="F40" s="250">
        <f>IF(F$5&lt;=Inicio!$E$49,+(E40*$E$25)+E40,0)</f>
        <v>9934.3160156249996</v>
      </c>
      <c r="G40" s="250">
        <f>IF(G$5&lt;=Inicio!$E$49,+(F40*$E$25)+F40,0)</f>
        <v>0</v>
      </c>
      <c r="H40" s="250">
        <f>IF(H$5&lt;=Inicio!$E$49,+(G40*$E$25)+G40,0)</f>
        <v>0</v>
      </c>
      <c r="I40" s="250">
        <f>IF(I$5&lt;=Inicio!$E$49,+(H40*$E$25)+H40,0)</f>
        <v>0</v>
      </c>
      <c r="J40" s="250">
        <f>IF(J$5&lt;=Inicio!$E$49,+(I40*$E$25)+I40,0)</f>
        <v>0</v>
      </c>
      <c r="K40" s="250">
        <f>IF(K$5&lt;=Inicio!$E$49,+(J40*$E$25)+J40,0)</f>
        <v>0</v>
      </c>
      <c r="L40" s="250">
        <f>IF(L$5&lt;=Inicio!$E$49,+(K40*$E$25)+K40,0)</f>
        <v>0</v>
      </c>
      <c r="M40" s="250">
        <f>IF(M$5&lt;=Inicio!$E$49,+(L40*$E$25)+L40,0)</f>
        <v>0</v>
      </c>
      <c r="N40" s="250">
        <f>IF(N$5&lt;=Inicio!$E$49,+(M40*$E$25)+M40,0)</f>
        <v>0</v>
      </c>
      <c r="O40" s="250">
        <f>IF(O$5&lt;=Inicio!$E$49,+(N40*$E$25)+N40,0)</f>
        <v>0</v>
      </c>
      <c r="P40" s="239">
        <f>IF(P$5&lt;=Inicio!$E$49,+(O40*$E$25)+O40,0)</f>
        <v>0</v>
      </c>
      <c r="Q40" s="230"/>
    </row>
    <row r="41" spans="1:17" x14ac:dyDescent="0.2">
      <c r="A41" s="242" t="str">
        <f>+Inicio!E192</f>
        <v>Envases y Empaques</v>
      </c>
      <c r="B41" s="176">
        <f>IF(Inicio!$E$51="Años",(Inicio!F192*12),Inicio!F192)</f>
        <v>6000</v>
      </c>
      <c r="C41" s="250">
        <f>IF(C$5&lt;=Inicio!$E$49,+(B41*$B$25)+B41,0)</f>
        <v>6150</v>
      </c>
      <c r="D41" s="250">
        <f>IF(D$5&lt;=Inicio!$E$49,+(C41*$C$25)+C41,0)</f>
        <v>6303.75</v>
      </c>
      <c r="E41" s="250">
        <f>IF(E$5&lt;=Inicio!$E$49,+(D41*$D$25)+D41,0)</f>
        <v>6461.34375</v>
      </c>
      <c r="F41" s="250">
        <f>IF(F$5&lt;=Inicio!$E$49,+(E41*$E$25)+E41,0)</f>
        <v>6622.8773437500004</v>
      </c>
      <c r="G41" s="250">
        <f>IF(G$5&lt;=Inicio!$E$49,+(F41*$E$25)+F41,0)</f>
        <v>0</v>
      </c>
      <c r="H41" s="250">
        <f>IF(H$5&lt;=Inicio!$E$49,+(G41*$E$25)+G41,0)</f>
        <v>0</v>
      </c>
      <c r="I41" s="250">
        <f>IF(I$5&lt;=Inicio!$E$49,+(H41*$E$25)+H41,0)</f>
        <v>0</v>
      </c>
      <c r="J41" s="250">
        <f>IF(J$5&lt;=Inicio!$E$49,+(I41*$E$25)+I41,0)</f>
        <v>0</v>
      </c>
      <c r="K41" s="250">
        <f>IF(K$5&lt;=Inicio!$E$49,+(J41*$E$25)+J41,0)</f>
        <v>0</v>
      </c>
      <c r="L41" s="250">
        <f>IF(L$5&lt;=Inicio!$E$49,+(K41*$E$25)+K41,0)</f>
        <v>0</v>
      </c>
      <c r="M41" s="250">
        <f>IF(M$5&lt;=Inicio!$E$49,+(L41*$E$25)+L41,0)</f>
        <v>0</v>
      </c>
      <c r="N41" s="250">
        <f>IF(N$5&lt;=Inicio!$E$49,+(M41*$E$25)+M41,0)</f>
        <v>0</v>
      </c>
      <c r="O41" s="250">
        <f>IF(O$5&lt;=Inicio!$E$49,+(N41*$E$25)+N41,0)</f>
        <v>0</v>
      </c>
      <c r="P41" s="239">
        <f>IF(P$5&lt;=Inicio!$E$49,+(O41*$E$25)+O41,0)</f>
        <v>0</v>
      </c>
      <c r="Q41" s="230"/>
    </row>
    <row r="42" spans="1:17" x14ac:dyDescent="0.2">
      <c r="A42" s="242" t="str">
        <f>+Inicio!E193</f>
        <v>Comisiones Contado  %</v>
      </c>
      <c r="B42" s="238">
        <f>IF(Inicio!$E$49&gt;=B27,(IF(Inicio!$E$51="AÑOS",((+$B$46*'presupuesto compras y ventas'!B56)+($D$46*'presupuesto compras y ventas'!B55)),($B$46*'presupuesto compras y ventas'!$B$53)+('gastos generales'!$D$46*'presupuesto compras y ventas'!$B$52))),0)</f>
        <v>0</v>
      </c>
      <c r="C42" s="238">
        <f>IF(Inicio!$E$49&gt;=C27,(IF(Inicio!$E$51="AÑOS",((+$B$46*'presupuesto compras y ventas'!C56)+($D$46*'presupuesto compras y ventas'!C55)),($B$46*'presupuesto compras y ventas'!$B$53)+('gastos generales'!$D$46*'presupuesto compras y ventas'!$B$52))),0)</f>
        <v>0</v>
      </c>
      <c r="D42" s="238">
        <f>IF(Inicio!$E$49&gt;=D27,(IF(Inicio!$E$51="AÑOS",((+$B$46*'presupuesto compras y ventas'!D56)+($D$46*'presupuesto compras y ventas'!D55)),($B$46*'presupuesto compras y ventas'!$B$53)+('gastos generales'!$D$46*'presupuesto compras y ventas'!$B$52))),0)</f>
        <v>0</v>
      </c>
      <c r="E42" s="238">
        <f>IF(Inicio!$E$49&gt;=E27,(IF(Inicio!$E$51="AÑOS",((+$B$46*'presupuesto compras y ventas'!E56)+($D$46*'presupuesto compras y ventas'!E55)),($B$46*'presupuesto compras y ventas'!$B$53)+('gastos generales'!$D$46*'presupuesto compras y ventas'!$B$52))),0)</f>
        <v>0</v>
      </c>
      <c r="F42" s="238">
        <f>IF(Inicio!$E$49&gt;=F27,(IF(Inicio!$E$51="AÑOS",((+$B$46*'presupuesto compras y ventas'!F56)+($D$46*'presupuesto compras y ventas'!F55)),($B$46*'presupuesto compras y ventas'!$B$53)+('gastos generales'!$D$46*'presupuesto compras y ventas'!$B$52))),0)</f>
        <v>0</v>
      </c>
      <c r="G42" s="238">
        <f>IF(Inicio!$E$49&gt;=G27,(IF(Inicio!$E$51="AÑOS",((+$B$46*'presupuesto compras y ventas'!G56)+($D$46*'presupuesto compras y ventas'!G55)),($B$46*'presupuesto compras y ventas'!$B$53)+('gastos generales'!$D$46*'presupuesto compras y ventas'!$B$52))),0)</f>
        <v>0</v>
      </c>
      <c r="H42" s="238">
        <f>IF(Inicio!$E$49&gt;=H27,(IF(Inicio!$E$51="AÑOS",((+$B$46*'presupuesto compras y ventas'!H56)+($D$46*'presupuesto compras y ventas'!H55)),($B$46*'presupuesto compras y ventas'!$B$53)+('gastos generales'!$D$46*'presupuesto compras y ventas'!$B$52))),0)</f>
        <v>0</v>
      </c>
      <c r="I42" s="238">
        <f>IF(Inicio!$E$49&gt;=I27,(IF(Inicio!$E$51="AÑOS",((+$B$46*'presupuesto compras y ventas'!I56)+($D$46*'presupuesto compras y ventas'!I55)),($B$46*'presupuesto compras y ventas'!$B$53)+('gastos generales'!$D$46*'presupuesto compras y ventas'!$B$52))),0)</f>
        <v>0</v>
      </c>
      <c r="J42" s="238">
        <f>IF(Inicio!$E$49&gt;=J27,(IF(Inicio!$E$51="AÑOS",((+$B$46*'presupuesto compras y ventas'!J56)+($D$46*'presupuesto compras y ventas'!J55)),($B$46*'presupuesto compras y ventas'!$B$53)+('gastos generales'!$D$46*'presupuesto compras y ventas'!$B$52))),0)</f>
        <v>0</v>
      </c>
      <c r="K42" s="238">
        <f>IF(Inicio!$E$49&gt;=K27,(IF(Inicio!$E$51="AÑOS",((+$B$46*'presupuesto compras y ventas'!K56)+($D$46*'presupuesto compras y ventas'!K55)),($B$46*'presupuesto compras y ventas'!$B$53)+('gastos generales'!$D$46*'presupuesto compras y ventas'!$B$52))),0)</f>
        <v>0</v>
      </c>
      <c r="L42" s="238">
        <f>IF(Inicio!$E$49&gt;=L27,(IF(Inicio!$E$51="AÑOS",((+$B$46*'presupuesto compras y ventas'!L56)+($D$46*'presupuesto compras y ventas'!L55)),($B$46*'presupuesto compras y ventas'!$B$53)+('gastos generales'!$D$46*'presupuesto compras y ventas'!$B$52))),0)</f>
        <v>0</v>
      </c>
      <c r="M42" s="238">
        <f>IF(Inicio!$E$49&gt;=M27,(IF(Inicio!$E$51="AÑOS",((+$B$46*'presupuesto compras y ventas'!M56)+($D$46*'presupuesto compras y ventas'!M55)),($B$46*'presupuesto compras y ventas'!$B$53)+('gastos generales'!$D$46*'presupuesto compras y ventas'!$B$52))),0)</f>
        <v>0</v>
      </c>
      <c r="N42" s="238">
        <f>IF(Inicio!$E$49&gt;=N27,(IF(Inicio!$E$51="AÑOS",((+$B$46*'presupuesto compras y ventas'!N56)+($D$46*'presupuesto compras y ventas'!N55)),($B$46*'presupuesto compras y ventas'!$B$53)+('gastos generales'!$D$46*'presupuesto compras y ventas'!$B$52))),0)</f>
        <v>0</v>
      </c>
      <c r="O42" s="238">
        <f>IF(Inicio!$E$49&gt;=O27,(IF(Inicio!$E$51="AÑOS",((+$B$46*'presupuesto compras y ventas'!O56)+($D$46*'presupuesto compras y ventas'!O55)),($B$46*'presupuesto compras y ventas'!$B$53)+('gastos generales'!$D$46*'presupuesto compras y ventas'!$B$52))),0)</f>
        <v>0</v>
      </c>
      <c r="P42" s="238">
        <f>IF(Inicio!$E$49&gt;=P27,(IF(Inicio!$E$51="AÑOS",((+$B$46*'presupuesto compras y ventas'!P56)+($D$46*'presupuesto compras y ventas'!P55)),($B$46*'presupuesto compras y ventas'!$B$53)+('gastos generales'!$D$46*'presupuesto compras y ventas'!$B$52))),0)</f>
        <v>0</v>
      </c>
      <c r="Q42" s="230"/>
    </row>
    <row r="43" spans="1:17" x14ac:dyDescent="0.2">
      <c r="A43" s="237" t="str">
        <f>+Inicio!E195</f>
        <v>Imprevistos</v>
      </c>
      <c r="B43" s="176">
        <f>IF(Inicio!$E$51="Años",(Inicio!F195*12),Inicio!F195)</f>
        <v>0</v>
      </c>
      <c r="C43" s="250">
        <f>IF(C$5&lt;=Inicio!$E$49,+(B43*$B$25)+B43,0)</f>
        <v>0</v>
      </c>
      <c r="D43" s="250">
        <f>IF(D$5&lt;=Inicio!$E$49,+(C43*$C$25)+C43,0)</f>
        <v>0</v>
      </c>
      <c r="E43" s="250">
        <f>IF(E$5&lt;=Inicio!$E$49,+(D43*$D$25)+D43,0)</f>
        <v>0</v>
      </c>
      <c r="F43" s="250">
        <f>IF(F$5&lt;=Inicio!$E$49,+(E43*$E$25)+E43,0)</f>
        <v>0</v>
      </c>
      <c r="G43" s="250">
        <f>IF(G$5&lt;=Inicio!$E$49,+(F43*$E$25)+F43,0)</f>
        <v>0</v>
      </c>
      <c r="H43" s="250">
        <f>IF(H$5&lt;=Inicio!$E$49,+(G43*$E$25)+G43,0)</f>
        <v>0</v>
      </c>
      <c r="I43" s="250">
        <f>IF(I$5&lt;=Inicio!$E$49,+(H43*$E$25)+H43,0)</f>
        <v>0</v>
      </c>
      <c r="J43" s="250">
        <f>IF(J$5&lt;=Inicio!$E$49,+(I43*$E$25)+I43,0)</f>
        <v>0</v>
      </c>
      <c r="K43" s="250">
        <f>IF(K$5&lt;=Inicio!$E$49,+(J43*$E$25)+J43,0)</f>
        <v>0</v>
      </c>
      <c r="L43" s="250">
        <f>IF(L$5&lt;=Inicio!$E$49,+(K43*$E$25)+K43,0)</f>
        <v>0</v>
      </c>
      <c r="M43" s="250">
        <f>IF(M$5&lt;=Inicio!$E$49,+(L43*$E$25)+L43,0)</f>
        <v>0</v>
      </c>
      <c r="N43" s="250">
        <f>IF(N$5&lt;=Inicio!$E$49,+(M43*$E$25)+M43,0)</f>
        <v>0</v>
      </c>
      <c r="O43" s="250">
        <f>IF(O$5&lt;=Inicio!$E$49,+(N43*$E$25)+N43,0)</f>
        <v>0</v>
      </c>
      <c r="P43" s="239">
        <f>IF(P$5&lt;=Inicio!$E$49,+(O43*$E$25)+O43,0)</f>
        <v>0</v>
      </c>
      <c r="Q43" s="230"/>
    </row>
    <row r="44" spans="1:17" ht="13.5" thickBot="1" x14ac:dyDescent="0.25">
      <c r="A44" s="237" t="str">
        <f>+Inicio!E196</f>
        <v>Otros</v>
      </c>
      <c r="B44" s="176">
        <f>IF(Inicio!$E$51="Años",(Inicio!F196*12),Inicio!F196)</f>
        <v>18000</v>
      </c>
      <c r="C44" s="250">
        <f>IF(C$5&lt;=Inicio!$E$49,+(B44*$B$25)+B44,0)</f>
        <v>18450</v>
      </c>
      <c r="D44" s="250">
        <f>IF(D$5&lt;=Inicio!$E$49,+(C44*$C$25)+C44,0)</f>
        <v>18911.25</v>
      </c>
      <c r="E44" s="250">
        <f>IF(E$5&lt;=Inicio!$E$49,+(D44*$D$25)+D44,0)</f>
        <v>19384.03125</v>
      </c>
      <c r="F44" s="250">
        <f>IF(F$5&lt;=Inicio!$E$49,+(E44*$E$25)+E44,0)</f>
        <v>19868.632031249999</v>
      </c>
      <c r="G44" s="250">
        <f>IF(G$5&lt;=Inicio!$E$49,+(F44*$E$25)+F44,0)</f>
        <v>0</v>
      </c>
      <c r="H44" s="250">
        <f>IF(H$5&lt;=Inicio!$E$49,+(G44*$E$25)+G44,0)</f>
        <v>0</v>
      </c>
      <c r="I44" s="250">
        <f>IF(I$5&lt;=Inicio!$E$49,+(H44*$E$25)+H44,0)</f>
        <v>0</v>
      </c>
      <c r="J44" s="250">
        <f>IF(J$5&lt;=Inicio!$E$49,+(I44*$E$25)+I44,0)</f>
        <v>0</v>
      </c>
      <c r="K44" s="250">
        <f>IF(K$5&lt;=Inicio!$E$49,+(J44*$E$25)+J44,0)</f>
        <v>0</v>
      </c>
      <c r="L44" s="250">
        <f>IF(L$5&lt;=Inicio!$E$49,+(K44*$E$25)+K44,0)</f>
        <v>0</v>
      </c>
      <c r="M44" s="250">
        <f>IF(M$5&lt;=Inicio!$E$49,+(L44*$E$25)+L44,0)</f>
        <v>0</v>
      </c>
      <c r="N44" s="250">
        <f>IF(N$5&lt;=Inicio!$E$49,+(M44*$E$25)+M44,0)</f>
        <v>0</v>
      </c>
      <c r="O44" s="250">
        <f>IF(O$5&lt;=Inicio!$E$49,+(N44*$E$25)+N44,0)</f>
        <v>0</v>
      </c>
      <c r="P44" s="251">
        <f>IF(P$5&lt;=Inicio!$E$49,+(O44*$E$25)+O44,0)</f>
        <v>0</v>
      </c>
      <c r="Q44" s="230"/>
    </row>
    <row r="45" spans="1:17" ht="13.5" thickBot="1" x14ac:dyDescent="0.25">
      <c r="A45" s="252" t="s">
        <v>50</v>
      </c>
      <c r="B45" s="253">
        <f t="shared" ref="B45:P45" si="1">SUM(B28:B44)</f>
        <v>98700</v>
      </c>
      <c r="C45" s="253">
        <f t="shared" si="1"/>
        <v>101167.5</v>
      </c>
      <c r="D45" s="253">
        <f t="shared" si="1"/>
        <v>103696.6875</v>
      </c>
      <c r="E45" s="253">
        <f t="shared" si="1"/>
        <v>106289.1046875</v>
      </c>
      <c r="F45" s="253">
        <f t="shared" si="1"/>
        <v>108946.3323046875</v>
      </c>
      <c r="G45" s="253">
        <f t="shared" si="1"/>
        <v>0</v>
      </c>
      <c r="H45" s="253">
        <f t="shared" si="1"/>
        <v>0</v>
      </c>
      <c r="I45" s="253">
        <f t="shared" si="1"/>
        <v>0</v>
      </c>
      <c r="J45" s="253">
        <f t="shared" si="1"/>
        <v>0</v>
      </c>
      <c r="K45" s="253">
        <f t="shared" si="1"/>
        <v>0</v>
      </c>
      <c r="L45" s="253">
        <f t="shared" si="1"/>
        <v>0</v>
      </c>
      <c r="M45" s="253">
        <f t="shared" si="1"/>
        <v>0</v>
      </c>
      <c r="N45" s="253">
        <f t="shared" si="1"/>
        <v>0</v>
      </c>
      <c r="O45" s="253">
        <f t="shared" si="1"/>
        <v>0</v>
      </c>
      <c r="P45" s="253">
        <f t="shared" si="1"/>
        <v>0</v>
      </c>
      <c r="Q45" s="230"/>
    </row>
    <row r="46" spans="1:17" ht="13.5" thickBot="1" x14ac:dyDescent="0.25">
      <c r="A46" s="254" t="s">
        <v>198</v>
      </c>
      <c r="B46" s="474">
        <f>Inicio!F193</f>
        <v>0</v>
      </c>
      <c r="C46" s="262" t="s">
        <v>363</v>
      </c>
      <c r="D46" s="475">
        <f>Inicio!F194</f>
        <v>0</v>
      </c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35"/>
      <c r="Q46" s="230"/>
    </row>
    <row r="47" spans="1:17" ht="13.5" thickBot="1" x14ac:dyDescent="0.25">
      <c r="A47" s="263" t="s">
        <v>141</v>
      </c>
      <c r="B47" s="264">
        <v>0</v>
      </c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60"/>
      <c r="Q47" s="230"/>
    </row>
    <row r="48" spans="1:17" x14ac:dyDescent="0.2">
      <c r="A48" s="230"/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</row>
    <row r="49" spans="1:17" ht="13.5" thickBot="1" x14ac:dyDescent="0.25">
      <c r="A49" s="230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</row>
    <row r="50" spans="1:17" ht="13.5" thickBot="1" x14ac:dyDescent="0.25">
      <c r="A50" s="240" t="s">
        <v>142</v>
      </c>
      <c r="B50" s="249">
        <v>1</v>
      </c>
      <c r="C50" s="249">
        <v>2</v>
      </c>
      <c r="D50" s="249">
        <v>3</v>
      </c>
      <c r="E50" s="249">
        <v>4</v>
      </c>
      <c r="F50" s="249">
        <v>5</v>
      </c>
      <c r="G50" s="249">
        <v>6</v>
      </c>
      <c r="H50" s="249">
        <v>7</v>
      </c>
      <c r="I50" s="249">
        <v>8</v>
      </c>
      <c r="J50" s="249">
        <v>9</v>
      </c>
      <c r="K50" s="249">
        <v>10</v>
      </c>
      <c r="L50" s="249">
        <v>11</v>
      </c>
      <c r="M50" s="249">
        <v>12</v>
      </c>
      <c r="N50" s="249">
        <v>13</v>
      </c>
      <c r="O50" s="249">
        <v>14</v>
      </c>
      <c r="P50" s="249">
        <v>15</v>
      </c>
      <c r="Q50" s="230"/>
    </row>
    <row r="51" spans="1:17" x14ac:dyDescent="0.2">
      <c r="A51" s="242" t="str">
        <f>+Inicio!C199</f>
        <v>Honorarios</v>
      </c>
      <c r="B51" s="176">
        <f>IF(Inicio!$E$51="Años",(Inicio!D199*12),Inicio!D199)</f>
        <v>0</v>
      </c>
      <c r="C51" s="250">
        <f>IF(C$5&lt;=Inicio!$E$49,+(B51*$B$25)+B51,0)</f>
        <v>0</v>
      </c>
      <c r="D51" s="250">
        <f>IF(D$5&lt;=Inicio!$E$49,+(C51*$C$25)+C51,0)</f>
        <v>0</v>
      </c>
      <c r="E51" s="250">
        <f>IF(E$5&lt;=Inicio!$E$49,+(D51*$D$25)+D51,0)</f>
        <v>0</v>
      </c>
      <c r="F51" s="250">
        <f>IF(F$5&lt;=Inicio!$E$49,+(E51*$E$25)+E51,0)</f>
        <v>0</v>
      </c>
      <c r="G51" s="250">
        <f>IF(G$5&lt;=Inicio!$E$49,+(F51*$E$25)+F51,0)</f>
        <v>0</v>
      </c>
      <c r="H51" s="250">
        <f>IF(H$5&lt;=Inicio!$E$49,+(G51*$E$25)+G51,0)</f>
        <v>0</v>
      </c>
      <c r="I51" s="250">
        <f>IF(I$5&lt;=Inicio!$E$49,+(H51*$E$25)+H51,0)</f>
        <v>0</v>
      </c>
      <c r="J51" s="250">
        <f>IF(J$5&lt;=Inicio!$E$49,+(I51*$E$25)+I51,0)</f>
        <v>0</v>
      </c>
      <c r="K51" s="250">
        <f>IF(K$5&lt;=Inicio!$E$49,+(J51*$E$25)+J51,0)</f>
        <v>0</v>
      </c>
      <c r="L51" s="250">
        <f>IF(L$5&lt;=Inicio!$E$49,+(K51*$E$25)+K51,0)</f>
        <v>0</v>
      </c>
      <c r="M51" s="250">
        <f>IF(M$5&lt;=Inicio!$E$49,+(L51*$E$25)+L51,0)</f>
        <v>0</v>
      </c>
      <c r="N51" s="250">
        <f>IF(N$5&lt;=Inicio!$E$49,+(M51*$E$25)+M51,0)</f>
        <v>0</v>
      </c>
      <c r="O51" s="250">
        <f>IF(O$5&lt;=Inicio!$E$49,+(N51*$E$25)+N51,0)</f>
        <v>0</v>
      </c>
      <c r="P51" s="243">
        <f>IF(P$5&lt;=Inicio!$E$49,+(O51*$E$25)+O51,0)</f>
        <v>0</v>
      </c>
      <c r="Q51" s="230"/>
    </row>
    <row r="52" spans="1:17" x14ac:dyDescent="0.2">
      <c r="A52" s="242" t="str">
        <f>+Inicio!C200</f>
        <v>Impuestos</v>
      </c>
      <c r="B52" s="176">
        <f>IF(Inicio!$E$51="Años",(Inicio!D200*12),Inicio!D200)</f>
        <v>0</v>
      </c>
      <c r="C52" s="250">
        <f>IF(C$5&lt;=Inicio!$E$49,+(B52*$B$25)+B52,0)</f>
        <v>0</v>
      </c>
      <c r="D52" s="250">
        <f>IF(D$5&lt;=Inicio!$E$49,+(C52*$C$25)+C52,0)</f>
        <v>0</v>
      </c>
      <c r="E52" s="250">
        <f>IF(E$5&lt;=Inicio!$E$49,+(D52*$D$25)+D52,0)</f>
        <v>0</v>
      </c>
      <c r="F52" s="250">
        <f>IF(F$5&lt;=Inicio!$E$49,+(E52*$E$25)+E52,0)</f>
        <v>0</v>
      </c>
      <c r="G52" s="250">
        <f>IF(G$5&lt;=Inicio!$E$49,+(F52*$E$25)+F52,0)</f>
        <v>0</v>
      </c>
      <c r="H52" s="250">
        <f>IF(H$5&lt;=Inicio!$E$49,+(G52*$E$25)+G52,0)</f>
        <v>0</v>
      </c>
      <c r="I52" s="250">
        <f>IF(I$5&lt;=Inicio!$E$49,+(H52*$E$25)+H52,0)</f>
        <v>0</v>
      </c>
      <c r="J52" s="250">
        <f>IF(J$5&lt;=Inicio!$E$49,+(I52*$E$25)+I52,0)</f>
        <v>0</v>
      </c>
      <c r="K52" s="250">
        <f>IF(K$5&lt;=Inicio!$E$49,+(J52*$E$25)+J52,0)</f>
        <v>0</v>
      </c>
      <c r="L52" s="250">
        <f>IF(L$5&lt;=Inicio!$E$49,+(K52*$E$25)+K52,0)</f>
        <v>0</v>
      </c>
      <c r="M52" s="250">
        <f>IF(M$5&lt;=Inicio!$E$49,+(L52*$E$25)+L52,0)</f>
        <v>0</v>
      </c>
      <c r="N52" s="250">
        <f>IF(N$5&lt;=Inicio!$E$49,+(M52*$E$25)+M52,0)</f>
        <v>0</v>
      </c>
      <c r="O52" s="250">
        <f>IF(O$5&lt;=Inicio!$E$49,+(N52*$E$25)+N52,0)</f>
        <v>0</v>
      </c>
      <c r="P52" s="239">
        <f>IF(P$5&lt;=Inicio!$E$49,+(O52*$E$25)+O52,0)</f>
        <v>0</v>
      </c>
      <c r="Q52" s="230"/>
    </row>
    <row r="53" spans="1:17" x14ac:dyDescent="0.2">
      <c r="A53" s="242" t="str">
        <f>+Inicio!C201</f>
        <v>Arrendamiento</v>
      </c>
      <c r="B53" s="176">
        <f>IF(Inicio!$E$51="Años",(Inicio!D201*12),Inicio!D201)</f>
        <v>0</v>
      </c>
      <c r="C53" s="250">
        <f>IF(C$5&lt;=Inicio!$E$49,+(B53*$B$25)+B53,0)</f>
        <v>0</v>
      </c>
      <c r="D53" s="250">
        <f>IF(D$5&lt;=Inicio!$E$49,+(C53*$C$25)+C53,0)</f>
        <v>0</v>
      </c>
      <c r="E53" s="250">
        <f>IF(E$5&lt;=Inicio!$E$49,+(D53*$D$25)+D53,0)</f>
        <v>0</v>
      </c>
      <c r="F53" s="250">
        <f>IF(F$5&lt;=Inicio!$E$49,+(E53*$E$25)+E53,0)</f>
        <v>0</v>
      </c>
      <c r="G53" s="250">
        <f>IF(G$5&lt;=Inicio!$E$49,+(F53*$E$25)+F53,0)</f>
        <v>0</v>
      </c>
      <c r="H53" s="250">
        <f>IF(H$5&lt;=Inicio!$E$49,+(G53*$E$25)+G53,0)</f>
        <v>0</v>
      </c>
      <c r="I53" s="250">
        <f>IF(I$5&lt;=Inicio!$E$49,+(H53*$E$25)+H53,0)</f>
        <v>0</v>
      </c>
      <c r="J53" s="250">
        <f>IF(J$5&lt;=Inicio!$E$49,+(I53*$E$25)+I53,0)</f>
        <v>0</v>
      </c>
      <c r="K53" s="250">
        <f>IF(K$5&lt;=Inicio!$E$49,+(J53*$E$25)+J53,0)</f>
        <v>0</v>
      </c>
      <c r="L53" s="250">
        <f>IF(L$5&lt;=Inicio!$E$49,+(K53*$E$25)+K53,0)</f>
        <v>0</v>
      </c>
      <c r="M53" s="250">
        <f>IF(M$5&lt;=Inicio!$E$49,+(L53*$E$25)+L53,0)</f>
        <v>0</v>
      </c>
      <c r="N53" s="250">
        <f>IF(N$5&lt;=Inicio!$E$49,+(M53*$E$25)+M53,0)</f>
        <v>0</v>
      </c>
      <c r="O53" s="250">
        <f>IF(O$5&lt;=Inicio!$E$49,+(N53*$E$25)+N53,0)</f>
        <v>0</v>
      </c>
      <c r="P53" s="239">
        <f>IF(P$5&lt;=Inicio!$E$49,+(O53*$E$25)+O53,0)</f>
        <v>0</v>
      </c>
      <c r="Q53" s="230"/>
    </row>
    <row r="54" spans="1:17" x14ac:dyDescent="0.2">
      <c r="A54" s="242" t="str">
        <f>+Inicio!C202</f>
        <v>Seguros</v>
      </c>
      <c r="B54" s="176">
        <f>IF(Inicio!$E$51="Años",(Inicio!D202*12),Inicio!D202)</f>
        <v>0</v>
      </c>
      <c r="C54" s="250">
        <f>IF(C$5&lt;=Inicio!$E$49,+(B54*$B$25)+B54,0)</f>
        <v>0</v>
      </c>
      <c r="D54" s="250">
        <f>IF(D$5&lt;=Inicio!$E$49,+(C54*$C$25)+C54,0)</f>
        <v>0</v>
      </c>
      <c r="E54" s="250">
        <f>IF(E$5&lt;=Inicio!$E$49,+(D54*$D$25)+D54,0)</f>
        <v>0</v>
      </c>
      <c r="F54" s="250">
        <f>IF(F$5&lt;=Inicio!$E$49,+(E54*$E$25)+E54,0)</f>
        <v>0</v>
      </c>
      <c r="G54" s="250">
        <f>IF(G$5&lt;=Inicio!$E$49,+(F54*$E$25)+F54,0)</f>
        <v>0</v>
      </c>
      <c r="H54" s="250">
        <f>IF(H$5&lt;=Inicio!$E$49,+(G54*$E$25)+G54,0)</f>
        <v>0</v>
      </c>
      <c r="I54" s="250">
        <f>IF(I$5&lt;=Inicio!$E$49,+(H54*$E$25)+H54,0)</f>
        <v>0</v>
      </c>
      <c r="J54" s="250">
        <f>IF(J$5&lt;=Inicio!$E$49,+(I54*$E$25)+I54,0)</f>
        <v>0</v>
      </c>
      <c r="K54" s="250">
        <f>IF(K$5&lt;=Inicio!$E$49,+(J54*$E$25)+J54,0)</f>
        <v>0</v>
      </c>
      <c r="L54" s="250">
        <f>IF(L$5&lt;=Inicio!$E$49,+(K54*$E$25)+K54,0)</f>
        <v>0</v>
      </c>
      <c r="M54" s="250">
        <f>IF(M$5&lt;=Inicio!$E$49,+(L54*$E$25)+L54,0)</f>
        <v>0</v>
      </c>
      <c r="N54" s="250">
        <f>IF(N$5&lt;=Inicio!$E$49,+(M54*$E$25)+M54,0)</f>
        <v>0</v>
      </c>
      <c r="O54" s="250">
        <f>IF(O$5&lt;=Inicio!$E$49,+(N54*$E$25)+N54,0)</f>
        <v>0</v>
      </c>
      <c r="P54" s="239">
        <f>IF(P$5&lt;=Inicio!$E$49,+(O54*$E$25)+O54,0)</f>
        <v>0</v>
      </c>
      <c r="Q54" s="230"/>
    </row>
    <row r="55" spans="1:17" x14ac:dyDescent="0.2">
      <c r="A55" s="242" t="str">
        <f>+Inicio!C203</f>
        <v>Servicios  Públicos</v>
      </c>
      <c r="B55" s="176">
        <f>IF(Inicio!$E$51="Años",(Inicio!D203*12),Inicio!D203)</f>
        <v>0</v>
      </c>
      <c r="C55" s="250">
        <f>IF(C$5&lt;=Inicio!$E$49,+(B55*$B$25)+B55,0)</f>
        <v>0</v>
      </c>
      <c r="D55" s="250">
        <f>IF(D$5&lt;=Inicio!$E$49,+(C55*$C$25)+C55,0)</f>
        <v>0</v>
      </c>
      <c r="E55" s="250">
        <f>IF(E$5&lt;=Inicio!$E$49,+(D55*$D$25)+D55,0)</f>
        <v>0</v>
      </c>
      <c r="F55" s="250">
        <f>IF(F$5&lt;=Inicio!$E$49,+(E55*$E$25)+E55,0)</f>
        <v>0</v>
      </c>
      <c r="G55" s="250">
        <f>IF(G$5&lt;=Inicio!$E$49,+(F55*$E$25)+F55,0)</f>
        <v>0</v>
      </c>
      <c r="H55" s="250">
        <f>IF(H$5&lt;=Inicio!$E$49,+(G55*$E$25)+G55,0)</f>
        <v>0</v>
      </c>
      <c r="I55" s="250">
        <f>IF(I$5&lt;=Inicio!$E$49,+(H55*$E$25)+H55,0)</f>
        <v>0</v>
      </c>
      <c r="J55" s="250">
        <f>IF(J$5&lt;=Inicio!$E$49,+(I55*$E$25)+I55,0)</f>
        <v>0</v>
      </c>
      <c r="K55" s="250">
        <f>IF(K$5&lt;=Inicio!$E$49,+(J55*$E$25)+J55,0)</f>
        <v>0</v>
      </c>
      <c r="L55" s="250">
        <f>IF(L$5&lt;=Inicio!$E$49,+(K55*$E$25)+K55,0)</f>
        <v>0</v>
      </c>
      <c r="M55" s="250">
        <f>IF(M$5&lt;=Inicio!$E$49,+(L55*$E$25)+L55,0)</f>
        <v>0</v>
      </c>
      <c r="N55" s="250">
        <f>IF(N$5&lt;=Inicio!$E$49,+(M55*$E$25)+M55,0)</f>
        <v>0</v>
      </c>
      <c r="O55" s="250">
        <f>IF(O$5&lt;=Inicio!$E$49,+(N55*$E$25)+N55,0)</f>
        <v>0</v>
      </c>
      <c r="P55" s="239">
        <f>IF(P$5&lt;=Inicio!$E$49,+(O55*$E$25)+O55,0)</f>
        <v>0</v>
      </c>
      <c r="Q55" s="230"/>
    </row>
    <row r="56" spans="1:17" x14ac:dyDescent="0.2">
      <c r="A56" s="242" t="str">
        <f>+Inicio!C204</f>
        <v>Servicios Transporte y Acarreos</v>
      </c>
      <c r="B56" s="176">
        <f>IF(Inicio!$E$51="Años",(Inicio!D204*12),Inicio!D204)</f>
        <v>0</v>
      </c>
      <c r="C56" s="250">
        <f>IF(C$5&lt;=Inicio!$E$49,+(B56*$B$25)+B56,0)</f>
        <v>0</v>
      </c>
      <c r="D56" s="250">
        <f>IF(D$5&lt;=Inicio!$E$49,+(C56*$C$25)+C56,0)</f>
        <v>0</v>
      </c>
      <c r="E56" s="250">
        <f>IF(E$5&lt;=Inicio!$E$49,+(D56*$D$25)+D56,0)</f>
        <v>0</v>
      </c>
      <c r="F56" s="250">
        <f>IF(F$5&lt;=Inicio!$E$49,+(E56*$E$25)+E56,0)</f>
        <v>0</v>
      </c>
      <c r="G56" s="250">
        <f>IF(G$5&lt;=Inicio!$E$49,+(F56*$E$25)+F56,0)</f>
        <v>0</v>
      </c>
      <c r="H56" s="250">
        <f>IF(H$5&lt;=Inicio!$E$49,+(G56*$E$25)+G56,0)</f>
        <v>0</v>
      </c>
      <c r="I56" s="250">
        <f>IF(I$5&lt;=Inicio!$E$49,+(H56*$E$25)+H56,0)</f>
        <v>0</v>
      </c>
      <c r="J56" s="250">
        <f>IF(J$5&lt;=Inicio!$E$49,+(I56*$E$25)+I56,0)</f>
        <v>0</v>
      </c>
      <c r="K56" s="250">
        <f>IF(K$5&lt;=Inicio!$E$49,+(J56*$E$25)+J56,0)</f>
        <v>0</v>
      </c>
      <c r="L56" s="250">
        <f>IF(L$5&lt;=Inicio!$E$49,+(K56*$E$25)+K56,0)</f>
        <v>0</v>
      </c>
      <c r="M56" s="250">
        <f>IF(M$5&lt;=Inicio!$E$49,+(L56*$E$25)+L56,0)</f>
        <v>0</v>
      </c>
      <c r="N56" s="250">
        <f>IF(N$5&lt;=Inicio!$E$49,+(M56*$E$25)+M56,0)</f>
        <v>0</v>
      </c>
      <c r="O56" s="250">
        <f>IF(O$5&lt;=Inicio!$E$49,+(N56*$E$25)+N56,0)</f>
        <v>0</v>
      </c>
      <c r="P56" s="239">
        <f>IF(P$5&lt;=Inicio!$E$49,+(O56*$E$25)+O56,0)</f>
        <v>0</v>
      </c>
      <c r="Q56" s="230"/>
    </row>
    <row r="57" spans="1:17" x14ac:dyDescent="0.2">
      <c r="A57" s="242" t="str">
        <f>+Inicio!C205</f>
        <v>Gastos Legales</v>
      </c>
      <c r="B57" s="176">
        <f>IF(Inicio!$E$51="Años",(Inicio!D205*12),Inicio!D205)</f>
        <v>60000</v>
      </c>
      <c r="C57" s="250">
        <f>IF(C$5&lt;=Inicio!$E$49,+(B57*$B$25)+B57,0)</f>
        <v>61500</v>
      </c>
      <c r="D57" s="250">
        <f>IF(D$5&lt;=Inicio!$E$49,+(C57*$C$25)+C57,0)</f>
        <v>63037.5</v>
      </c>
      <c r="E57" s="250">
        <f>IF(E$5&lt;=Inicio!$E$49,+(D57*$D$25)+D57,0)</f>
        <v>64613.4375</v>
      </c>
      <c r="F57" s="250">
        <f>IF(F$5&lt;=Inicio!$E$49,+(E57*$E$25)+E57,0)</f>
        <v>66228.7734375</v>
      </c>
      <c r="G57" s="250">
        <f>IF(G$5&lt;=Inicio!$E$49,+(F57*$E$25)+F57,0)</f>
        <v>0</v>
      </c>
      <c r="H57" s="250">
        <f>IF(H$5&lt;=Inicio!$E$49,+(G57*$E$25)+G57,0)</f>
        <v>0</v>
      </c>
      <c r="I57" s="250">
        <f>IF(I$5&lt;=Inicio!$E$49,+(H57*$E$25)+H57,0)</f>
        <v>0</v>
      </c>
      <c r="J57" s="250">
        <f>IF(J$5&lt;=Inicio!$E$49,+(I57*$E$25)+I57,0)</f>
        <v>0</v>
      </c>
      <c r="K57" s="250">
        <f>IF(K$5&lt;=Inicio!$E$49,+(J57*$E$25)+J57,0)</f>
        <v>0</v>
      </c>
      <c r="L57" s="250">
        <f>IF(L$5&lt;=Inicio!$E$49,+(K57*$E$25)+K57,0)</f>
        <v>0</v>
      </c>
      <c r="M57" s="250">
        <f>IF(M$5&lt;=Inicio!$E$49,+(L57*$E$25)+L57,0)</f>
        <v>0</v>
      </c>
      <c r="N57" s="250">
        <f>IF(N$5&lt;=Inicio!$E$49,+(M57*$E$25)+M57,0)</f>
        <v>0</v>
      </c>
      <c r="O57" s="250">
        <f>IF(O$5&lt;=Inicio!$E$49,+(N57*$E$25)+N57,0)</f>
        <v>0</v>
      </c>
      <c r="P57" s="239">
        <f>IF(P$5&lt;=Inicio!$E$49,+(O57*$E$25)+O57,0)</f>
        <v>0</v>
      </c>
      <c r="Q57" s="230"/>
    </row>
    <row r="58" spans="1:17" x14ac:dyDescent="0.2">
      <c r="A58" s="242" t="str">
        <f>+Inicio!C206</f>
        <v>Mantenimiento Reparaciones</v>
      </c>
      <c r="B58" s="176">
        <f>IF(Inicio!$E$51="Años",(Inicio!D206*12),Inicio!D206)</f>
        <v>27600</v>
      </c>
      <c r="C58" s="250">
        <f>IF(C$5&lt;=Inicio!$E$49,+(B58*$B$25)+B58,0)</f>
        <v>28290</v>
      </c>
      <c r="D58" s="250">
        <f>IF(D$5&lt;=Inicio!$E$49,+(C58*$C$25)+C58,0)</f>
        <v>28997.25</v>
      </c>
      <c r="E58" s="250">
        <f>IF(E$5&lt;=Inicio!$E$49,+(D58*$D$25)+D58,0)</f>
        <v>29722.181250000001</v>
      </c>
      <c r="F58" s="250">
        <f>IF(F$5&lt;=Inicio!$E$49,+(E58*$E$25)+E58,0)</f>
        <v>30465.235781250001</v>
      </c>
      <c r="G58" s="250">
        <f>IF(G$5&lt;=Inicio!$E$49,+(F58*$E$25)+F58,0)</f>
        <v>0</v>
      </c>
      <c r="H58" s="250">
        <f>IF(H$5&lt;=Inicio!$E$49,+(G58*$E$25)+G58,0)</f>
        <v>0</v>
      </c>
      <c r="I58" s="250">
        <f>IF(I$5&lt;=Inicio!$E$49,+(H58*$E$25)+H58,0)</f>
        <v>0</v>
      </c>
      <c r="J58" s="250">
        <f>IF(J$5&lt;=Inicio!$E$49,+(I58*$E$25)+I58,0)</f>
        <v>0</v>
      </c>
      <c r="K58" s="250">
        <f>IF(K$5&lt;=Inicio!$E$49,+(J58*$E$25)+J58,0)</f>
        <v>0</v>
      </c>
      <c r="L58" s="250">
        <f>IF(L$5&lt;=Inicio!$E$49,+(K58*$E$25)+K58,0)</f>
        <v>0</v>
      </c>
      <c r="M58" s="250">
        <f>IF(M$5&lt;=Inicio!$E$49,+(L58*$E$25)+L58,0)</f>
        <v>0</v>
      </c>
      <c r="N58" s="250">
        <f>IF(N$5&lt;=Inicio!$E$49,+(M58*$E$25)+M58,0)</f>
        <v>0</v>
      </c>
      <c r="O58" s="250">
        <f>IF(O$5&lt;=Inicio!$E$49,+(N58*$E$25)+N58,0)</f>
        <v>0</v>
      </c>
      <c r="P58" s="239">
        <f>IF(P$5&lt;=Inicio!$E$49,+(O58*$E$25)+O58,0)</f>
        <v>0</v>
      </c>
      <c r="Q58" s="230"/>
    </row>
    <row r="59" spans="1:17" x14ac:dyDescent="0.2">
      <c r="A59" s="242" t="str">
        <f>+Inicio!C207</f>
        <v>Gastos de Viaje</v>
      </c>
      <c r="B59" s="176">
        <f>IF(Inicio!$E$51="Años",(Inicio!D207*12),Inicio!D207)</f>
        <v>0</v>
      </c>
      <c r="C59" s="250">
        <f>IF(C$5&lt;=Inicio!$E$49,+(B59*$B$25)+B59,0)</f>
        <v>0</v>
      </c>
      <c r="D59" s="250">
        <f>IF(D$5&lt;=Inicio!$E$49,+(C59*$C$25)+C59,0)</f>
        <v>0</v>
      </c>
      <c r="E59" s="250">
        <f>IF(E$5&lt;=Inicio!$E$49,+(D59*$D$25)+D59,0)</f>
        <v>0</v>
      </c>
      <c r="F59" s="250">
        <f>IF(F$5&lt;=Inicio!$E$49,+(E59*$E$25)+E59,0)</f>
        <v>0</v>
      </c>
      <c r="G59" s="250">
        <f>IF(G$5&lt;=Inicio!$E$49,+(F59*$E$25)+F59,0)</f>
        <v>0</v>
      </c>
      <c r="H59" s="250">
        <f>IF(H$5&lt;=Inicio!$E$49,+(G59*$E$25)+G59,0)</f>
        <v>0</v>
      </c>
      <c r="I59" s="250">
        <f>IF(I$5&lt;=Inicio!$E$49,+(H59*$E$25)+H59,0)</f>
        <v>0</v>
      </c>
      <c r="J59" s="250">
        <f>IF(J$5&lt;=Inicio!$E$49,+(I59*$E$25)+I59,0)</f>
        <v>0</v>
      </c>
      <c r="K59" s="250">
        <f>IF(K$5&lt;=Inicio!$E$49,+(J59*$E$25)+J59,0)</f>
        <v>0</v>
      </c>
      <c r="L59" s="250">
        <f>IF(L$5&lt;=Inicio!$E$49,+(K59*$E$25)+K59,0)</f>
        <v>0</v>
      </c>
      <c r="M59" s="250">
        <f>IF(M$5&lt;=Inicio!$E$49,+(L59*$E$25)+L59,0)</f>
        <v>0</v>
      </c>
      <c r="N59" s="250">
        <f>IF(N$5&lt;=Inicio!$E$49,+(M59*$E$25)+M59,0)</f>
        <v>0</v>
      </c>
      <c r="O59" s="250">
        <f>IF(O$5&lt;=Inicio!$E$49,+(N59*$E$25)+N59,0)</f>
        <v>0</v>
      </c>
      <c r="P59" s="239">
        <f>IF(P$5&lt;=Inicio!$E$49,+(O59*$E$25)+O59,0)</f>
        <v>0</v>
      </c>
      <c r="Q59" s="230"/>
    </row>
    <row r="60" spans="1:17" x14ac:dyDescent="0.2">
      <c r="A60" s="242" t="str">
        <f>+Inicio!C208</f>
        <v>Propaganda y Publicidad</v>
      </c>
      <c r="B60" s="176">
        <f>IF(Inicio!$E$51="Años",(Inicio!D208*12),Inicio!D208)</f>
        <v>36000</v>
      </c>
      <c r="C60" s="250">
        <f>IF(C$5&lt;=Inicio!$E$49,+(B60*$B$25)+B60,0)</f>
        <v>36900</v>
      </c>
      <c r="D60" s="250">
        <f>IF(D$5&lt;=Inicio!$E$49,+(C60*$C$25)+C60,0)</f>
        <v>37822.5</v>
      </c>
      <c r="E60" s="250">
        <f>IF(E$5&lt;=Inicio!$E$49,+(D60*$D$25)+D60,0)</f>
        <v>38768.0625</v>
      </c>
      <c r="F60" s="250">
        <f>IF(F$5&lt;=Inicio!$E$49,+(E60*$E$25)+E60,0)</f>
        <v>39737.264062499999</v>
      </c>
      <c r="G60" s="250">
        <f>IF(G$5&lt;=Inicio!$E$49,+(F60*$E$25)+F60,0)</f>
        <v>0</v>
      </c>
      <c r="H60" s="250">
        <f>IF(H$5&lt;=Inicio!$E$49,+(G60*$E$25)+G60,0)</f>
        <v>0</v>
      </c>
      <c r="I60" s="250">
        <f>IF(I$5&lt;=Inicio!$E$49,+(H60*$E$25)+H60,0)</f>
        <v>0</v>
      </c>
      <c r="J60" s="250">
        <f>IF(J$5&lt;=Inicio!$E$49,+(I60*$E$25)+I60,0)</f>
        <v>0</v>
      </c>
      <c r="K60" s="250">
        <f>IF(K$5&lt;=Inicio!$E$49,+(J60*$E$25)+J60,0)</f>
        <v>0</v>
      </c>
      <c r="L60" s="250">
        <f>IF(L$5&lt;=Inicio!$E$49,+(K60*$E$25)+K60,0)</f>
        <v>0</v>
      </c>
      <c r="M60" s="250">
        <f>IF(M$5&lt;=Inicio!$E$49,+(L60*$E$25)+L60,0)</f>
        <v>0</v>
      </c>
      <c r="N60" s="250">
        <f>IF(N$5&lt;=Inicio!$E$49,+(M60*$E$25)+M60,0)</f>
        <v>0</v>
      </c>
      <c r="O60" s="250">
        <f>IF(O$5&lt;=Inicio!$E$49,+(N60*$E$25)+N60,0)</f>
        <v>0</v>
      </c>
      <c r="P60" s="239">
        <f>IF(P$5&lt;=Inicio!$E$49,+(O60*$E$25)+O60,0)</f>
        <v>0</v>
      </c>
      <c r="Q60" s="230"/>
    </row>
    <row r="61" spans="1:17" x14ac:dyDescent="0.2">
      <c r="A61" s="242" t="str">
        <f>+Inicio!C209</f>
        <v>Elementos de Aseo y Cafetería</v>
      </c>
      <c r="B61" s="176">
        <f>IF(Inicio!$E$51="Años",(Inicio!D209*12),Inicio!D209)</f>
        <v>0</v>
      </c>
      <c r="C61" s="250">
        <f>IF(C$5&lt;=Inicio!$E$49,+(B61*$B$25)+B61,0)</f>
        <v>0</v>
      </c>
      <c r="D61" s="250">
        <f>IF(D$5&lt;=Inicio!$E$49,+(C61*$C$25)+C61,0)</f>
        <v>0</v>
      </c>
      <c r="E61" s="250">
        <f>IF(E$5&lt;=Inicio!$E$49,+(D61*$D$25)+D61,0)</f>
        <v>0</v>
      </c>
      <c r="F61" s="250">
        <f>IF(F$5&lt;=Inicio!$E$49,+(E61*$E$25)+E61,0)</f>
        <v>0</v>
      </c>
      <c r="G61" s="250">
        <f>IF(G$5&lt;=Inicio!$E$49,+(F61*$E$25)+F61,0)</f>
        <v>0</v>
      </c>
      <c r="H61" s="250">
        <f>IF(H$5&lt;=Inicio!$E$49,+(G61*$E$25)+G61,0)</f>
        <v>0</v>
      </c>
      <c r="I61" s="250">
        <f>IF(I$5&lt;=Inicio!$E$49,+(H61*$E$25)+H61,0)</f>
        <v>0</v>
      </c>
      <c r="J61" s="250">
        <f>IF(J$5&lt;=Inicio!$E$49,+(I61*$E$25)+I61,0)</f>
        <v>0</v>
      </c>
      <c r="K61" s="250">
        <f>IF(K$5&lt;=Inicio!$E$49,+(J61*$E$25)+J61,0)</f>
        <v>0</v>
      </c>
      <c r="L61" s="250">
        <f>IF(L$5&lt;=Inicio!$E$49,+(K61*$E$25)+K61,0)</f>
        <v>0</v>
      </c>
      <c r="M61" s="250">
        <f>IF(M$5&lt;=Inicio!$E$49,+(L61*$E$25)+L61,0)</f>
        <v>0</v>
      </c>
      <c r="N61" s="250">
        <f>IF(N$5&lt;=Inicio!$E$49,+(M61*$E$25)+M61,0)</f>
        <v>0</v>
      </c>
      <c r="O61" s="250">
        <f>IF(O$5&lt;=Inicio!$E$49,+(N61*$E$25)+N61,0)</f>
        <v>0</v>
      </c>
      <c r="P61" s="239">
        <f>IF(P$5&lt;=Inicio!$E$49,+(O61*$E$25)+O61,0)</f>
        <v>0</v>
      </c>
      <c r="Q61" s="230"/>
    </row>
    <row r="62" spans="1:17" x14ac:dyDescent="0.2">
      <c r="A62" s="242" t="str">
        <f>+Inicio!C210</f>
        <v>Útiles y Papelería</v>
      </c>
      <c r="B62" s="176">
        <f>IF(Inicio!$E$51="Años",(Inicio!D210*12),Inicio!D210)</f>
        <v>0</v>
      </c>
      <c r="C62" s="250">
        <f>IF(C$5&lt;=Inicio!$E$49,+(B62*$B$25)+B62,0)</f>
        <v>0</v>
      </c>
      <c r="D62" s="250">
        <f>IF(D$5&lt;=Inicio!$E$49,+(C62*$C$25)+C62,0)</f>
        <v>0</v>
      </c>
      <c r="E62" s="250">
        <f>IF(E$5&lt;=Inicio!$E$49,+(D62*$D$25)+D62,0)</f>
        <v>0</v>
      </c>
      <c r="F62" s="250">
        <f>IF(F$5&lt;=Inicio!$E$49,+(E62*$E$25)+E62,0)</f>
        <v>0</v>
      </c>
      <c r="G62" s="250">
        <f>IF(G$5&lt;=Inicio!$E$49,+(F62*$E$25)+F62,0)</f>
        <v>0</v>
      </c>
      <c r="H62" s="250">
        <f>IF(H$5&lt;=Inicio!$E$49,+(G62*$E$25)+G62,0)</f>
        <v>0</v>
      </c>
      <c r="I62" s="250">
        <f>IF(I$5&lt;=Inicio!$E$49,+(H62*$E$25)+H62,0)</f>
        <v>0</v>
      </c>
      <c r="J62" s="250">
        <f>IF(J$5&lt;=Inicio!$E$49,+(I62*$E$25)+I62,0)</f>
        <v>0</v>
      </c>
      <c r="K62" s="250">
        <f>IF(K$5&lt;=Inicio!$E$49,+(J62*$E$25)+J62,0)</f>
        <v>0</v>
      </c>
      <c r="L62" s="250">
        <f>IF(L$5&lt;=Inicio!$E$49,+(K62*$E$25)+K62,0)</f>
        <v>0</v>
      </c>
      <c r="M62" s="250">
        <f>IF(M$5&lt;=Inicio!$E$49,+(L62*$E$25)+L62,0)</f>
        <v>0</v>
      </c>
      <c r="N62" s="250">
        <f>IF(N$5&lt;=Inicio!$E$49,+(M62*$E$25)+M62,0)</f>
        <v>0</v>
      </c>
      <c r="O62" s="250">
        <f>IF(O$5&lt;=Inicio!$E$49,+(N62*$E$25)+N62,0)</f>
        <v>0</v>
      </c>
      <c r="P62" s="239">
        <f>IF(P$5&lt;=Inicio!$E$49,+(O62*$E$25)+O62,0)</f>
        <v>0</v>
      </c>
      <c r="Q62" s="230"/>
    </row>
    <row r="63" spans="1:17" x14ac:dyDescent="0.2">
      <c r="A63" s="242" t="str">
        <f>+Inicio!C211</f>
        <v>Combustibles y Lubricantes</v>
      </c>
      <c r="B63" s="176">
        <f>IF(Inicio!$E$51="Años",(Inicio!D211*12),Inicio!D211)</f>
        <v>0</v>
      </c>
      <c r="C63" s="250">
        <f>IF(C$5&lt;=Inicio!$E$49,+(B63*$B$25)+B63,0)</f>
        <v>0</v>
      </c>
      <c r="D63" s="250">
        <f>IF(D$5&lt;=Inicio!$E$49,+(C63*$C$25)+C63,0)</f>
        <v>0</v>
      </c>
      <c r="E63" s="250">
        <f>IF(E$5&lt;=Inicio!$E$49,+(D63*$D$25)+D63,0)</f>
        <v>0</v>
      </c>
      <c r="F63" s="250">
        <f>IF(F$5&lt;=Inicio!$E$49,+(E63*$E$25)+E63,0)</f>
        <v>0</v>
      </c>
      <c r="G63" s="250">
        <f>IF(G$5&lt;=Inicio!$E$49,+(F63*$E$25)+F63,0)</f>
        <v>0</v>
      </c>
      <c r="H63" s="250">
        <f>IF(H$5&lt;=Inicio!$E$49,+(G63*$E$25)+G63,0)</f>
        <v>0</v>
      </c>
      <c r="I63" s="250">
        <f>IF(I$5&lt;=Inicio!$E$49,+(H63*$E$25)+H63,0)</f>
        <v>0</v>
      </c>
      <c r="J63" s="250">
        <f>IF(J$5&lt;=Inicio!$E$49,+(I63*$E$25)+I63,0)</f>
        <v>0</v>
      </c>
      <c r="K63" s="250">
        <f>IF(K$5&lt;=Inicio!$E$49,+(J63*$E$25)+J63,0)</f>
        <v>0</v>
      </c>
      <c r="L63" s="250">
        <f>IF(L$5&lt;=Inicio!$E$49,+(K63*$E$25)+K63,0)</f>
        <v>0</v>
      </c>
      <c r="M63" s="250">
        <f>IF(M$5&lt;=Inicio!$E$49,+(L63*$E$25)+L63,0)</f>
        <v>0</v>
      </c>
      <c r="N63" s="250">
        <f>IF(N$5&lt;=Inicio!$E$49,+(M63*$E$25)+M63,0)</f>
        <v>0</v>
      </c>
      <c r="O63" s="250">
        <f>IF(O$5&lt;=Inicio!$E$49,+(N63*$E$25)+N63,0)</f>
        <v>0</v>
      </c>
      <c r="P63" s="239">
        <f>IF(P$5&lt;=Inicio!$E$49,+(O63*$E$25)+O63,0)</f>
        <v>0</v>
      </c>
      <c r="Q63" s="230"/>
    </row>
    <row r="64" spans="1:17" x14ac:dyDescent="0.2">
      <c r="A64" s="242" t="str">
        <f>+Inicio!C212</f>
        <v>Envases y Empaques</v>
      </c>
      <c r="B64" s="176">
        <f>IF(Inicio!$E$51="Años",(Inicio!D212*12),Inicio!D212)</f>
        <v>0</v>
      </c>
      <c r="C64" s="250">
        <f>IF(C$5&lt;=Inicio!$E$49,+(B64*$B$25)+B64,0)</f>
        <v>0</v>
      </c>
      <c r="D64" s="250">
        <f>IF(D$5&lt;=Inicio!$E$49,+(C64*$C$25)+C64,0)</f>
        <v>0</v>
      </c>
      <c r="E64" s="250">
        <f>IF(E$5&lt;=Inicio!$E$49,+(D64*$D$25)+D64,0)</f>
        <v>0</v>
      </c>
      <c r="F64" s="250">
        <f>IF(F$5&lt;=Inicio!$E$49,+(E64*$E$25)+E64,0)</f>
        <v>0</v>
      </c>
      <c r="G64" s="250">
        <f>IF(G$5&lt;=Inicio!$E$49,+(F64*$E$25)+F64,0)</f>
        <v>0</v>
      </c>
      <c r="H64" s="250">
        <f>IF(H$5&lt;=Inicio!$E$49,+(G64*$E$25)+G64,0)</f>
        <v>0</v>
      </c>
      <c r="I64" s="250">
        <f>IF(I$5&lt;=Inicio!$E$49,+(H64*$E$25)+H64,0)</f>
        <v>0</v>
      </c>
      <c r="J64" s="250">
        <f>IF(J$5&lt;=Inicio!$E$49,+(I64*$E$25)+I64,0)</f>
        <v>0</v>
      </c>
      <c r="K64" s="250">
        <f>IF(K$5&lt;=Inicio!$E$49,+(J64*$E$25)+J64,0)</f>
        <v>0</v>
      </c>
      <c r="L64" s="250">
        <f>IF(L$5&lt;=Inicio!$E$49,+(K64*$E$25)+K64,0)</f>
        <v>0</v>
      </c>
      <c r="M64" s="250">
        <f>IF(M$5&lt;=Inicio!$E$49,+(L64*$E$25)+L64,0)</f>
        <v>0</v>
      </c>
      <c r="N64" s="250">
        <f>IF(N$5&lt;=Inicio!$E$49,+(M64*$E$25)+M64,0)</f>
        <v>0</v>
      </c>
      <c r="O64" s="250">
        <f>IF(O$5&lt;=Inicio!$E$49,+(N64*$E$25)+N64,0)</f>
        <v>0</v>
      </c>
      <c r="P64" s="239">
        <f>IF(P$5&lt;=Inicio!$E$49,+(O64*$E$25)+O64,0)</f>
        <v>0</v>
      </c>
      <c r="Q64" s="230"/>
    </row>
    <row r="65" spans="1:17" x14ac:dyDescent="0.2">
      <c r="A65" s="242" t="str">
        <f>+Inicio!C213</f>
        <v>Comisiones Contado  %</v>
      </c>
      <c r="B65" s="238">
        <f>IF(Inicio!$E$49&gt;=B50,(IF(Inicio!$E$51="AÑOS",((+$B$69*'presupuesto compras y ventas'!B56)+($D$69*'presupuesto compras y ventas'!B55)),($B$69*'presupuesto compras y ventas'!$B$53)+('gastos generales'!$D$69*'presupuesto compras y ventas'!$B$52))),0)</f>
        <v>0</v>
      </c>
      <c r="C65" s="238">
        <f>IF(Inicio!$E$49&gt;=C50,(IF(Inicio!$E$51="AÑOS",((+$B$69*'presupuesto compras y ventas'!C56)+($D$69*'presupuesto compras y ventas'!C55)),($B$69*'presupuesto compras y ventas'!$B$53)+('gastos generales'!$D$69*'presupuesto compras y ventas'!$B$52))),0)</f>
        <v>0</v>
      </c>
      <c r="D65" s="238">
        <f>IF(Inicio!$E$49&gt;=D50,(IF(Inicio!$E$51="AÑOS",((+$B$69*'presupuesto compras y ventas'!D56)+($D$69*'presupuesto compras y ventas'!D55)),($B$69*'presupuesto compras y ventas'!$B$53)+('gastos generales'!$D$69*'presupuesto compras y ventas'!$B$52))),0)</f>
        <v>0</v>
      </c>
      <c r="E65" s="238">
        <f>IF(Inicio!$E$49&gt;=E50,(IF(Inicio!$E$51="AÑOS",((+$B$69*'presupuesto compras y ventas'!E56)+($D$69*'presupuesto compras y ventas'!E55)),($B$69*'presupuesto compras y ventas'!$B$53)+('gastos generales'!$D$69*'presupuesto compras y ventas'!$B$52))),0)</f>
        <v>0</v>
      </c>
      <c r="F65" s="238">
        <f>IF(Inicio!$E$49&gt;=F50,(IF(Inicio!$E$51="AÑOS",((+$B$69*'presupuesto compras y ventas'!F56)+($D$69*'presupuesto compras y ventas'!F55)),($B$69*'presupuesto compras y ventas'!$B$53)+('gastos generales'!$D$69*'presupuesto compras y ventas'!$B$52))),0)</f>
        <v>0</v>
      </c>
      <c r="G65" s="238">
        <f>IF(Inicio!$E$49&gt;=G50,(IF(Inicio!$E$51="AÑOS",((+$B$69*'presupuesto compras y ventas'!G56)+($D$69*'presupuesto compras y ventas'!G55)),($B$69*'presupuesto compras y ventas'!$B$53)+('gastos generales'!$D$69*'presupuesto compras y ventas'!$B$52))),0)</f>
        <v>0</v>
      </c>
      <c r="H65" s="238">
        <f>IF(Inicio!$E$49&gt;=H50,(IF(Inicio!$E$51="AÑOS",((+$B$69*'presupuesto compras y ventas'!H56)+($D$69*'presupuesto compras y ventas'!H55)),($B$69*'presupuesto compras y ventas'!$B$53)+('gastos generales'!$D$69*'presupuesto compras y ventas'!$B$52))),0)</f>
        <v>0</v>
      </c>
      <c r="I65" s="238">
        <f>IF(Inicio!$E$49&gt;=I50,(IF(Inicio!$E$51="AÑOS",((+$B$69*'presupuesto compras y ventas'!I56)+($D$69*'presupuesto compras y ventas'!I55)),($B$69*'presupuesto compras y ventas'!$B$53)+('gastos generales'!$D$69*'presupuesto compras y ventas'!$B$52))),0)</f>
        <v>0</v>
      </c>
      <c r="J65" s="238">
        <f>IF(Inicio!$E$49&gt;=J50,(IF(Inicio!$E$51="AÑOS",((+$B$69*'presupuesto compras y ventas'!J56)+($D$69*'presupuesto compras y ventas'!J55)),($B$69*'presupuesto compras y ventas'!$B$53)+('gastos generales'!$D$69*'presupuesto compras y ventas'!$B$52))),0)</f>
        <v>0</v>
      </c>
      <c r="K65" s="238">
        <f>IF(Inicio!$E$49&gt;=K50,(IF(Inicio!$E$51="AÑOS",((+$B$69*'presupuesto compras y ventas'!K56)+($D$69*'presupuesto compras y ventas'!K55)),($B$69*'presupuesto compras y ventas'!$B$53)+('gastos generales'!$D$69*'presupuesto compras y ventas'!$B$52))),0)</f>
        <v>0</v>
      </c>
      <c r="L65" s="238">
        <f>IF(Inicio!$E$49&gt;=L50,(IF(Inicio!$E$51="AÑOS",((+$B$69*'presupuesto compras y ventas'!L56)+($D$69*'presupuesto compras y ventas'!L55)),($B$69*'presupuesto compras y ventas'!$B$53)+('gastos generales'!$D$69*'presupuesto compras y ventas'!$B$52))),0)</f>
        <v>0</v>
      </c>
      <c r="M65" s="238">
        <f>IF(Inicio!$E$49&gt;=M50,(IF(Inicio!$E$51="AÑOS",((+$B$69*'presupuesto compras y ventas'!M56)+($D$69*'presupuesto compras y ventas'!M55)),($B$69*'presupuesto compras y ventas'!$B$53)+('gastos generales'!$D$69*'presupuesto compras y ventas'!$B$52))),0)</f>
        <v>0</v>
      </c>
      <c r="N65" s="238">
        <f>IF(Inicio!$E$49&gt;=N50,(IF(Inicio!$E$51="AÑOS",((+$B$69*'presupuesto compras y ventas'!N56)+($D$69*'presupuesto compras y ventas'!N55)),($B$69*'presupuesto compras y ventas'!$B$53)+('gastos generales'!$D$69*'presupuesto compras y ventas'!$B$52))),0)</f>
        <v>0</v>
      </c>
      <c r="O65" s="238">
        <f>IF(Inicio!$E$49&gt;=O50,(IF(Inicio!$E$51="AÑOS",((+$B$69*'presupuesto compras y ventas'!O56)+($D$69*'presupuesto compras y ventas'!O55)),($B$69*'presupuesto compras y ventas'!$B$53)+('gastos generales'!$D$69*'presupuesto compras y ventas'!$B$52))),0)</f>
        <v>0</v>
      </c>
      <c r="P65" s="238">
        <f>IF(Inicio!$E$49&gt;=P50,(IF(Inicio!$E$51="AÑOS",((+$B$69*'presupuesto compras y ventas'!P56)+($D$69*'presupuesto compras y ventas'!P55)),($B$69*'presupuesto compras y ventas'!$B$53)+('gastos generales'!$D$69*'presupuesto compras y ventas'!$B$52))),0)</f>
        <v>0</v>
      </c>
      <c r="Q65" s="230"/>
    </row>
    <row r="66" spans="1:17" x14ac:dyDescent="0.2">
      <c r="A66" s="237" t="str">
        <f>+Inicio!C215</f>
        <v>Imprevistos</v>
      </c>
      <c r="B66" s="176">
        <f>IF(Inicio!$E$51="Años",(Inicio!D215*12),Inicio!D215)</f>
        <v>0</v>
      </c>
      <c r="C66" s="250">
        <f>IF(C$5&lt;=Inicio!$E$49,+(B66*$B$25)+B66,0)</f>
        <v>0</v>
      </c>
      <c r="D66" s="250">
        <f>IF(D$5&lt;=Inicio!$E$49,+(C66*$C$25)+C66,0)</f>
        <v>0</v>
      </c>
      <c r="E66" s="250">
        <f>IF(E$5&lt;=Inicio!$E$49,+(D66*$D$25)+D66,0)</f>
        <v>0</v>
      </c>
      <c r="F66" s="250">
        <f>IF(F$5&lt;=Inicio!$E$49,+(E66*$E$25)+E66,0)</f>
        <v>0</v>
      </c>
      <c r="G66" s="250">
        <f>IF(G$5&lt;=Inicio!$E$49,+(F66*$E$25)+F66,0)</f>
        <v>0</v>
      </c>
      <c r="H66" s="250">
        <f>IF(H$5&lt;=Inicio!$E$49,+(G66*$E$25)+G66,0)</f>
        <v>0</v>
      </c>
      <c r="I66" s="250">
        <f>IF(I$5&lt;=Inicio!$E$49,+(H66*$E$25)+H66,0)</f>
        <v>0</v>
      </c>
      <c r="J66" s="250">
        <f>IF(J$5&lt;=Inicio!$E$49,+(I66*$E$25)+I66,0)</f>
        <v>0</v>
      </c>
      <c r="K66" s="250">
        <f>IF(K$5&lt;=Inicio!$E$49,+(J66*$E$25)+J66,0)</f>
        <v>0</v>
      </c>
      <c r="L66" s="250">
        <f>IF(L$5&lt;=Inicio!$E$49,+(K66*$E$25)+K66,0)</f>
        <v>0</v>
      </c>
      <c r="M66" s="250">
        <f>IF(M$5&lt;=Inicio!$E$49,+(L66*$E$25)+L66,0)</f>
        <v>0</v>
      </c>
      <c r="N66" s="250">
        <f>IF(N$5&lt;=Inicio!$E$49,+(M66*$E$25)+M66,0)</f>
        <v>0</v>
      </c>
      <c r="O66" s="250">
        <f>IF(O$5&lt;=Inicio!$E$49,+(N66*$E$25)+N66,0)</f>
        <v>0</v>
      </c>
      <c r="P66" s="239">
        <f>IF(P$5&lt;=Inicio!$E$49,+(O66*$E$25)+O66,0)</f>
        <v>0</v>
      </c>
      <c r="Q66" s="230"/>
    </row>
    <row r="67" spans="1:17" ht="13.5" thickBot="1" x14ac:dyDescent="0.25">
      <c r="A67" s="237" t="str">
        <f>+Inicio!C216</f>
        <v>Otros</v>
      </c>
      <c r="B67" s="176">
        <f>IF(Inicio!$E$51="Años",(Inicio!D216*12),Inicio!D216)</f>
        <v>12000</v>
      </c>
      <c r="C67" s="250">
        <f>IF(C$5&lt;=Inicio!$E$49,+(B67*$B$25)+B67,0)</f>
        <v>12300</v>
      </c>
      <c r="D67" s="250">
        <f>IF(D$5&lt;=Inicio!$E$49,+(C67*$C$25)+C67,0)</f>
        <v>12607.5</v>
      </c>
      <c r="E67" s="250">
        <f>IF(E$5&lt;=Inicio!$E$49,+(D67*$D$25)+D67,0)</f>
        <v>12922.6875</v>
      </c>
      <c r="F67" s="250">
        <f>IF(F$5&lt;=Inicio!$E$49,+(E67*$E$25)+E67,0)</f>
        <v>13245.754687500001</v>
      </c>
      <c r="G67" s="250">
        <f>IF(G$5&lt;=Inicio!$E$49,+(F67*$E$25)+F67,0)</f>
        <v>0</v>
      </c>
      <c r="H67" s="250">
        <f>IF(H$5&lt;=Inicio!$E$49,+(G67*$E$25)+G67,0)</f>
        <v>0</v>
      </c>
      <c r="I67" s="250">
        <f>IF(I$5&lt;=Inicio!$E$49,+(H67*$E$25)+H67,0)</f>
        <v>0</v>
      </c>
      <c r="J67" s="250">
        <f>IF(J$5&lt;=Inicio!$E$49,+(I67*$E$25)+I67,0)</f>
        <v>0</v>
      </c>
      <c r="K67" s="250">
        <f>IF(K$5&lt;=Inicio!$E$49,+(J67*$E$25)+J67,0)</f>
        <v>0</v>
      </c>
      <c r="L67" s="250">
        <f>IF(L$5&lt;=Inicio!$E$49,+(K67*$E$25)+K67,0)</f>
        <v>0</v>
      </c>
      <c r="M67" s="250">
        <f>IF(M$5&lt;=Inicio!$E$49,+(L67*$E$25)+L67,0)</f>
        <v>0</v>
      </c>
      <c r="N67" s="250">
        <f>IF(N$5&lt;=Inicio!$E$49,+(M67*$E$25)+M67,0)</f>
        <v>0</v>
      </c>
      <c r="O67" s="250">
        <f>IF(O$5&lt;=Inicio!$E$49,+(N67*$E$25)+N67,0)</f>
        <v>0</v>
      </c>
      <c r="P67" s="251">
        <f>IF(P$5&lt;=Inicio!$E$49,+(O67*$E$25)+O67,0)</f>
        <v>0</v>
      </c>
      <c r="Q67" s="230"/>
    </row>
    <row r="68" spans="1:17" ht="13.5" thickBot="1" x14ac:dyDescent="0.25">
      <c r="A68" s="252" t="s">
        <v>50</v>
      </c>
      <c r="B68" s="253">
        <f>SUM(B51:B67)</f>
        <v>135600</v>
      </c>
      <c r="C68" s="253">
        <f t="shared" ref="C68:P68" si="2">SUM(C51:C67)</f>
        <v>138990</v>
      </c>
      <c r="D68" s="253">
        <f t="shared" si="2"/>
        <v>142464.75</v>
      </c>
      <c r="E68" s="253">
        <f t="shared" si="2"/>
        <v>146026.36874999999</v>
      </c>
      <c r="F68" s="253">
        <f t="shared" si="2"/>
        <v>149677.02796875002</v>
      </c>
      <c r="G68" s="253">
        <f t="shared" si="2"/>
        <v>0</v>
      </c>
      <c r="H68" s="253">
        <f t="shared" si="2"/>
        <v>0</v>
      </c>
      <c r="I68" s="253">
        <f t="shared" si="2"/>
        <v>0</v>
      </c>
      <c r="J68" s="253">
        <f t="shared" si="2"/>
        <v>0</v>
      </c>
      <c r="K68" s="253">
        <f t="shared" si="2"/>
        <v>0</v>
      </c>
      <c r="L68" s="253">
        <f t="shared" si="2"/>
        <v>0</v>
      </c>
      <c r="M68" s="253">
        <f t="shared" si="2"/>
        <v>0</v>
      </c>
      <c r="N68" s="253">
        <f t="shared" si="2"/>
        <v>0</v>
      </c>
      <c r="O68" s="253">
        <f t="shared" si="2"/>
        <v>0</v>
      </c>
      <c r="P68" s="253">
        <f t="shared" si="2"/>
        <v>0</v>
      </c>
      <c r="Q68" s="230"/>
    </row>
    <row r="69" spans="1:17" ht="13.5" thickBot="1" x14ac:dyDescent="0.25">
      <c r="A69" s="254" t="s">
        <v>198</v>
      </c>
      <c r="B69" s="474">
        <f>Inicio!D213</f>
        <v>0</v>
      </c>
      <c r="C69" s="262" t="s">
        <v>363</v>
      </c>
      <c r="D69" s="475">
        <f>Inicio!D214</f>
        <v>0</v>
      </c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35"/>
      <c r="Q69" s="230"/>
    </row>
    <row r="70" spans="1:17" ht="13.5" thickBot="1" x14ac:dyDescent="0.25">
      <c r="A70" s="265" t="s">
        <v>141</v>
      </c>
      <c r="B70" s="264">
        <v>0</v>
      </c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60"/>
      <c r="Q70" s="230"/>
    </row>
    <row r="71" spans="1:17" x14ac:dyDescent="0.2">
      <c r="A71" s="230"/>
      <c r="B71" s="230"/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</row>
    <row r="72" spans="1:17" x14ac:dyDescent="0.2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</row>
    <row r="73" spans="1:17" ht="13.5" thickBot="1" x14ac:dyDescent="0.25">
      <c r="A73" s="266" t="s">
        <v>274</v>
      </c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</row>
    <row r="74" spans="1:17" ht="13.5" thickBot="1" x14ac:dyDescent="0.25">
      <c r="A74" s="240" t="s">
        <v>364</v>
      </c>
      <c r="B74" s="249">
        <v>1</v>
      </c>
      <c r="C74" s="249">
        <v>2</v>
      </c>
      <c r="D74" s="249">
        <v>3</v>
      </c>
      <c r="E74" s="249">
        <v>4</v>
      </c>
      <c r="F74" s="249">
        <v>5</v>
      </c>
      <c r="G74" s="249">
        <v>6</v>
      </c>
      <c r="H74" s="249">
        <v>7</v>
      </c>
      <c r="I74" s="249">
        <v>8</v>
      </c>
      <c r="J74" s="249">
        <v>9</v>
      </c>
      <c r="K74" s="249">
        <v>10</v>
      </c>
      <c r="L74" s="249">
        <v>11</v>
      </c>
      <c r="M74" s="249">
        <v>12</v>
      </c>
      <c r="N74" s="249">
        <v>13</v>
      </c>
      <c r="O74" s="249">
        <v>14</v>
      </c>
      <c r="P74" s="249">
        <v>15</v>
      </c>
      <c r="Q74" s="153"/>
    </row>
    <row r="75" spans="1:17" ht="13.5" thickBot="1" x14ac:dyDescent="0.25">
      <c r="A75" s="267">
        <f>+Inicio!D260</f>
        <v>1.02</v>
      </c>
      <c r="B75" s="253">
        <f>+B68*$A$75</f>
        <v>138312</v>
      </c>
      <c r="C75" s="253">
        <f t="shared" ref="C75:P75" si="3">+C68*$A$75</f>
        <v>141769.79999999999</v>
      </c>
      <c r="D75" s="253">
        <f t="shared" si="3"/>
        <v>145314.04500000001</v>
      </c>
      <c r="E75" s="253">
        <f t="shared" si="3"/>
        <v>148946.896125</v>
      </c>
      <c r="F75" s="253">
        <f t="shared" si="3"/>
        <v>152670.568528125</v>
      </c>
      <c r="G75" s="253">
        <f t="shared" si="3"/>
        <v>0</v>
      </c>
      <c r="H75" s="253">
        <f t="shared" si="3"/>
        <v>0</v>
      </c>
      <c r="I75" s="253">
        <f t="shared" si="3"/>
        <v>0</v>
      </c>
      <c r="J75" s="253">
        <f t="shared" si="3"/>
        <v>0</v>
      </c>
      <c r="K75" s="253">
        <f t="shared" si="3"/>
        <v>0</v>
      </c>
      <c r="L75" s="253">
        <f t="shared" si="3"/>
        <v>0</v>
      </c>
      <c r="M75" s="253">
        <f t="shared" si="3"/>
        <v>0</v>
      </c>
      <c r="N75" s="253">
        <f t="shared" si="3"/>
        <v>0</v>
      </c>
      <c r="O75" s="253">
        <f t="shared" si="3"/>
        <v>0</v>
      </c>
      <c r="P75" s="253">
        <f t="shared" si="3"/>
        <v>0</v>
      </c>
      <c r="Q75" s="153"/>
    </row>
    <row r="76" spans="1:17" x14ac:dyDescent="0.2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</row>
    <row r="77" spans="1:17" x14ac:dyDescent="0.2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</row>
    <row r="78" spans="1:17" x14ac:dyDescent="0.2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</row>
    <row r="79" spans="1:17" x14ac:dyDescent="0.2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</row>
    <row r="80" spans="1:17" x14ac:dyDescent="0.2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</row>
    <row r="81" spans="1:17" x14ac:dyDescent="0.2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</row>
    <row r="82" spans="1:17" x14ac:dyDescent="0.2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</row>
    <row r="83" spans="1:17" x14ac:dyDescent="0.2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</row>
    <row r="84" spans="1:17" x14ac:dyDescent="0.2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</row>
  </sheetData>
  <sheetProtection password="F88E" sheet="1" objects="1" scenarios="1" formatColumns="0"/>
  <customSheetViews>
    <customSheetView guid="{4BF10618-D357-11D5-9338-EFF21189730A}" showGridLines="0" outlineSymbols="0" showRuler="0">
      <selection activeCell="A8" sqref="A8"/>
      <pageMargins left="0.37" right="0.5" top="0.68" bottom="1" header="0" footer="0"/>
      <printOptions horizontalCentered="1" verticalCentered="1"/>
      <pageSetup scale="65" orientation="landscape" horizontalDpi="300" verticalDpi="300" r:id="rId1"/>
      <headerFooter alignWithMargins="0"/>
    </customSheetView>
  </customSheetViews>
  <mergeCells count="4">
    <mergeCell ref="A1:F1"/>
    <mergeCell ref="A2:F2"/>
    <mergeCell ref="A3:F3"/>
    <mergeCell ref="A4:F4"/>
  </mergeCells>
  <phoneticPr fontId="11" type="noConversion"/>
  <printOptions horizontalCentered="1" verticalCentered="1"/>
  <pageMargins left="0.35433070866141736" right="0.51181102362204722" top="1" bottom="1" header="0" footer="0"/>
  <pageSetup scale="60" orientation="landscape" horizontalDpi="300" verticalDpi="30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37"/>
  <sheetViews>
    <sheetView showGridLines="0" showOutlineSymbols="0" topLeftCell="A10" workbookViewId="0">
      <selection activeCell="C28" sqref="C28"/>
    </sheetView>
  </sheetViews>
  <sheetFormatPr baseColWidth="10" defaultRowHeight="12.75" x14ac:dyDescent="0.2"/>
  <cols>
    <col min="1" max="1" width="28" style="1" bestFit="1" customWidth="1"/>
    <col min="2" max="2" width="17.28515625" style="1" bestFit="1" customWidth="1"/>
    <col min="3" max="3" width="17.85546875" style="1" bestFit="1" customWidth="1"/>
    <col min="4" max="4" width="12.7109375" style="1" bestFit="1" customWidth="1"/>
    <col min="5" max="16384" width="11.42578125" style="1"/>
  </cols>
  <sheetData>
    <row r="1" spans="1:5" ht="18" x14ac:dyDescent="0.25">
      <c r="A1" s="662" t="str">
        <f>'presupuesto compras y ventas'!A1:F1</f>
        <v>PREFACTIBILIDAD PARA LA CREACIÓN DE UN PRODUCTO; PARA LA FABRICACION DE BLOQUE CON COMPONENTE DE MATERIAL PET</v>
      </c>
      <c r="B1" s="662"/>
      <c r="C1" s="662"/>
      <c r="D1" s="662"/>
      <c r="E1" s="153"/>
    </row>
    <row r="2" spans="1:5" ht="18" customHeight="1" x14ac:dyDescent="0.25">
      <c r="A2" s="663" t="s">
        <v>158</v>
      </c>
      <c r="B2" s="663"/>
      <c r="C2" s="663"/>
      <c r="D2" s="663"/>
      <c r="E2" s="153"/>
    </row>
    <row r="3" spans="1:5" x14ac:dyDescent="0.2">
      <c r="A3" s="666" t="str">
        <f>IF(Inicio!$E$51="Años","En Años","En Meses")</f>
        <v>En Años</v>
      </c>
      <c r="B3" s="666"/>
      <c r="C3" s="666"/>
      <c r="D3" s="666"/>
      <c r="E3" s="153"/>
    </row>
    <row r="4" spans="1:5" ht="13.5" thickBot="1" x14ac:dyDescent="0.25">
      <c r="A4" s="667" t="s">
        <v>276</v>
      </c>
      <c r="B4" s="667"/>
      <c r="C4" s="667"/>
      <c r="D4" s="667"/>
      <c r="E4" s="153"/>
    </row>
    <row r="5" spans="1:5" ht="13.5" thickBot="1" x14ac:dyDescent="0.25">
      <c r="A5" s="671" t="s">
        <v>45</v>
      </c>
      <c r="B5" s="681"/>
      <c r="C5" s="672"/>
      <c r="D5" s="153"/>
      <c r="E5" s="153"/>
    </row>
    <row r="6" spans="1:5" x14ac:dyDescent="0.2">
      <c r="A6" s="673" t="s">
        <v>285</v>
      </c>
      <c r="B6" s="674"/>
      <c r="C6" s="271">
        <f>IF(Inicio!$E$51="Años",((+'gastos personal'!C65+'gastos personal'!C67+'gastos personal'!C71+'gastos personal'!C73+'gastos personal'!C78+'gastos personal'!C80)),('gastos personal'!C65+'gastos personal'!C67+'gastos personal'!C71+'gastos personal'!C73+'gastos personal'!C78+'gastos personal'!C80))</f>
        <v>598439.07139199995</v>
      </c>
      <c r="D6" s="153"/>
      <c r="E6" s="153"/>
    </row>
    <row r="7" spans="1:5" x14ac:dyDescent="0.2">
      <c r="A7" s="675" t="s">
        <v>286</v>
      </c>
      <c r="B7" s="676"/>
      <c r="C7" s="271">
        <f>IF(Inicio!$E$51="Años",((+'gastos generales'!B23+'gastos generales'!B45+'gastos generales'!B68)),('gastos generales'!B23+'gastos generales'!B45+'gastos generales'!B68))</f>
        <v>346200</v>
      </c>
      <c r="D7" s="153"/>
      <c r="E7" s="153"/>
    </row>
    <row r="8" spans="1:5" x14ac:dyDescent="0.2">
      <c r="A8" s="677" t="s">
        <v>52</v>
      </c>
      <c r="B8" s="678"/>
      <c r="C8" s="272">
        <f>SUM(C6:C7)</f>
        <v>944639.07139199995</v>
      </c>
      <c r="D8" s="153"/>
      <c r="E8" s="153"/>
    </row>
    <row r="9" spans="1:5" x14ac:dyDescent="0.2">
      <c r="A9" s="675" t="s">
        <v>287</v>
      </c>
      <c r="B9" s="676"/>
      <c r="C9" s="271">
        <f>IF(Inicio!E51="AÑOS",'presupuesto compras y ventas'!B66-'presupuesto compras y ventas'!B67,'presupuesto compras y ventas'!B66-'presupuesto compras y ventas'!B67)</f>
        <v>1224147.4783999999</v>
      </c>
      <c r="D9" s="153"/>
      <c r="E9" s="153"/>
    </row>
    <row r="10" spans="1:5" ht="13.5" thickBot="1" x14ac:dyDescent="0.25">
      <c r="A10" s="273" t="s">
        <v>42</v>
      </c>
      <c r="B10" s="274">
        <f>Inicio!E237</f>
        <v>5.0000000000000001E-3</v>
      </c>
      <c r="C10" s="271">
        <f>(C8+C9)*B10</f>
        <v>10843.93274896</v>
      </c>
      <c r="D10" s="153"/>
      <c r="E10" s="153"/>
    </row>
    <row r="11" spans="1:5" ht="13.5" thickBot="1" x14ac:dyDescent="0.25">
      <c r="A11" s="669" t="s">
        <v>408</v>
      </c>
      <c r="B11" s="670"/>
      <c r="C11" s="161">
        <f>+C10+C9+C8</f>
        <v>2179630.48254096</v>
      </c>
      <c r="D11" s="153"/>
      <c r="E11" s="153"/>
    </row>
    <row r="12" spans="1:5" ht="13.5" thickBot="1" x14ac:dyDescent="0.25">
      <c r="A12" s="679" t="s">
        <v>405</v>
      </c>
      <c r="B12" s="680"/>
      <c r="C12" s="165">
        <f>IF(Inicio!$E$51="Años",+C11/360,C11/30)</f>
        <v>6054.5291181693328</v>
      </c>
      <c r="D12" s="153"/>
      <c r="E12" s="153"/>
    </row>
    <row r="13" spans="1:5" ht="13.5" thickBot="1" x14ac:dyDescent="0.25">
      <c r="A13" s="669" t="s">
        <v>406</v>
      </c>
      <c r="B13" s="670"/>
      <c r="C13" s="161">
        <f>Inicio!E236</f>
        <v>30</v>
      </c>
      <c r="D13" s="153"/>
      <c r="E13" s="153"/>
    </row>
    <row r="14" spans="1:5" ht="13.5" thickBot="1" x14ac:dyDescent="0.25">
      <c r="A14" s="679" t="s">
        <v>407</v>
      </c>
      <c r="B14" s="680"/>
      <c r="C14" s="165">
        <f>+C12*C13</f>
        <v>181635.87354507999</v>
      </c>
      <c r="D14" s="153"/>
      <c r="E14" s="153"/>
    </row>
    <row r="15" spans="1:5" ht="13.5" thickBot="1" x14ac:dyDescent="0.25">
      <c r="A15" s="669" t="s">
        <v>365</v>
      </c>
      <c r="B15" s="670"/>
      <c r="C15" s="161">
        <f>+Inicio!E238</f>
        <v>30</v>
      </c>
      <c r="D15" s="153"/>
      <c r="E15" s="153"/>
    </row>
    <row r="16" spans="1:5" ht="13.5" thickBot="1" x14ac:dyDescent="0.25">
      <c r="A16" s="275" t="s">
        <v>366</v>
      </c>
      <c r="B16" s="276"/>
      <c r="C16" s="277">
        <f>+'presupuesto compras y ventas'!B46/30</f>
        <v>0</v>
      </c>
      <c r="D16" s="153"/>
      <c r="E16" s="153"/>
    </row>
    <row r="17" spans="1:5" ht="13.5" thickBot="1" x14ac:dyDescent="0.25">
      <c r="A17" s="153"/>
      <c r="B17" s="153"/>
      <c r="C17" s="153"/>
      <c r="D17" s="153"/>
      <c r="E17" s="153"/>
    </row>
    <row r="18" spans="1:5" ht="13.5" thickBot="1" x14ac:dyDescent="0.25">
      <c r="A18" s="671" t="s">
        <v>367</v>
      </c>
      <c r="B18" s="672"/>
      <c r="C18" s="671" t="s">
        <v>368</v>
      </c>
      <c r="D18" s="672"/>
      <c r="E18" s="153"/>
    </row>
    <row r="19" spans="1:5" x14ac:dyDescent="0.2">
      <c r="A19" s="278"/>
      <c r="B19" s="279"/>
      <c r="C19" s="280" t="s">
        <v>66</v>
      </c>
      <c r="D19" s="281" t="s">
        <v>67</v>
      </c>
      <c r="E19" s="153"/>
    </row>
    <row r="20" spans="1:5" x14ac:dyDescent="0.2">
      <c r="A20" s="278" t="s">
        <v>57</v>
      </c>
      <c r="B20" s="282">
        <f>IF(Inicio!$E$51="Años",(+'gastos depreciación'!C19),('gastos depreciación'!C19))</f>
        <v>299300</v>
      </c>
      <c r="C20" s="283">
        <f>Inicio!E223</f>
        <v>0.43</v>
      </c>
      <c r="D20" s="282">
        <f>+C20*B20</f>
        <v>128699</v>
      </c>
      <c r="E20" s="153"/>
    </row>
    <row r="21" spans="1:5" x14ac:dyDescent="0.2">
      <c r="A21" s="278" t="s">
        <v>58</v>
      </c>
      <c r="B21" s="282">
        <f>+'gastos depreciación'!C32</f>
        <v>21500</v>
      </c>
      <c r="C21" s="283">
        <f>Inicio!E224</f>
        <v>0.03</v>
      </c>
      <c r="D21" s="282">
        <f>+C21*B21</f>
        <v>645</v>
      </c>
      <c r="E21" s="153"/>
    </row>
    <row r="22" spans="1:5" x14ac:dyDescent="0.2">
      <c r="A22" s="278" t="s">
        <v>171</v>
      </c>
      <c r="B22" s="282">
        <f>(+C14)</f>
        <v>181635.87354507999</v>
      </c>
      <c r="C22" s="283">
        <f>Inicio!E225</f>
        <v>0.53</v>
      </c>
      <c r="D22" s="282">
        <f>+C22*B22</f>
        <v>96267.012978892395</v>
      </c>
      <c r="E22" s="153"/>
    </row>
    <row r="23" spans="1:5" ht="13.5" thickBot="1" x14ac:dyDescent="0.25">
      <c r="A23" s="278" t="s">
        <v>277</v>
      </c>
      <c r="B23" s="284">
        <f>+C16*C15</f>
        <v>0</v>
      </c>
      <c r="C23" s="283">
        <f>+Inicio!E226</f>
        <v>0.255</v>
      </c>
      <c r="D23" s="282">
        <f>+C23*B23</f>
        <v>0</v>
      </c>
      <c r="E23" s="153"/>
    </row>
    <row r="24" spans="1:5" ht="13.5" thickBot="1" x14ac:dyDescent="0.25">
      <c r="A24" s="99" t="s">
        <v>369</v>
      </c>
      <c r="B24" s="204">
        <f>SUM(B20:B23)</f>
        <v>502435.87354507996</v>
      </c>
      <c r="C24" s="285" t="s">
        <v>1</v>
      </c>
      <c r="D24" s="204">
        <f>SUM(D20:D23)</f>
        <v>225611.0129788924</v>
      </c>
      <c r="E24" s="153"/>
    </row>
    <row r="25" spans="1:5" x14ac:dyDescent="0.2">
      <c r="A25" s="118" t="s">
        <v>1</v>
      </c>
      <c r="B25" s="153"/>
      <c r="C25" s="153"/>
      <c r="D25" s="286"/>
      <c r="E25" s="153"/>
    </row>
    <row r="26" spans="1:5" ht="13.5" thickBot="1" x14ac:dyDescent="0.25">
      <c r="A26" s="153"/>
      <c r="B26" s="153"/>
      <c r="C26" s="153"/>
      <c r="D26" s="153"/>
      <c r="E26" s="153"/>
    </row>
    <row r="27" spans="1:5" ht="13.5" thickBot="1" x14ac:dyDescent="0.25">
      <c r="A27" s="99" t="s">
        <v>370</v>
      </c>
      <c r="B27" s="269" t="s">
        <v>60</v>
      </c>
      <c r="C27" s="270" t="s">
        <v>371</v>
      </c>
      <c r="D27" s="153"/>
      <c r="E27" s="153"/>
    </row>
    <row r="28" spans="1:5" x14ac:dyDescent="0.2">
      <c r="A28" s="118" t="s">
        <v>59</v>
      </c>
      <c r="B28" s="109">
        <f>IF(Inicio!C229=1,Inicio!D231,0)</f>
        <v>0.7</v>
      </c>
      <c r="C28" s="282">
        <f>IF(Inicio!C229=1,(+B28*$B$24),Inicio!F231)</f>
        <v>351705.11148155597</v>
      </c>
      <c r="D28" s="153"/>
      <c r="E28" s="153"/>
    </row>
    <row r="29" spans="1:5" x14ac:dyDescent="0.2">
      <c r="A29" s="118" t="s">
        <v>372</v>
      </c>
      <c r="B29" s="109">
        <f>IF(Inicio!C229=1,Inicio!D232,0)</f>
        <v>0.3</v>
      </c>
      <c r="C29" s="282">
        <f>IF(Inicio!C229=1,(+B29*$B$24),Inicio!F232)</f>
        <v>150730.76206352399</v>
      </c>
      <c r="D29" s="153"/>
      <c r="E29" s="153"/>
    </row>
    <row r="30" spans="1:5" x14ac:dyDescent="0.2">
      <c r="A30" s="118" t="s">
        <v>373</v>
      </c>
      <c r="B30" s="109">
        <f>IF(Inicio!C229=1,Inicio!D233,0)</f>
        <v>0</v>
      </c>
      <c r="C30" s="282">
        <f>IF(Inicio!C229=1,(+B30*$B$24),Inicio!F233)</f>
        <v>0</v>
      </c>
      <c r="D30" s="153"/>
      <c r="E30" s="153"/>
    </row>
    <row r="31" spans="1:5" ht="13.5" thickBot="1" x14ac:dyDescent="0.25">
      <c r="A31" s="287" t="s">
        <v>374</v>
      </c>
      <c r="B31" s="109">
        <f>IF(Inicio!C229=1,Inicio!D234,0)</f>
        <v>0</v>
      </c>
      <c r="C31" s="288">
        <f>IF(Inicio!C229=1,(+B31*$B$24),Inicio!F234)</f>
        <v>0</v>
      </c>
      <c r="D31" s="153"/>
      <c r="E31" s="153"/>
    </row>
    <row r="32" spans="1:5" ht="13.5" thickBot="1" x14ac:dyDescent="0.25">
      <c r="A32" s="289" t="s">
        <v>52</v>
      </c>
      <c r="B32" s="290">
        <f>SUM(B28:B31)</f>
        <v>1</v>
      </c>
      <c r="C32" s="291">
        <f>SUM(C28:C31)</f>
        <v>502435.87354507996</v>
      </c>
      <c r="D32" s="153"/>
      <c r="E32" s="153"/>
    </row>
    <row r="33" spans="1:5" x14ac:dyDescent="0.2">
      <c r="A33" s="153"/>
      <c r="B33" s="153"/>
      <c r="C33" s="153"/>
      <c r="D33" s="153"/>
      <c r="E33" s="153"/>
    </row>
    <row r="34" spans="1:5" x14ac:dyDescent="0.2">
      <c r="A34" s="153"/>
      <c r="B34" s="153"/>
      <c r="C34" s="153"/>
      <c r="D34" s="153"/>
      <c r="E34" s="153"/>
    </row>
    <row r="35" spans="1:5" x14ac:dyDescent="0.2">
      <c r="A35" s="153"/>
      <c r="B35" s="153"/>
      <c r="C35" s="153"/>
      <c r="D35" s="153"/>
      <c r="E35" s="153"/>
    </row>
    <row r="36" spans="1:5" x14ac:dyDescent="0.2">
      <c r="A36" s="153"/>
      <c r="B36" s="153"/>
      <c r="C36" s="153"/>
      <c r="D36" s="153"/>
      <c r="E36" s="153"/>
    </row>
    <row r="37" spans="1:5" x14ac:dyDescent="0.2">
      <c r="A37" s="153"/>
      <c r="B37" s="153"/>
      <c r="C37" s="153"/>
      <c r="D37" s="153"/>
      <c r="E37" s="153"/>
    </row>
  </sheetData>
  <sheetProtection password="F88E" sheet="1" objects="1" scenarios="1" formatColumns="0"/>
  <customSheetViews>
    <customSheetView guid="{4BF10618-D357-11D5-9338-EFF21189730A}" showGridLines="0" outlineSymbols="0" showRuler="0">
      <selection activeCell="A9" sqref="A9"/>
      <pageMargins left="0.75" right="0.75" top="1" bottom="1" header="0" footer="0"/>
      <printOptions horizontalCentered="1" verticalCentered="1"/>
      <pageSetup orientation="landscape" horizontalDpi="120" verticalDpi="144" r:id="rId1"/>
      <headerFooter alignWithMargins="0"/>
    </customSheetView>
  </customSheetViews>
  <mergeCells count="16">
    <mergeCell ref="A15:B15"/>
    <mergeCell ref="A18:B18"/>
    <mergeCell ref="A1:D1"/>
    <mergeCell ref="C18:D18"/>
    <mergeCell ref="A6:B6"/>
    <mergeCell ref="A7:B7"/>
    <mergeCell ref="A8:B8"/>
    <mergeCell ref="A9:B9"/>
    <mergeCell ref="A11:B11"/>
    <mergeCell ref="A12:B12"/>
    <mergeCell ref="A13:B13"/>
    <mergeCell ref="A14:B14"/>
    <mergeCell ref="A2:D2"/>
    <mergeCell ref="A5:C5"/>
    <mergeCell ref="A3:D3"/>
    <mergeCell ref="A4:D4"/>
  </mergeCells>
  <phoneticPr fontId="11" type="noConversion"/>
  <printOptions horizontalCentered="1" verticalCentered="1"/>
  <pageMargins left="0.75" right="0.75" top="1" bottom="1" header="0" footer="0"/>
  <pageSetup orientation="landscape" horizontalDpi="120" verticalDpi="144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66675</xdr:rowOff>
                  </from>
                  <to>
                    <xdr:col>0</xdr:col>
                    <xdr:colOff>847725</xdr:colOff>
                    <xdr:row>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autoPageBreaks="0"/>
  </sheetPr>
  <dimension ref="A1:FZ128"/>
  <sheetViews>
    <sheetView showGridLines="0" showRowColHeaders="0" showOutlineSymbols="0" topLeftCell="A34" zoomScaleNormal="100" workbookViewId="0">
      <selection activeCell="B55" sqref="B55"/>
    </sheetView>
  </sheetViews>
  <sheetFormatPr baseColWidth="10" defaultRowHeight="12.75" x14ac:dyDescent="0.2"/>
  <cols>
    <col min="1" max="1" width="23.5703125" style="1" bestFit="1" customWidth="1"/>
    <col min="2" max="2" width="11.42578125" style="1"/>
    <col min="3" max="17" width="12.140625" style="1" customWidth="1"/>
    <col min="18" max="16384" width="11.42578125" style="1"/>
  </cols>
  <sheetData>
    <row r="1" spans="1:182" ht="18" x14ac:dyDescent="0.25">
      <c r="A1" s="662" t="str">
        <f>'inversión inicial'!A1:D1</f>
        <v>PREFACTIBILIDAD PARA LA CREACIÓN DE UN PRODUCTO; PARA LA FABRICACION DE BLOQUE CON COMPONENTE DE MATERIAL PET</v>
      </c>
      <c r="B1" s="662"/>
      <c r="C1" s="662"/>
      <c r="D1" s="662"/>
      <c r="E1" s="662"/>
      <c r="F1" s="662"/>
      <c r="G1" s="662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</row>
    <row r="2" spans="1:182" x14ac:dyDescent="0.2">
      <c r="A2" s="666" t="s">
        <v>375</v>
      </c>
      <c r="B2" s="666"/>
      <c r="C2" s="666"/>
      <c r="D2" s="666"/>
      <c r="E2" s="666"/>
      <c r="F2" s="666"/>
      <c r="G2" s="666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</row>
    <row r="3" spans="1:182" x14ac:dyDescent="0.2">
      <c r="A3" s="667" t="str">
        <f>IF(Inicio!$E$51="Años","En Años","En Meses")</f>
        <v>En Años</v>
      </c>
      <c r="B3" s="667"/>
      <c r="C3" s="667"/>
      <c r="D3" s="667"/>
      <c r="E3" s="667"/>
      <c r="F3" s="667"/>
      <c r="G3" s="667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</row>
    <row r="4" spans="1:182" ht="13.5" thickBot="1" x14ac:dyDescent="0.25">
      <c r="A4" s="668" t="s">
        <v>276</v>
      </c>
      <c r="B4" s="668"/>
      <c r="C4" s="668"/>
      <c r="D4" s="668"/>
      <c r="E4" s="668"/>
      <c r="F4" s="668"/>
      <c r="G4" s="66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</row>
    <row r="5" spans="1:182" ht="13.5" thickBot="1" x14ac:dyDescent="0.25">
      <c r="A5" s="249" t="s">
        <v>4</v>
      </c>
      <c r="B5" s="292">
        <v>0</v>
      </c>
      <c r="C5" s="249">
        <v>1</v>
      </c>
      <c r="D5" s="292">
        <v>2</v>
      </c>
      <c r="E5" s="249">
        <v>3</v>
      </c>
      <c r="F5" s="292">
        <v>4</v>
      </c>
      <c r="G5" s="249">
        <v>5</v>
      </c>
      <c r="H5" s="249">
        <v>6</v>
      </c>
      <c r="I5" s="292">
        <v>7</v>
      </c>
      <c r="J5" s="249">
        <v>8</v>
      </c>
      <c r="K5" s="292">
        <v>9</v>
      </c>
      <c r="L5" s="249">
        <v>10</v>
      </c>
      <c r="M5" s="249">
        <v>11</v>
      </c>
      <c r="N5" s="292">
        <v>12</v>
      </c>
      <c r="O5" s="249">
        <v>13</v>
      </c>
      <c r="P5" s="292">
        <v>14</v>
      </c>
      <c r="Q5" s="249">
        <v>15</v>
      </c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</row>
    <row r="6" spans="1:182" ht="13.5" thickBo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</row>
    <row r="7" spans="1:182" x14ac:dyDescent="0.2">
      <c r="A7" s="293" t="str">
        <f>Inicio!C245</f>
        <v>Préstamo 1</v>
      </c>
      <c r="B7" s="533">
        <f>IF(Inicio!C229=1,+'inversión inicial'!C29,Inicio!F232)</f>
        <v>150730.76206352399</v>
      </c>
      <c r="C7" s="243">
        <f>IF(Inicio!$E$49&gt;=C5,(+B7),0)</f>
        <v>150730.76206352399</v>
      </c>
      <c r="D7" s="295">
        <f>IF(Inicio!$E$49&gt;=D5,(+C10),0)</f>
        <v>124520.08517462027</v>
      </c>
      <c r="E7" s="243">
        <f>IF(Inicio!$E$49&gt;=E5,(+D10),0)</f>
        <v>96474.660903493292</v>
      </c>
      <c r="F7" s="243">
        <f>IF(Inicio!$E$49&gt;=F5,(+E10),0)</f>
        <v>66466.056933387445</v>
      </c>
      <c r="G7" s="243">
        <f>IF(Inicio!$E$49&gt;=G5,(+F10),0)</f>
        <v>34356.850685374171</v>
      </c>
      <c r="H7" s="243">
        <f>IF(Inicio!$E$49&gt;=H5,(+G10),0)</f>
        <v>0</v>
      </c>
      <c r="I7" s="243">
        <f>IF(Inicio!$E$49&gt;=I5,(+H10),0)</f>
        <v>0</v>
      </c>
      <c r="J7" s="243">
        <f>IF(Inicio!$E$49&gt;=J5,(+I10),0)</f>
        <v>0</v>
      </c>
      <c r="K7" s="243">
        <f>IF(Inicio!$E$49&gt;=K5,(+J10),0)</f>
        <v>0</v>
      </c>
      <c r="L7" s="243">
        <f>IF(Inicio!$E$49&gt;=L5,(+K10),0)</f>
        <v>0</v>
      </c>
      <c r="M7" s="243">
        <f>IF(Inicio!$E$49&gt;=M5,(+L10),0)</f>
        <v>0</v>
      </c>
      <c r="N7" s="243">
        <f>IF(Inicio!$E$49&gt;=N5,(+M10),0)</f>
        <v>0</v>
      </c>
      <c r="O7" s="243">
        <f>IF(Inicio!$E$49&gt;=O5,(+N10),0)</f>
        <v>0</v>
      </c>
      <c r="P7" s="243">
        <f>IF(Inicio!$E$49&gt;=P5,(+O10),0)</f>
        <v>0</v>
      </c>
      <c r="Q7" s="243">
        <f>IF(Inicio!$E$49&gt;=Q5,(+P10),0)</f>
        <v>0</v>
      </c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3"/>
      <c r="DQ7" s="153"/>
      <c r="DR7" s="153"/>
      <c r="DS7" s="153"/>
      <c r="DT7" s="153"/>
      <c r="DU7" s="153"/>
      <c r="DV7" s="153"/>
      <c r="DW7" s="153"/>
      <c r="DX7" s="153"/>
      <c r="DY7" s="153"/>
      <c r="DZ7" s="153"/>
      <c r="EA7" s="153"/>
      <c r="EB7" s="153"/>
      <c r="EC7" s="153"/>
      <c r="ED7" s="153"/>
      <c r="EE7" s="153"/>
      <c r="EF7" s="153"/>
      <c r="EG7" s="153"/>
      <c r="EH7" s="153"/>
      <c r="EI7" s="153"/>
      <c r="EJ7" s="153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</row>
    <row r="8" spans="1:182" x14ac:dyDescent="0.2">
      <c r="A8" s="236" t="s">
        <v>376</v>
      </c>
      <c r="B8" s="296">
        <f>IF(Inicio!$E$51="Años",Inicio!D245,(POWER(Inicio!D245+1,1/12)-1))</f>
        <v>7.0000000000000007E-2</v>
      </c>
      <c r="C8" s="239">
        <f>IF(Inicio!$E$49&gt;=C5,(IF(Inicio!$E$51="años",+(C46),IF(Inicio!$E$49&gt;=C$5,(+C55),0))),0)</f>
        <v>9421.9058847775359</v>
      </c>
      <c r="D8" s="297">
        <f>IF(Inicio!$E$49&gt;=D5,(IF(Inicio!$E$51="años",+(D46),IF(Inicio!$E$49&gt;=D$5,(+D55),0))),0)</f>
        <v>7587.1585025542772</v>
      </c>
      <c r="E8" s="239">
        <f>IF(Inicio!$E$49&gt;=E5,(IF(Inicio!$E$51="años",+(E46),IF(Inicio!$E$49&gt;=E$5,(+E55),0))),0)</f>
        <v>5623.9788035753891</v>
      </c>
      <c r="F8" s="239">
        <f>IF(Inicio!$E$49&gt;=F5,(IF(Inicio!$E$51="años",+(F46),IF(Inicio!$E$49&gt;=F$5,(+F55),0))),0)</f>
        <v>3523.3765256679794</v>
      </c>
      <c r="G8" s="239">
        <f>IF(Inicio!$E$49&gt;=G5,(IF(Inicio!$E$51="años",+(G46),IF(Inicio!$E$49&gt;=G$5,(+G55),0))),0)</f>
        <v>1275.7320883070529</v>
      </c>
      <c r="H8" s="239">
        <f>IF(Inicio!$E$49&gt;=H5,(IF(Inicio!$E$51="años",+(H46),IF(Inicio!$E$49&gt;=H$5,(+H55),0))),0)</f>
        <v>0</v>
      </c>
      <c r="I8" s="239">
        <f>IF(Inicio!$E$49&gt;=I5,(IF(Inicio!$E$51="años",+(I46),IF(Inicio!$E$49&gt;=I$5,(+I55),0))),0)</f>
        <v>0</v>
      </c>
      <c r="J8" s="239">
        <f>IF(Inicio!$E$49&gt;=J5,(IF(Inicio!$E$51="años",+(J46),IF(Inicio!$E$49&gt;=J$5,(+J55),0))),0)</f>
        <v>0</v>
      </c>
      <c r="K8" s="239">
        <f>IF(Inicio!$E$49&gt;=K5,(IF(Inicio!$E$51="años",+(K46),IF(Inicio!$E$49&gt;=K$5,(+K55),0))),0)</f>
        <v>0</v>
      </c>
      <c r="L8" s="239">
        <f>IF(Inicio!$E$49&gt;=L5,(IF(Inicio!$E$51="años",+(L46),IF(Inicio!$E$49&gt;=L$5,(+L55),0))),0)</f>
        <v>0</v>
      </c>
      <c r="M8" s="239">
        <f>IF(Inicio!$E$49&gt;=M5,(IF(Inicio!$E$51="años",+(M46),IF(Inicio!$E$49&gt;=M$5,(+M55),0))),0)</f>
        <v>0</v>
      </c>
      <c r="N8" s="239">
        <f>IF(Inicio!$E$49&gt;=N5,(IF(Inicio!$E$51="años",+(N46),IF(Inicio!$E$49&gt;=N$5,(+N55),0))),0)</f>
        <v>0</v>
      </c>
      <c r="O8" s="239">
        <f>IF(Inicio!$E$49&gt;=O5,(IF(Inicio!$E$51="años",+(O46),IF(Inicio!$E$49&gt;=O$5,(+O55),0))),0)</f>
        <v>0</v>
      </c>
      <c r="P8" s="239">
        <f>IF(Inicio!$E$49&gt;=P5,(IF(Inicio!$E$51="años",+(P46),IF(Inicio!$E$49&gt;=P$5,(+P55),0))),0)</f>
        <v>0</v>
      </c>
      <c r="Q8" s="239">
        <f>IF(Inicio!$E$49&gt;=Q5,(IF(Inicio!$E$51="años",+(Q46),IF(Inicio!$E$49&gt;=Q$5,(+Q55),0))),0)</f>
        <v>0</v>
      </c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DW8" s="153"/>
      <c r="DX8" s="153"/>
      <c r="DY8" s="153"/>
      <c r="DZ8" s="153"/>
      <c r="EA8" s="153"/>
      <c r="EB8" s="153"/>
      <c r="EC8" s="153"/>
      <c r="ED8" s="153"/>
      <c r="EE8" s="153"/>
      <c r="EF8" s="153"/>
      <c r="EG8" s="153"/>
      <c r="EH8" s="153"/>
      <c r="EI8" s="153"/>
      <c r="EJ8" s="153"/>
      <c r="EK8" s="153"/>
      <c r="EL8" s="153"/>
      <c r="EM8" s="153"/>
      <c r="EN8" s="153"/>
      <c r="EO8" s="153"/>
      <c r="EP8" s="153"/>
      <c r="EQ8" s="153"/>
      <c r="ER8" s="153"/>
      <c r="ES8" s="153"/>
      <c r="ET8" s="153"/>
      <c r="EU8" s="153"/>
      <c r="EV8" s="153"/>
      <c r="EW8" s="153"/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  <c r="FL8" s="153"/>
      <c r="FM8" s="153"/>
      <c r="FN8" s="153"/>
      <c r="FO8" s="153"/>
      <c r="FP8" s="153"/>
      <c r="FQ8" s="153"/>
      <c r="FR8" s="153"/>
      <c r="FS8" s="153"/>
      <c r="FT8" s="153"/>
      <c r="FU8" s="153"/>
      <c r="FV8" s="153"/>
      <c r="FW8" s="153"/>
      <c r="FX8" s="153"/>
      <c r="FY8" s="153"/>
      <c r="FZ8" s="153"/>
    </row>
    <row r="9" spans="1:182" x14ac:dyDescent="0.2">
      <c r="A9" s="236" t="s">
        <v>25</v>
      </c>
      <c r="B9" s="298"/>
      <c r="C9" s="239">
        <f>IF(Inicio!$E$49&gt;=C5,(IF(Inicio!$E$51="años",+(C47),IF(Inicio!$E$49&gt;=C$5,(+C56),0))),0)</f>
        <v>26210.676888903716</v>
      </c>
      <c r="D9" s="297">
        <f>IF(Inicio!$E$49&gt;=D5,(IF(Inicio!$E$51="años",+(D47),IF(Inicio!$E$49&gt;=D$5,(+D56),0))),0)</f>
        <v>28045.424271126969</v>
      </c>
      <c r="E9" s="239">
        <f>IF(Inicio!$E$49&gt;=E5,(IF(Inicio!$E$51="años",+(E47),IF(Inicio!$E$49&gt;=E$5,(+E56),0))),0)</f>
        <v>30008.603970105854</v>
      </c>
      <c r="F9" s="239">
        <f>IF(Inicio!$E$49&gt;=F5,(IF(Inicio!$E$51="años",+(F47),IF(Inicio!$E$49&gt;=F$5,(+F56),0))),0)</f>
        <v>32109.20624801327</v>
      </c>
      <c r="G9" s="239">
        <f>IF(Inicio!$E$49&gt;=G5,(IF(Inicio!$E$51="años",+(G47),IF(Inicio!$E$49&gt;=G$5,(+G56),0))),0)</f>
        <v>34356.850685374193</v>
      </c>
      <c r="H9" s="239">
        <f>IF(Inicio!$E$49&gt;=H5,(IF(Inicio!$E$51="años",+(H47),IF(Inicio!$E$49&gt;=H$5,(+H56),0))),0)</f>
        <v>0</v>
      </c>
      <c r="I9" s="239">
        <f>IF(Inicio!$E$49&gt;=I5,(IF(Inicio!$E$51="años",+(I47),IF(Inicio!$E$49&gt;=I$5,(+I56),0))),0)</f>
        <v>0</v>
      </c>
      <c r="J9" s="239">
        <f>IF(Inicio!$E$49&gt;=J5,(IF(Inicio!$E$51="años",+(J47),IF(Inicio!$E$49&gt;=J$5,(+J56),0))),0)</f>
        <v>0</v>
      </c>
      <c r="K9" s="239">
        <f>IF(Inicio!$E$49&gt;=K5,(IF(Inicio!$E$51="años",+(K47),IF(Inicio!$E$49&gt;=K$5,(+K56),0))),0)</f>
        <v>0</v>
      </c>
      <c r="L9" s="239">
        <f>IF(Inicio!$E$49&gt;=L5,(IF(Inicio!$E$51="años",+(L47),IF(Inicio!$E$49&gt;=L$5,(+L56),0))),0)</f>
        <v>0</v>
      </c>
      <c r="M9" s="239">
        <f>IF(Inicio!$E$49&gt;=M5,(IF(Inicio!$E$51="años",+(M47),IF(Inicio!$E$49&gt;=M$5,(+M56),0))),0)</f>
        <v>0</v>
      </c>
      <c r="N9" s="239">
        <f>IF(Inicio!$E$49&gt;=N5,(IF(Inicio!$E$51="años",+(N47),IF(Inicio!$E$49&gt;=N$5,(+N56),0))),0)</f>
        <v>0</v>
      </c>
      <c r="O9" s="239">
        <f>IF(Inicio!$E$49&gt;=O5,(IF(Inicio!$E$51="años",+(O47),IF(Inicio!$E$49&gt;=O$5,(+O56),0))),0)</f>
        <v>0</v>
      </c>
      <c r="P9" s="239">
        <f>IF(Inicio!$E$49&gt;=P5,(IF(Inicio!$E$51="años",+(P47),IF(Inicio!$E$49&gt;=P$5,(+P56),0))),0)</f>
        <v>0</v>
      </c>
      <c r="Q9" s="239">
        <f>IF(Inicio!$E$49&gt;=Q5,(IF(Inicio!$E$51="años",+(Q47),IF(Inicio!$E$49&gt;=Q$5,(+Q56),0))),0)</f>
        <v>0</v>
      </c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3"/>
      <c r="CA9" s="153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3"/>
      <c r="CS9" s="153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3"/>
      <c r="DK9" s="153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DW9" s="153"/>
      <c r="DX9" s="153"/>
      <c r="DY9" s="153"/>
      <c r="DZ9" s="153"/>
      <c r="EA9" s="153"/>
      <c r="EB9" s="153"/>
      <c r="EC9" s="153"/>
      <c r="ED9" s="153"/>
      <c r="EE9" s="153"/>
      <c r="EF9" s="153"/>
      <c r="EG9" s="153"/>
      <c r="EH9" s="153"/>
      <c r="EI9" s="153"/>
      <c r="EJ9" s="153"/>
      <c r="EK9" s="153"/>
      <c r="EL9" s="153"/>
      <c r="EM9" s="153"/>
      <c r="EN9" s="153"/>
      <c r="EO9" s="153"/>
      <c r="EP9" s="153"/>
      <c r="EQ9" s="153"/>
      <c r="ER9" s="153"/>
      <c r="ES9" s="153"/>
      <c r="ET9" s="153"/>
      <c r="EU9" s="153"/>
      <c r="EV9" s="153"/>
      <c r="EW9" s="153"/>
      <c r="EX9" s="153"/>
      <c r="EY9" s="153"/>
      <c r="EZ9" s="153"/>
      <c r="FA9" s="153"/>
      <c r="FB9" s="153"/>
      <c r="FC9" s="153"/>
      <c r="FD9" s="153"/>
      <c r="FE9" s="153"/>
      <c r="FF9" s="153"/>
      <c r="FG9" s="153"/>
      <c r="FH9" s="153"/>
      <c r="FI9" s="153"/>
      <c r="FJ9" s="153"/>
      <c r="FK9" s="153"/>
      <c r="FL9" s="153"/>
      <c r="FM9" s="153"/>
      <c r="FN9" s="153"/>
      <c r="FO9" s="153"/>
      <c r="FP9" s="153"/>
      <c r="FQ9" s="153"/>
      <c r="FR9" s="153"/>
      <c r="FS9" s="153"/>
      <c r="FT9" s="153"/>
      <c r="FU9" s="153"/>
      <c r="FV9" s="153"/>
      <c r="FW9" s="153"/>
      <c r="FX9" s="153"/>
      <c r="FY9" s="153"/>
      <c r="FZ9" s="153"/>
    </row>
    <row r="10" spans="1:182" ht="13.5" thickBot="1" x14ac:dyDescent="0.25">
      <c r="A10" s="236" t="s">
        <v>26</v>
      </c>
      <c r="B10" s="298">
        <f>+Inicio!F245</f>
        <v>1</v>
      </c>
      <c r="C10" s="251">
        <f>+B7-C9</f>
        <v>124520.08517462027</v>
      </c>
      <c r="D10" s="299">
        <f t="shared" ref="D10:Q10" si="0">+D7-D9</f>
        <v>96474.660903493292</v>
      </c>
      <c r="E10" s="251">
        <f t="shared" si="0"/>
        <v>66466.056933387445</v>
      </c>
      <c r="F10" s="251">
        <f t="shared" si="0"/>
        <v>34356.850685374171</v>
      </c>
      <c r="G10" s="251">
        <f t="shared" si="0"/>
        <v>0</v>
      </c>
      <c r="H10" s="251">
        <f t="shared" si="0"/>
        <v>0</v>
      </c>
      <c r="I10" s="251">
        <f t="shared" si="0"/>
        <v>0</v>
      </c>
      <c r="J10" s="251">
        <f t="shared" si="0"/>
        <v>0</v>
      </c>
      <c r="K10" s="251">
        <f t="shared" si="0"/>
        <v>0</v>
      </c>
      <c r="L10" s="251">
        <f t="shared" si="0"/>
        <v>0</v>
      </c>
      <c r="M10" s="251">
        <f t="shared" si="0"/>
        <v>0</v>
      </c>
      <c r="N10" s="251">
        <f t="shared" si="0"/>
        <v>0</v>
      </c>
      <c r="O10" s="251">
        <f t="shared" si="0"/>
        <v>0</v>
      </c>
      <c r="P10" s="251">
        <f t="shared" si="0"/>
        <v>0</v>
      </c>
      <c r="Q10" s="251">
        <f t="shared" si="0"/>
        <v>0</v>
      </c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  <c r="EV10" s="153"/>
      <c r="EW10" s="153"/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  <c r="FW10" s="153"/>
      <c r="FX10" s="153"/>
      <c r="FY10" s="153"/>
      <c r="FZ10" s="153"/>
    </row>
    <row r="11" spans="1:182" x14ac:dyDescent="0.2">
      <c r="A11" s="236" t="s">
        <v>61</v>
      </c>
      <c r="B11" s="298">
        <f>IF(Inicio!$E$51="Años",Inicio!E245,Inicio!E245*12)</f>
        <v>5</v>
      </c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  <c r="EV11" s="153"/>
      <c r="EW11" s="153"/>
      <c r="EX11" s="153"/>
      <c r="EY11" s="153"/>
      <c r="EZ11" s="153"/>
      <c r="FA11" s="153"/>
      <c r="FB11" s="153"/>
      <c r="FC11" s="153"/>
      <c r="FD11" s="153"/>
      <c r="FE11" s="153"/>
      <c r="FF11" s="153"/>
      <c r="FG11" s="153"/>
      <c r="FH11" s="153"/>
      <c r="FI11" s="153"/>
      <c r="FJ11" s="153"/>
      <c r="FK11" s="153"/>
      <c r="FL11" s="153"/>
      <c r="FM11" s="153"/>
      <c r="FN11" s="153"/>
      <c r="FO11" s="153"/>
      <c r="FP11" s="153"/>
      <c r="FQ11" s="153"/>
      <c r="FR11" s="153"/>
      <c r="FS11" s="153"/>
      <c r="FT11" s="153"/>
      <c r="FU11" s="153"/>
      <c r="FV11" s="153"/>
      <c r="FW11" s="153"/>
      <c r="FX11" s="153"/>
      <c r="FY11" s="153"/>
      <c r="FZ11" s="153"/>
    </row>
    <row r="12" spans="1:182" x14ac:dyDescent="0.2">
      <c r="A12" s="236" t="s">
        <v>1</v>
      </c>
      <c r="B12" s="300" t="s">
        <v>1</v>
      </c>
      <c r="C12" s="301" t="s">
        <v>1</v>
      </c>
      <c r="D12" s="301" t="s">
        <v>1</v>
      </c>
      <c r="E12" s="301" t="s">
        <v>1</v>
      </c>
      <c r="F12" s="301" t="s">
        <v>1</v>
      </c>
      <c r="G12" s="301" t="s">
        <v>1</v>
      </c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 s="153"/>
      <c r="DW12" s="153"/>
      <c r="DX12" s="153"/>
      <c r="DY12" s="153"/>
      <c r="DZ12" s="153"/>
      <c r="EA12" s="153"/>
      <c r="EB12" s="153"/>
      <c r="EC12" s="153"/>
      <c r="ED12" s="153"/>
      <c r="EE12" s="153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153"/>
      <c r="ER12" s="153"/>
      <c r="ES12" s="153"/>
      <c r="ET12" s="153"/>
      <c r="EU12" s="153"/>
      <c r="EV12" s="153"/>
      <c r="EW12" s="153"/>
      <c r="EX12" s="153"/>
      <c r="EY12" s="153"/>
      <c r="EZ12" s="153"/>
      <c r="FA12" s="153"/>
      <c r="FB12" s="153"/>
      <c r="FC12" s="153"/>
      <c r="FD12" s="153"/>
      <c r="FE12" s="153"/>
      <c r="FF12" s="153"/>
      <c r="FG12" s="153"/>
      <c r="FH12" s="153"/>
      <c r="FI12" s="153"/>
      <c r="FJ12" s="153"/>
      <c r="FK12" s="153"/>
      <c r="FL12" s="153"/>
      <c r="FM12" s="153"/>
      <c r="FN12" s="153"/>
      <c r="FO12" s="153"/>
      <c r="FP12" s="153"/>
      <c r="FQ12" s="153"/>
      <c r="FR12" s="153"/>
      <c r="FS12" s="153"/>
      <c r="FT12" s="153"/>
      <c r="FU12" s="153"/>
      <c r="FV12" s="153"/>
      <c r="FW12" s="153"/>
      <c r="FX12" s="153"/>
      <c r="FY12" s="153"/>
      <c r="FZ12" s="153"/>
    </row>
    <row r="13" spans="1:182" ht="13.5" thickBot="1" x14ac:dyDescent="0.25">
      <c r="A13" s="302" t="s">
        <v>1</v>
      </c>
      <c r="B13" s="303" t="s">
        <v>1</v>
      </c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  <c r="DU13" s="153"/>
      <c r="DV13" s="153"/>
      <c r="DW13" s="153"/>
      <c r="DX13" s="153"/>
      <c r="DY13" s="153"/>
      <c r="DZ13" s="153"/>
      <c r="EA13" s="153"/>
      <c r="EB13" s="153"/>
      <c r="EC13" s="153"/>
      <c r="ED13" s="153"/>
      <c r="EE13" s="153"/>
      <c r="EF13" s="153"/>
      <c r="EG13" s="153"/>
      <c r="EH13" s="153"/>
      <c r="EI13" s="153"/>
      <c r="EJ13" s="153"/>
      <c r="EK13" s="153"/>
      <c r="EL13" s="153"/>
      <c r="EM13" s="153"/>
      <c r="EN13" s="153"/>
      <c r="EO13" s="153"/>
      <c r="EP13" s="153"/>
      <c r="EQ13" s="153"/>
      <c r="ER13" s="153"/>
      <c r="ES13" s="153"/>
      <c r="ET13" s="153"/>
      <c r="EU13" s="153"/>
      <c r="EV13" s="153"/>
      <c r="EW13" s="153"/>
      <c r="EX13" s="153"/>
      <c r="EY13" s="153"/>
      <c r="EZ13" s="153"/>
      <c r="FA13" s="153"/>
      <c r="FB13" s="153"/>
      <c r="FC13" s="153"/>
      <c r="FD13" s="153"/>
      <c r="FE13" s="153"/>
      <c r="FF13" s="153"/>
      <c r="FG13" s="153"/>
      <c r="FH13" s="153"/>
      <c r="FI13" s="153"/>
      <c r="FJ13" s="153"/>
      <c r="FK13" s="153"/>
      <c r="FL13" s="153"/>
      <c r="FM13" s="153"/>
      <c r="FN13" s="153"/>
      <c r="FO13" s="153"/>
      <c r="FP13" s="153"/>
      <c r="FQ13" s="153"/>
      <c r="FR13" s="153"/>
      <c r="FS13" s="153"/>
      <c r="FT13" s="153"/>
      <c r="FU13" s="153"/>
      <c r="FV13" s="153"/>
      <c r="FW13" s="153"/>
      <c r="FX13" s="153"/>
      <c r="FY13" s="153"/>
      <c r="FZ13" s="153"/>
    </row>
    <row r="14" spans="1:182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 s="153"/>
      <c r="DW14" s="153"/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3"/>
      <c r="EI14" s="153"/>
      <c r="EJ14" s="153"/>
      <c r="EK14" s="153"/>
      <c r="EL14" s="153"/>
      <c r="EM14" s="153"/>
      <c r="EN14" s="153"/>
      <c r="EO14" s="153"/>
      <c r="EP14" s="153"/>
      <c r="EQ14" s="153"/>
      <c r="ER14" s="153"/>
      <c r="ES14" s="153"/>
      <c r="ET14" s="153"/>
      <c r="EU14" s="153"/>
      <c r="EV14" s="153"/>
      <c r="EW14" s="153"/>
      <c r="EX14" s="153"/>
      <c r="EY14" s="153"/>
      <c r="EZ14" s="153"/>
      <c r="FA14" s="153"/>
      <c r="FB14" s="153"/>
      <c r="FC14" s="153"/>
      <c r="FD14" s="153"/>
      <c r="FE14" s="153"/>
      <c r="FF14" s="153"/>
      <c r="FG14" s="153"/>
      <c r="FH14" s="153"/>
      <c r="FI14" s="153"/>
      <c r="FJ14" s="153"/>
      <c r="FK14" s="153"/>
      <c r="FL14" s="153"/>
      <c r="FM14" s="153"/>
      <c r="FN14" s="153"/>
      <c r="FO14" s="153"/>
      <c r="FP14" s="153"/>
      <c r="FQ14" s="153"/>
      <c r="FR14" s="153"/>
      <c r="FS14" s="153"/>
      <c r="FT14" s="153"/>
      <c r="FU14" s="153"/>
      <c r="FV14" s="153"/>
      <c r="FW14" s="153"/>
      <c r="FX14" s="153"/>
      <c r="FY14" s="153"/>
      <c r="FZ14" s="153"/>
    </row>
    <row r="15" spans="1:182" ht="13.5" thickBot="1" x14ac:dyDescent="0.25">
      <c r="A15" s="230" t="s">
        <v>1</v>
      </c>
      <c r="B15" s="230"/>
      <c r="C15" s="301" t="s">
        <v>1</v>
      </c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153"/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 s="153"/>
      <c r="DW15" s="153"/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3"/>
      <c r="EI15" s="153"/>
      <c r="EJ15" s="153"/>
      <c r="EK15" s="153"/>
      <c r="EL15" s="153"/>
      <c r="EM15" s="153"/>
      <c r="EN15" s="153"/>
      <c r="EO15" s="153"/>
      <c r="EP15" s="153"/>
      <c r="EQ15" s="153"/>
      <c r="ER15" s="153"/>
      <c r="ES15" s="153"/>
      <c r="ET15" s="153"/>
      <c r="EU15" s="153"/>
      <c r="EV15" s="153"/>
      <c r="EW15" s="153"/>
      <c r="EX15" s="153"/>
      <c r="EY15" s="153"/>
      <c r="EZ15" s="153"/>
      <c r="FA15" s="153"/>
      <c r="FB15" s="153"/>
      <c r="FC15" s="153"/>
      <c r="FD15" s="153"/>
      <c r="FE15" s="153"/>
      <c r="FF15" s="153"/>
      <c r="FG15" s="153"/>
      <c r="FH15" s="153"/>
      <c r="FI15" s="153"/>
      <c r="FJ15" s="153"/>
      <c r="FK15" s="153"/>
      <c r="FL15" s="153"/>
      <c r="FM15" s="153"/>
      <c r="FN15" s="153"/>
      <c r="FO15" s="153"/>
      <c r="FP15" s="153"/>
      <c r="FQ15" s="153"/>
      <c r="FR15" s="153"/>
      <c r="FS15" s="153"/>
      <c r="FT15" s="153"/>
      <c r="FU15" s="153"/>
      <c r="FV15" s="153"/>
      <c r="FW15" s="153"/>
      <c r="FX15" s="153"/>
      <c r="FY15" s="153"/>
      <c r="FZ15" s="153"/>
    </row>
    <row r="16" spans="1:182" ht="13.5" thickBot="1" x14ac:dyDescent="0.25">
      <c r="A16" s="249" t="s">
        <v>4</v>
      </c>
      <c r="B16" s="292">
        <v>0</v>
      </c>
      <c r="C16" s="249">
        <v>1</v>
      </c>
      <c r="D16" s="292">
        <v>2</v>
      </c>
      <c r="E16" s="249">
        <v>3</v>
      </c>
      <c r="F16" s="292">
        <v>4</v>
      </c>
      <c r="G16" s="249">
        <v>5</v>
      </c>
      <c r="H16" s="249">
        <v>6</v>
      </c>
      <c r="I16" s="292">
        <v>7</v>
      </c>
      <c r="J16" s="249">
        <v>8</v>
      </c>
      <c r="K16" s="292">
        <v>9</v>
      </c>
      <c r="L16" s="249">
        <v>10</v>
      </c>
      <c r="M16" s="249">
        <v>11</v>
      </c>
      <c r="N16" s="292">
        <v>12</v>
      </c>
      <c r="O16" s="249">
        <v>13</v>
      </c>
      <c r="P16" s="292">
        <v>14</v>
      </c>
      <c r="Q16" s="249">
        <v>15</v>
      </c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3"/>
      <c r="EX16" s="153"/>
      <c r="EY16" s="153"/>
      <c r="EZ16" s="153"/>
      <c r="FA16" s="153"/>
      <c r="FB16" s="153"/>
      <c r="FC16" s="153"/>
      <c r="FD16" s="153"/>
      <c r="FE16" s="153"/>
      <c r="FF16" s="153"/>
      <c r="FG16" s="153"/>
      <c r="FH16" s="153"/>
      <c r="FI16" s="153"/>
      <c r="FJ16" s="153"/>
      <c r="FK16" s="153"/>
      <c r="FL16" s="153"/>
      <c r="FM16" s="153"/>
      <c r="FN16" s="153"/>
      <c r="FO16" s="153"/>
      <c r="FP16" s="153"/>
      <c r="FQ16" s="153"/>
      <c r="FR16" s="153"/>
      <c r="FS16" s="153"/>
      <c r="FT16" s="153"/>
      <c r="FU16" s="153"/>
      <c r="FV16" s="153"/>
      <c r="FW16" s="153"/>
      <c r="FX16" s="153"/>
      <c r="FY16" s="153"/>
      <c r="FZ16" s="153"/>
    </row>
    <row r="17" spans="1:182" ht="13.5" thickBot="1" x14ac:dyDescent="0.25">
      <c r="A17" s="230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53"/>
      <c r="EO17" s="153"/>
      <c r="EP17" s="153"/>
      <c r="EQ17" s="153"/>
      <c r="ER17" s="153"/>
      <c r="ES17" s="153"/>
      <c r="ET17" s="153"/>
      <c r="EU17" s="153"/>
      <c r="EV17" s="153"/>
      <c r="EW17" s="153"/>
      <c r="EX17" s="153"/>
      <c r="EY17" s="153"/>
      <c r="EZ17" s="153"/>
      <c r="FA17" s="153"/>
      <c r="FB17" s="153"/>
      <c r="FC17" s="153"/>
      <c r="FD17" s="153"/>
      <c r="FE17" s="153"/>
      <c r="FF17" s="153"/>
      <c r="FG17" s="153"/>
      <c r="FH17" s="153"/>
      <c r="FI17" s="153"/>
      <c r="FJ17" s="153"/>
      <c r="FK17" s="153"/>
      <c r="FL17" s="153"/>
      <c r="FM17" s="153"/>
      <c r="FN17" s="153"/>
      <c r="FO17" s="153"/>
      <c r="FP17" s="153"/>
      <c r="FQ17" s="153"/>
      <c r="FR17" s="153"/>
      <c r="FS17" s="153"/>
      <c r="FT17" s="153"/>
      <c r="FU17" s="153"/>
      <c r="FV17" s="153"/>
      <c r="FW17" s="153"/>
      <c r="FX17" s="153"/>
      <c r="FY17" s="153"/>
      <c r="FZ17" s="153"/>
    </row>
    <row r="18" spans="1:182" x14ac:dyDescent="0.2">
      <c r="A18" s="293" t="str">
        <f>Inicio!C246</f>
        <v>Préstamo 2</v>
      </c>
      <c r="B18" s="294">
        <f>IF(Inicio!C229=1,+'inversión inicial'!C30,Inicio!F233)</f>
        <v>0</v>
      </c>
      <c r="C18" s="243">
        <f>IF(Inicio!$E$49&gt;=C16,(+B18),0)</f>
        <v>0</v>
      </c>
      <c r="D18" s="243">
        <f>IF(Inicio!$E$49&gt;=D16,(+C21),0)</f>
        <v>0</v>
      </c>
      <c r="E18" s="243">
        <f>IF(Inicio!$E$49&gt;=E16,(+D21),0)</f>
        <v>0</v>
      </c>
      <c r="F18" s="243">
        <f>IF(Inicio!$E$49&gt;=F16,(+E21),0)</f>
        <v>0</v>
      </c>
      <c r="G18" s="243">
        <f>IF(Inicio!$E$49&gt;=G16,(+F21),0)</f>
        <v>0</v>
      </c>
      <c r="H18" s="243">
        <f>IF(Inicio!$E$49&gt;=H16,(+G21),0)</f>
        <v>0</v>
      </c>
      <c r="I18" s="243">
        <f>IF(Inicio!$E$49&gt;=I16,(+H21),0)</f>
        <v>0</v>
      </c>
      <c r="J18" s="243">
        <f>IF(Inicio!$E$49&gt;=J16,(+I21),0)</f>
        <v>0</v>
      </c>
      <c r="K18" s="243">
        <f>IF(Inicio!$E$49&gt;=K16,(+J21),0)</f>
        <v>0</v>
      </c>
      <c r="L18" s="243">
        <f>IF(Inicio!$E$49&gt;=L16,(+K21),0)</f>
        <v>0</v>
      </c>
      <c r="M18" s="243">
        <f>IF(Inicio!$E$49&gt;=M16,(+L21),0)</f>
        <v>0</v>
      </c>
      <c r="N18" s="243">
        <f>IF(Inicio!$E$49&gt;=N16,(+M21),0)</f>
        <v>0</v>
      </c>
      <c r="O18" s="243">
        <f>IF(Inicio!$E$49&gt;=O16,(+N21),0)</f>
        <v>0</v>
      </c>
      <c r="P18" s="243">
        <f>IF(Inicio!$E$49&gt;=P16,(+O21),0)</f>
        <v>0</v>
      </c>
      <c r="Q18" s="243">
        <f>IF(Inicio!$E$49&gt;=Q16,(+P21),0)</f>
        <v>0</v>
      </c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153"/>
      <c r="ER18" s="153"/>
      <c r="ES18" s="153"/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153"/>
      <c r="FN18" s="153"/>
      <c r="FO18" s="153"/>
      <c r="FP18" s="153"/>
      <c r="FQ18" s="153"/>
      <c r="FR18" s="153"/>
      <c r="FS18" s="153"/>
      <c r="FT18" s="153"/>
      <c r="FU18" s="153"/>
      <c r="FV18" s="153"/>
      <c r="FW18" s="153"/>
      <c r="FX18" s="153"/>
      <c r="FY18" s="153"/>
      <c r="FZ18" s="153"/>
    </row>
    <row r="19" spans="1:182" x14ac:dyDescent="0.2">
      <c r="A19" s="236" t="s">
        <v>376</v>
      </c>
      <c r="B19" s="296">
        <f>IF(Inicio!$E$51="Años",Inicio!D246,(POWER(Inicio!D246+1,1/12)-1))</f>
        <v>0</v>
      </c>
      <c r="C19" s="239">
        <f>IF(Inicio!$E$49&gt;=C16,(IF(Inicio!$E$51="años",+(C67),IF(Inicio!$E$49&gt;=C$16,(+C76),0))),0)</f>
        <v>0</v>
      </c>
      <c r="D19" s="239">
        <f>IF(Inicio!$E$49&gt;=D16,(IF(Inicio!$E$51="años",+(D67),IF(Inicio!$E$49&gt;=D$16,(+D76),0))),0)</f>
        <v>0</v>
      </c>
      <c r="E19" s="239">
        <f>IF(Inicio!$E$49&gt;=E16,(IF(Inicio!$E$51="años",+(E67),IF(Inicio!$E$49&gt;=E$16,(+E76),0))),0)</f>
        <v>0</v>
      </c>
      <c r="F19" s="239">
        <f>IF(Inicio!$E$49&gt;=F16,(IF(Inicio!$E$51="años",+(F67),IF(Inicio!$E$49&gt;=F$16,(+F76),0))),0)</f>
        <v>0</v>
      </c>
      <c r="G19" s="239">
        <f>IF(Inicio!$E$49&gt;=G16,(IF(Inicio!$E$51="años",+(G67),IF(Inicio!$E$49&gt;=G$16,(+G76),0))),0)</f>
        <v>0</v>
      </c>
      <c r="H19" s="239">
        <f>IF(Inicio!$E$49&gt;=H16,(IF(Inicio!$E$51="años",+(H67),IF(Inicio!$E$49&gt;=H$16,(+H76),0))),0)</f>
        <v>0</v>
      </c>
      <c r="I19" s="239">
        <f>IF(Inicio!$E$49&gt;=I16,(IF(Inicio!$E$51="años",+(I67),IF(Inicio!$E$49&gt;=I$16,(+I76),0))),0)</f>
        <v>0</v>
      </c>
      <c r="J19" s="239">
        <f>IF(Inicio!$E$49&gt;=J16,(IF(Inicio!$E$51="años",+(J67),IF(Inicio!$E$49&gt;=J$16,(+J76),0))),0)</f>
        <v>0</v>
      </c>
      <c r="K19" s="239">
        <f>IF(Inicio!$E$49&gt;=K16,(IF(Inicio!$E$51="años",+(K67),IF(Inicio!$E$49&gt;=K$16,(+K76),0))),0)</f>
        <v>0</v>
      </c>
      <c r="L19" s="239">
        <f>IF(Inicio!$E$49&gt;=L16,(IF(Inicio!$E$51="años",+(L67),IF(Inicio!$E$49&gt;=L$16,(+L76),0))),0)</f>
        <v>0</v>
      </c>
      <c r="M19" s="239">
        <f>IF(Inicio!$E$49&gt;=M16,(IF(Inicio!$E$51="años",+(M67),IF(Inicio!$E$49&gt;=M$16,(+M76),0))),0)</f>
        <v>0</v>
      </c>
      <c r="N19" s="239">
        <f>IF(Inicio!$E$49&gt;=N16,(IF(Inicio!$E$51="años",+(N67),IF(Inicio!$E$49&gt;=N$16,(+N76),0))),0)</f>
        <v>0</v>
      </c>
      <c r="O19" s="239">
        <f>IF(Inicio!$E$49&gt;=O16,(IF(Inicio!$E$51="años",+(O67),IF(Inicio!$E$49&gt;=O$16,(+O76),0))),0)</f>
        <v>0</v>
      </c>
      <c r="P19" s="239">
        <f>IF(Inicio!$E$49&gt;=P16,(IF(Inicio!$E$51="años",+(P67),IF(Inicio!$E$49&gt;=P$16,(+P76),0))),0)</f>
        <v>0</v>
      </c>
      <c r="Q19" s="239">
        <f>IF(Inicio!$E$49&gt;=Q16,(IF(Inicio!$E$51="años",+(Q67),IF(Inicio!$E$49&gt;=Q$16,(+Q76),0))),0)</f>
        <v>0</v>
      </c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  <c r="BJ19" s="153"/>
      <c r="BK19" s="153"/>
      <c r="BL19" s="153"/>
      <c r="BM19" s="153"/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53"/>
      <c r="CB19" s="153"/>
      <c r="CC19" s="153"/>
      <c r="CD19" s="153"/>
      <c r="CE19" s="153"/>
      <c r="CF19" s="153"/>
      <c r="CG19" s="153"/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3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  <c r="EL19" s="153"/>
      <c r="EM19" s="153"/>
      <c r="EN19" s="153"/>
      <c r="EO19" s="153"/>
      <c r="EP19" s="153"/>
      <c r="EQ19" s="153"/>
      <c r="ER19" s="153"/>
      <c r="ES19" s="153"/>
      <c r="ET19" s="153"/>
      <c r="EU19" s="153"/>
      <c r="EV19" s="153"/>
      <c r="EW19" s="153"/>
      <c r="EX19" s="153"/>
      <c r="EY19" s="153"/>
      <c r="EZ19" s="153"/>
      <c r="FA19" s="153"/>
      <c r="FB19" s="153"/>
      <c r="FC19" s="153"/>
      <c r="FD19" s="153"/>
      <c r="FE19" s="153"/>
      <c r="FF19" s="153"/>
      <c r="FG19" s="153"/>
      <c r="FH19" s="153"/>
      <c r="FI19" s="153"/>
      <c r="FJ19" s="153"/>
      <c r="FK19" s="153"/>
      <c r="FL19" s="153"/>
      <c r="FM19" s="153"/>
      <c r="FN19" s="153"/>
      <c r="FO19" s="153"/>
      <c r="FP19" s="153"/>
      <c r="FQ19" s="153"/>
      <c r="FR19" s="153"/>
      <c r="FS19" s="153"/>
      <c r="FT19" s="153"/>
      <c r="FU19" s="153"/>
      <c r="FV19" s="153"/>
      <c r="FW19" s="153"/>
      <c r="FX19" s="153"/>
      <c r="FY19" s="153"/>
      <c r="FZ19" s="153"/>
    </row>
    <row r="20" spans="1:182" x14ac:dyDescent="0.2">
      <c r="A20" s="236" t="s">
        <v>25</v>
      </c>
      <c r="B20" s="298"/>
      <c r="C20" s="239">
        <f>IF(Inicio!$E$49&gt;=C16,(IF(Inicio!$E$51="años",+(C68),IF(Inicio!$E$49&gt;=C$5,(+C77),0))),0)</f>
        <v>0</v>
      </c>
      <c r="D20" s="239">
        <f>IF(Inicio!$E$49&gt;=D16,(IF(Inicio!$E$51="años",+(D68),IF(Inicio!$E$49&gt;=D$5,(+D77),0))),0)</f>
        <v>0</v>
      </c>
      <c r="E20" s="239">
        <f>IF(Inicio!$E$49&gt;=E16,(IF(Inicio!$E$51="años",+(E68),IF(Inicio!$E$49&gt;=E$5,(+E77),0))),0)</f>
        <v>0</v>
      </c>
      <c r="F20" s="239">
        <f>IF(Inicio!$E$49&gt;=F16,(IF(Inicio!$E$51="años",+(F68),IF(Inicio!$E$49&gt;=F$5,(+F77),0))),0)</f>
        <v>0</v>
      </c>
      <c r="G20" s="239">
        <f>IF(Inicio!$E$49&gt;=G16,(IF(Inicio!$E$51="años",+(G68),IF(Inicio!$E$49&gt;=G$5,(+G77),0))),0)</f>
        <v>0</v>
      </c>
      <c r="H20" s="239">
        <f>IF(Inicio!$E$49&gt;=H16,(IF(Inicio!$E$51="años",+(H68),IF(Inicio!$E$49&gt;=H$5,(+H77),0))),0)</f>
        <v>0</v>
      </c>
      <c r="I20" s="239">
        <f>IF(Inicio!$E$49&gt;=I16,(IF(Inicio!$E$51="años",+(I68),IF(Inicio!$E$49&gt;=I$5,(+I77),0))),0)</f>
        <v>0</v>
      </c>
      <c r="J20" s="239">
        <f>IF(Inicio!$E$49&gt;=J16,(IF(Inicio!$E$51="años",+(J68),IF(Inicio!$E$49&gt;=J$5,(+J77),0))),0)</f>
        <v>0</v>
      </c>
      <c r="K20" s="239">
        <f>IF(Inicio!$E$49&gt;=K16,(IF(Inicio!$E$51="años",+(K68),IF(Inicio!$E$49&gt;=K$5,(+K77),0))),0)</f>
        <v>0</v>
      </c>
      <c r="L20" s="239">
        <f>IF(Inicio!$E$49&gt;=L16,(IF(Inicio!$E$51="años",+(L68),IF(Inicio!$E$49&gt;=L$5,(+L77),0))),0)</f>
        <v>0</v>
      </c>
      <c r="M20" s="239">
        <f>IF(Inicio!$E$49&gt;=M16,(IF(Inicio!$E$51="años",+(M68),IF(Inicio!$E$49&gt;=M$5,(+M77),0))),0)</f>
        <v>0</v>
      </c>
      <c r="N20" s="239">
        <f>IF(Inicio!$E$49&gt;=N16,(IF(Inicio!$E$51="años",+(N68),IF(Inicio!$E$49&gt;=N$5,(+N77),0))),0)</f>
        <v>0</v>
      </c>
      <c r="O20" s="239">
        <f>IF(Inicio!$E$49&gt;=O16,(IF(Inicio!$E$51="años",+(O68),IF(Inicio!$E$49&gt;=O$5,(+O77),0))),0)</f>
        <v>0</v>
      </c>
      <c r="P20" s="239">
        <f>IF(Inicio!$E$49&gt;=P16,(IF(Inicio!$E$51="años",+(P68),IF(Inicio!$E$49&gt;=P$5,(+P77),0))),0)</f>
        <v>0</v>
      </c>
      <c r="Q20" s="239">
        <f>IF(Inicio!$E$49&gt;=Q16,(IF(Inicio!$E$51="años",+(Q68),IF(Inicio!$E$49&gt;=Q$5,(+Q77),0))),0)</f>
        <v>0</v>
      </c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3"/>
      <c r="FM20" s="153"/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</row>
    <row r="21" spans="1:182" ht="13.5" thickBot="1" x14ac:dyDescent="0.25">
      <c r="A21" s="236" t="s">
        <v>26</v>
      </c>
      <c r="B21" s="298">
        <f>+Inicio!F246</f>
        <v>0</v>
      </c>
      <c r="C21" s="251">
        <f>+C18-C20</f>
        <v>0</v>
      </c>
      <c r="D21" s="251">
        <f>+D18-D20</f>
        <v>0</v>
      </c>
      <c r="E21" s="251">
        <f t="shared" ref="E21:Q21" si="1">+E18-E20</f>
        <v>0</v>
      </c>
      <c r="F21" s="251">
        <f t="shared" si="1"/>
        <v>0</v>
      </c>
      <c r="G21" s="251">
        <f t="shared" si="1"/>
        <v>0</v>
      </c>
      <c r="H21" s="251">
        <f t="shared" si="1"/>
        <v>0</v>
      </c>
      <c r="I21" s="251">
        <f t="shared" si="1"/>
        <v>0</v>
      </c>
      <c r="J21" s="251">
        <f t="shared" si="1"/>
        <v>0</v>
      </c>
      <c r="K21" s="251">
        <f t="shared" si="1"/>
        <v>0</v>
      </c>
      <c r="L21" s="251">
        <f t="shared" si="1"/>
        <v>0</v>
      </c>
      <c r="M21" s="251">
        <f t="shared" si="1"/>
        <v>0</v>
      </c>
      <c r="N21" s="251">
        <f t="shared" si="1"/>
        <v>0</v>
      </c>
      <c r="O21" s="251">
        <f t="shared" si="1"/>
        <v>0</v>
      </c>
      <c r="P21" s="251">
        <f t="shared" si="1"/>
        <v>0</v>
      </c>
      <c r="Q21" s="251">
        <f t="shared" si="1"/>
        <v>0</v>
      </c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3"/>
      <c r="EI21" s="153"/>
      <c r="EJ21" s="153"/>
      <c r="EK21" s="153"/>
      <c r="EL21" s="153"/>
      <c r="EM21" s="153"/>
      <c r="EN21" s="153"/>
      <c r="EO21" s="153"/>
      <c r="EP21" s="153"/>
      <c r="EQ21" s="153"/>
      <c r="ER21" s="153"/>
      <c r="ES21" s="153"/>
      <c r="ET21" s="153"/>
      <c r="EU21" s="153"/>
      <c r="EV21" s="153"/>
      <c r="EW21" s="153"/>
      <c r="EX21" s="153"/>
      <c r="EY21" s="153"/>
      <c r="EZ21" s="153"/>
      <c r="FA21" s="153"/>
      <c r="FB21" s="153"/>
      <c r="FC21" s="153"/>
      <c r="FD21" s="153"/>
      <c r="FE21" s="153"/>
      <c r="FF21" s="153"/>
      <c r="FG21" s="153"/>
      <c r="FH21" s="153"/>
      <c r="FI21" s="153"/>
      <c r="FJ21" s="153"/>
      <c r="FK21" s="153"/>
      <c r="FL21" s="153"/>
      <c r="FM21" s="153"/>
      <c r="FN21" s="153"/>
      <c r="FO21" s="153"/>
      <c r="FP21" s="153"/>
      <c r="FQ21" s="153"/>
      <c r="FR21" s="153"/>
      <c r="FS21" s="153"/>
      <c r="FT21" s="153"/>
      <c r="FU21" s="153"/>
      <c r="FV21" s="153"/>
      <c r="FW21" s="153"/>
      <c r="FX21" s="153"/>
      <c r="FY21" s="153"/>
      <c r="FZ21" s="153"/>
    </row>
    <row r="22" spans="1:182" x14ac:dyDescent="0.2">
      <c r="A22" s="236" t="s">
        <v>61</v>
      </c>
      <c r="B22" s="298">
        <f>IF(Inicio!$E$51="Años",Inicio!E246,Inicio!E246*12)</f>
        <v>0</v>
      </c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153"/>
      <c r="EL22" s="153"/>
      <c r="EM22" s="153"/>
      <c r="EN22" s="153"/>
      <c r="EO22" s="153"/>
      <c r="EP22" s="153"/>
      <c r="EQ22" s="153"/>
      <c r="ER22" s="153"/>
      <c r="ES22" s="153"/>
      <c r="ET22" s="153"/>
      <c r="EU22" s="153"/>
      <c r="EV22" s="153"/>
      <c r="EW22" s="153"/>
      <c r="EX22" s="153"/>
      <c r="EY22" s="153"/>
      <c r="EZ22" s="153"/>
      <c r="FA22" s="153"/>
      <c r="FB22" s="153"/>
      <c r="FC22" s="153"/>
      <c r="FD22" s="153"/>
      <c r="FE22" s="153"/>
      <c r="FF22" s="153"/>
      <c r="FG22" s="153"/>
      <c r="FH22" s="153"/>
      <c r="FI22" s="153"/>
      <c r="FJ22" s="153"/>
      <c r="FK22" s="153"/>
      <c r="FL22" s="153"/>
      <c r="FM22" s="153"/>
      <c r="FN22" s="153"/>
      <c r="FO22" s="153"/>
      <c r="FP22" s="153"/>
      <c r="FQ22" s="153"/>
      <c r="FR22" s="153"/>
      <c r="FS22" s="153"/>
      <c r="FT22" s="153"/>
      <c r="FU22" s="153"/>
      <c r="FV22" s="153"/>
      <c r="FW22" s="153"/>
      <c r="FX22" s="153"/>
      <c r="FY22" s="153"/>
      <c r="FZ22" s="153"/>
    </row>
    <row r="23" spans="1:182" x14ac:dyDescent="0.2">
      <c r="A23" s="236" t="s">
        <v>1</v>
      </c>
      <c r="B23" s="300" t="s">
        <v>1</v>
      </c>
      <c r="C23" s="301" t="s">
        <v>1</v>
      </c>
      <c r="D23" s="301" t="s">
        <v>1</v>
      </c>
      <c r="E23" s="301" t="s">
        <v>1</v>
      </c>
      <c r="F23" s="301" t="s">
        <v>1</v>
      </c>
      <c r="G23" s="301" t="s">
        <v>1</v>
      </c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53"/>
      <c r="BL23" s="153"/>
      <c r="BM23" s="153"/>
      <c r="BN23" s="153"/>
      <c r="BO23" s="153"/>
      <c r="BP23" s="153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153"/>
      <c r="CB23" s="153"/>
      <c r="CC23" s="153"/>
      <c r="CD23" s="153"/>
      <c r="CE23" s="153"/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3"/>
      <c r="CU23" s="153"/>
      <c r="CV23" s="153"/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  <c r="DH23" s="153"/>
      <c r="DI23" s="153"/>
      <c r="DJ23" s="153"/>
      <c r="DK23" s="153"/>
      <c r="DL23" s="153"/>
      <c r="DM23" s="153"/>
      <c r="DN23" s="153"/>
      <c r="DO23" s="153"/>
      <c r="DP23" s="153"/>
      <c r="DQ23" s="153"/>
      <c r="DR23" s="153"/>
      <c r="DS23" s="153"/>
      <c r="DT23" s="153"/>
      <c r="DU23" s="153"/>
      <c r="DV23" s="153"/>
      <c r="DW23" s="153"/>
      <c r="DX23" s="153"/>
      <c r="DY23" s="153"/>
      <c r="DZ23" s="153"/>
      <c r="EA23" s="153"/>
      <c r="EB23" s="153"/>
      <c r="EC23" s="153"/>
      <c r="ED23" s="153"/>
      <c r="EE23" s="153"/>
      <c r="EF23" s="153"/>
      <c r="EG23" s="153"/>
      <c r="EH23" s="153"/>
      <c r="EI23" s="153"/>
      <c r="EJ23" s="153"/>
      <c r="EK23" s="153"/>
      <c r="EL23" s="153"/>
      <c r="EM23" s="153"/>
      <c r="EN23" s="153"/>
      <c r="EO23" s="153"/>
      <c r="EP23" s="153"/>
      <c r="EQ23" s="153"/>
      <c r="ER23" s="153"/>
      <c r="ES23" s="153"/>
      <c r="ET23" s="153"/>
      <c r="EU23" s="153"/>
      <c r="EV23" s="153"/>
      <c r="EW23" s="153"/>
      <c r="EX23" s="153"/>
      <c r="EY23" s="153"/>
      <c r="EZ23" s="153"/>
      <c r="FA23" s="153"/>
      <c r="FB23" s="153"/>
      <c r="FC23" s="153"/>
      <c r="FD23" s="153"/>
      <c r="FE23" s="153"/>
      <c r="FF23" s="153"/>
      <c r="FG23" s="153"/>
      <c r="FH23" s="153"/>
      <c r="FI23" s="153"/>
      <c r="FJ23" s="153"/>
      <c r="FK23" s="153"/>
      <c r="FL23" s="153"/>
      <c r="FM23" s="153"/>
      <c r="FN23" s="153"/>
      <c r="FO23" s="153"/>
      <c r="FP23" s="153"/>
      <c r="FQ23" s="153"/>
      <c r="FR23" s="153"/>
      <c r="FS23" s="153"/>
      <c r="FT23" s="153"/>
      <c r="FU23" s="153"/>
      <c r="FV23" s="153"/>
      <c r="FW23" s="153"/>
      <c r="FX23" s="153"/>
      <c r="FY23" s="153"/>
      <c r="FZ23" s="153"/>
    </row>
    <row r="24" spans="1:182" ht="13.5" thickBot="1" x14ac:dyDescent="0.25">
      <c r="A24" s="302" t="s">
        <v>1</v>
      </c>
      <c r="B24" s="303" t="s">
        <v>1</v>
      </c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3"/>
      <c r="DM24" s="153"/>
      <c r="DN24" s="153"/>
      <c r="DO24" s="153"/>
      <c r="DP24" s="153"/>
      <c r="DQ24" s="153"/>
      <c r="DR24" s="153"/>
      <c r="DS24" s="153"/>
      <c r="DT24" s="153"/>
      <c r="DU24" s="153"/>
      <c r="DV24" s="153"/>
      <c r="DW24" s="153"/>
      <c r="DX24" s="153"/>
      <c r="DY24" s="153"/>
      <c r="DZ24" s="153"/>
      <c r="EA24" s="153"/>
      <c r="EB24" s="153"/>
      <c r="EC24" s="153"/>
      <c r="ED24" s="153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3"/>
      <c r="EP24" s="153"/>
      <c r="EQ24" s="153"/>
      <c r="ER24" s="153"/>
      <c r="ES24" s="153"/>
      <c r="ET24" s="153"/>
      <c r="EU24" s="153"/>
      <c r="EV24" s="153"/>
      <c r="EW24" s="153"/>
      <c r="EX24" s="153"/>
      <c r="EY24" s="153"/>
      <c r="EZ24" s="153"/>
      <c r="FA24" s="153"/>
      <c r="FB24" s="153"/>
      <c r="FC24" s="153"/>
      <c r="FD24" s="153"/>
      <c r="FE24" s="153"/>
      <c r="FF24" s="153"/>
      <c r="FG24" s="153"/>
      <c r="FH24" s="153"/>
      <c r="FI24" s="153"/>
      <c r="FJ24" s="153"/>
      <c r="FK24" s="153"/>
      <c r="FL24" s="153"/>
      <c r="FM24" s="153"/>
      <c r="FN24" s="153"/>
      <c r="FO24" s="153"/>
      <c r="FP24" s="153"/>
      <c r="FQ24" s="153"/>
      <c r="FR24" s="153"/>
      <c r="FS24" s="153"/>
      <c r="FT24" s="153"/>
      <c r="FU24" s="153"/>
      <c r="FV24" s="153"/>
      <c r="FW24" s="153"/>
      <c r="FX24" s="153"/>
      <c r="FY24" s="153"/>
      <c r="FZ24" s="153"/>
    </row>
    <row r="25" spans="1:182" x14ac:dyDescent="0.2">
      <c r="A25" s="230"/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 s="153"/>
      <c r="EW25" s="153"/>
      <c r="EX25" s="153"/>
      <c r="EY25" s="153"/>
      <c r="EZ25" s="153"/>
      <c r="FA25" s="153"/>
      <c r="FB25" s="153"/>
      <c r="FC25" s="153"/>
      <c r="FD25" s="153"/>
      <c r="FE25" s="153"/>
      <c r="FF25" s="153"/>
      <c r="FG25" s="153"/>
      <c r="FH25" s="153"/>
      <c r="FI25" s="153"/>
      <c r="FJ25" s="153"/>
      <c r="FK25" s="153"/>
      <c r="FL25" s="153"/>
      <c r="FM25" s="153"/>
      <c r="FN25" s="153"/>
      <c r="FO25" s="153"/>
      <c r="FP25" s="153"/>
      <c r="FQ25" s="153"/>
      <c r="FR25" s="153"/>
      <c r="FS25" s="153"/>
      <c r="FT25" s="153"/>
      <c r="FU25" s="153"/>
      <c r="FV25" s="153"/>
      <c r="FW25" s="153"/>
      <c r="FX25" s="153"/>
      <c r="FY25" s="153"/>
      <c r="FZ25" s="153"/>
    </row>
    <row r="26" spans="1:182" ht="13.5" thickBot="1" x14ac:dyDescent="0.25">
      <c r="A26" s="230"/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153"/>
      <c r="ER26" s="153"/>
      <c r="ES26" s="153"/>
      <c r="ET26" s="153"/>
      <c r="EU26" s="153"/>
      <c r="EV26" s="153"/>
      <c r="EW26" s="153"/>
      <c r="EX26" s="153"/>
      <c r="EY26" s="153"/>
      <c r="EZ26" s="153"/>
      <c r="FA26" s="153"/>
      <c r="FB26" s="153"/>
      <c r="FC26" s="153"/>
      <c r="FD26" s="153"/>
      <c r="FE26" s="153"/>
      <c r="FF26" s="153"/>
      <c r="FG26" s="153"/>
      <c r="FH26" s="153"/>
      <c r="FI26" s="153"/>
      <c r="FJ26" s="153"/>
      <c r="FK26" s="153"/>
      <c r="FL26" s="153"/>
      <c r="FM26" s="153"/>
      <c r="FN26" s="153"/>
      <c r="FO26" s="153"/>
      <c r="FP26" s="153"/>
      <c r="FQ26" s="153"/>
      <c r="FR26" s="153"/>
      <c r="FS26" s="153"/>
      <c r="FT26" s="153"/>
      <c r="FU26" s="153"/>
      <c r="FV26" s="153"/>
      <c r="FW26" s="153"/>
      <c r="FX26" s="153"/>
      <c r="FY26" s="153"/>
      <c r="FZ26" s="153"/>
    </row>
    <row r="27" spans="1:182" ht="13.5" thickBot="1" x14ac:dyDescent="0.25">
      <c r="A27" s="249" t="s">
        <v>4</v>
      </c>
      <c r="B27" s="292">
        <v>0</v>
      </c>
      <c r="C27" s="249">
        <v>1</v>
      </c>
      <c r="D27" s="292">
        <v>2</v>
      </c>
      <c r="E27" s="249">
        <v>3</v>
      </c>
      <c r="F27" s="292">
        <v>4</v>
      </c>
      <c r="G27" s="249">
        <v>5</v>
      </c>
      <c r="H27" s="249">
        <v>6</v>
      </c>
      <c r="I27" s="292">
        <v>7</v>
      </c>
      <c r="J27" s="249">
        <v>8</v>
      </c>
      <c r="K27" s="292">
        <v>9</v>
      </c>
      <c r="L27" s="249">
        <v>10</v>
      </c>
      <c r="M27" s="249">
        <v>11</v>
      </c>
      <c r="N27" s="292">
        <v>12</v>
      </c>
      <c r="O27" s="249">
        <v>13</v>
      </c>
      <c r="P27" s="292">
        <v>14</v>
      </c>
      <c r="Q27" s="249">
        <v>15</v>
      </c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  <c r="CY27" s="153"/>
      <c r="CZ27" s="153"/>
      <c r="DA27" s="153"/>
      <c r="DB27" s="153"/>
      <c r="DC27" s="153"/>
      <c r="DD27" s="153"/>
      <c r="DE27" s="153"/>
      <c r="DF27" s="153"/>
      <c r="DG27" s="153"/>
      <c r="DH27" s="153"/>
      <c r="DI27" s="153"/>
      <c r="DJ27" s="153"/>
      <c r="DK27" s="153"/>
      <c r="DL27" s="153"/>
      <c r="DM27" s="153"/>
      <c r="DN27" s="153"/>
      <c r="DO27" s="153"/>
      <c r="DP27" s="153"/>
      <c r="DQ27" s="153"/>
      <c r="DR27" s="153"/>
      <c r="DS27" s="153"/>
      <c r="DT27" s="153"/>
      <c r="DU27" s="153"/>
      <c r="DV27" s="153"/>
      <c r="DW27" s="153"/>
      <c r="DX27" s="153"/>
      <c r="DY27" s="153"/>
      <c r="DZ27" s="153"/>
      <c r="EA27" s="153"/>
      <c r="EB27" s="153"/>
      <c r="EC27" s="153"/>
      <c r="ED27" s="153"/>
      <c r="EE27" s="153"/>
      <c r="EF27" s="153"/>
      <c r="EG27" s="153"/>
      <c r="EH27" s="153"/>
      <c r="EI27" s="153"/>
      <c r="EJ27" s="153"/>
      <c r="EK27" s="153"/>
      <c r="EL27" s="153"/>
      <c r="EM27" s="153"/>
      <c r="EN27" s="153"/>
      <c r="EO27" s="153"/>
      <c r="EP27" s="153"/>
      <c r="EQ27" s="153"/>
      <c r="ER27" s="153"/>
      <c r="ES27" s="153"/>
      <c r="ET27" s="153"/>
      <c r="EU27" s="153"/>
      <c r="EV27" s="153"/>
      <c r="EW27" s="153"/>
      <c r="EX27" s="153"/>
      <c r="EY27" s="153"/>
      <c r="EZ27" s="153"/>
      <c r="FA27" s="153"/>
      <c r="FB27" s="153"/>
      <c r="FC27" s="153"/>
      <c r="FD27" s="153"/>
      <c r="FE27" s="153"/>
      <c r="FF27" s="153"/>
      <c r="FG27" s="153"/>
      <c r="FH27" s="153"/>
      <c r="FI27" s="153"/>
      <c r="FJ27" s="153"/>
      <c r="FK27" s="153"/>
      <c r="FL27" s="153"/>
      <c r="FM27" s="153"/>
      <c r="FN27" s="153"/>
      <c r="FO27" s="153"/>
      <c r="FP27" s="153"/>
      <c r="FQ27" s="153"/>
      <c r="FR27" s="153"/>
      <c r="FS27" s="153"/>
      <c r="FT27" s="153"/>
      <c r="FU27" s="153"/>
      <c r="FV27" s="153"/>
      <c r="FW27" s="153"/>
      <c r="FX27" s="153"/>
      <c r="FY27" s="153"/>
      <c r="FZ27" s="153"/>
    </row>
    <row r="28" spans="1:182" ht="13.5" thickBot="1" x14ac:dyDescent="0.25">
      <c r="A28" s="230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3"/>
      <c r="DH28" s="153"/>
      <c r="DI28" s="153"/>
      <c r="DJ28" s="153"/>
      <c r="DK28" s="153"/>
      <c r="DL28" s="153"/>
      <c r="DM28" s="153"/>
      <c r="DN28" s="153"/>
      <c r="DO28" s="153"/>
      <c r="DP28" s="153"/>
      <c r="DQ28" s="153"/>
      <c r="DR28" s="153"/>
      <c r="DS28" s="153"/>
      <c r="DT28" s="153"/>
      <c r="DU28" s="153"/>
      <c r="DV28" s="153"/>
      <c r="DW28" s="153"/>
      <c r="DX28" s="153"/>
      <c r="DY28" s="153"/>
      <c r="DZ28" s="153"/>
      <c r="EA28" s="153"/>
      <c r="EB28" s="153"/>
      <c r="EC28" s="153"/>
      <c r="ED28" s="153"/>
      <c r="EE28" s="153"/>
      <c r="EF28" s="153"/>
      <c r="EG28" s="153"/>
      <c r="EH28" s="153"/>
      <c r="EI28" s="153"/>
      <c r="EJ28" s="153"/>
      <c r="EK28" s="153"/>
      <c r="EL28" s="153"/>
      <c r="EM28" s="153"/>
      <c r="EN28" s="153"/>
      <c r="EO28" s="153"/>
      <c r="EP28" s="153"/>
      <c r="EQ28" s="153"/>
      <c r="ER28" s="153"/>
      <c r="ES28" s="153"/>
      <c r="ET28" s="153"/>
      <c r="EU28" s="153"/>
      <c r="EV28" s="153"/>
      <c r="EW28" s="153"/>
      <c r="EX28" s="153"/>
      <c r="EY28" s="153"/>
      <c r="EZ28" s="153"/>
      <c r="FA28" s="153"/>
      <c r="FB28" s="153"/>
      <c r="FC28" s="153"/>
      <c r="FD28" s="153"/>
      <c r="FE28" s="153"/>
      <c r="FF28" s="153"/>
      <c r="FG28" s="153"/>
      <c r="FH28" s="153"/>
      <c r="FI28" s="153"/>
      <c r="FJ28" s="153"/>
      <c r="FK28" s="153"/>
      <c r="FL28" s="153"/>
      <c r="FM28" s="153"/>
      <c r="FN28" s="153"/>
      <c r="FO28" s="153"/>
      <c r="FP28" s="153"/>
      <c r="FQ28" s="153"/>
      <c r="FR28" s="153"/>
      <c r="FS28" s="153"/>
      <c r="FT28" s="153"/>
      <c r="FU28" s="153"/>
      <c r="FV28" s="153"/>
      <c r="FW28" s="153"/>
      <c r="FX28" s="153"/>
      <c r="FY28" s="153"/>
      <c r="FZ28" s="153"/>
    </row>
    <row r="29" spans="1:182" x14ac:dyDescent="0.2">
      <c r="A29" s="293" t="str">
        <f>Inicio!C247</f>
        <v>Préstamo 3</v>
      </c>
      <c r="B29" s="294">
        <f>IF(Inicio!C229=1,+'inversión inicial'!C31,Inicio!F234)</f>
        <v>0</v>
      </c>
      <c r="C29" s="243">
        <f>IF(Inicio!$E$49&gt;=C27,(+B29),0)</f>
        <v>0</v>
      </c>
      <c r="D29" s="243">
        <f>IF(Inicio!$E$49&gt;=D27,(+C32),0)</f>
        <v>0</v>
      </c>
      <c r="E29" s="243">
        <f>IF(Inicio!$E$49&gt;=E27,(+D32),0)</f>
        <v>0</v>
      </c>
      <c r="F29" s="243">
        <f>IF(Inicio!$E$49&gt;=F27,(+E32),0)</f>
        <v>0</v>
      </c>
      <c r="G29" s="243">
        <f>IF(Inicio!$E$49&gt;=G27,(+F32),0)</f>
        <v>0</v>
      </c>
      <c r="H29" s="243">
        <f>IF(Inicio!$E$49&gt;=H27,(+G32),0)</f>
        <v>0</v>
      </c>
      <c r="I29" s="243">
        <f>IF(Inicio!$E$49&gt;=I27,(+H32),0)</f>
        <v>0</v>
      </c>
      <c r="J29" s="243">
        <f>IF(Inicio!$E$49&gt;=J27,(+I32),0)</f>
        <v>0</v>
      </c>
      <c r="K29" s="243">
        <f>IF(Inicio!$E$49&gt;=K27,(+J32),0)</f>
        <v>0</v>
      </c>
      <c r="L29" s="243">
        <f>IF(Inicio!$E$49&gt;=L27,(+K32),0)</f>
        <v>0</v>
      </c>
      <c r="M29" s="243">
        <f>IF(Inicio!$E$49&gt;=M27,(+L32),0)</f>
        <v>0</v>
      </c>
      <c r="N29" s="243">
        <f>IF(Inicio!$E$49&gt;=N27,(+M32),0)</f>
        <v>0</v>
      </c>
      <c r="O29" s="243">
        <f>IF(Inicio!$E$49&gt;=O27,(+N32),0)</f>
        <v>0</v>
      </c>
      <c r="P29" s="243">
        <f>IF(Inicio!$E$49&gt;=P27,(+O32),0)</f>
        <v>0</v>
      </c>
      <c r="Q29" s="243">
        <f>IF(Inicio!$E$49&gt;=Q27,(+P32),0)</f>
        <v>0</v>
      </c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153"/>
      <c r="CV29" s="153"/>
      <c r="CW29" s="153"/>
      <c r="CX29" s="153"/>
      <c r="CY29" s="153"/>
      <c r="CZ29" s="153"/>
      <c r="DA29" s="153"/>
      <c r="DB29" s="153"/>
      <c r="DC29" s="153"/>
      <c r="DD29" s="153"/>
      <c r="DE29" s="153"/>
      <c r="DF29" s="153"/>
      <c r="DG29" s="153"/>
      <c r="DH29" s="153"/>
      <c r="DI29" s="153"/>
      <c r="DJ29" s="153"/>
      <c r="DK29" s="153"/>
      <c r="DL29" s="153"/>
      <c r="DM29" s="153"/>
      <c r="DN29" s="153"/>
      <c r="DO29" s="153"/>
      <c r="DP29" s="153"/>
      <c r="DQ29" s="153"/>
      <c r="DR29" s="153"/>
      <c r="DS29" s="153"/>
      <c r="DT29" s="153"/>
      <c r="DU29" s="153"/>
      <c r="DV29" s="153"/>
      <c r="DW29" s="153"/>
      <c r="DX29" s="153"/>
      <c r="DY29" s="153"/>
      <c r="DZ29" s="153"/>
      <c r="EA29" s="153"/>
      <c r="EB29" s="153"/>
      <c r="EC29" s="153"/>
      <c r="ED29" s="153"/>
      <c r="EE29" s="153"/>
      <c r="EF29" s="153"/>
      <c r="EG29" s="153"/>
      <c r="EH29" s="153"/>
      <c r="EI29" s="153"/>
      <c r="EJ29" s="153"/>
      <c r="EK29" s="153"/>
      <c r="EL29" s="153"/>
      <c r="EM29" s="153"/>
      <c r="EN29" s="153"/>
      <c r="EO29" s="153"/>
      <c r="EP29" s="153"/>
      <c r="EQ29" s="153"/>
      <c r="ER29" s="153"/>
      <c r="ES29" s="153"/>
      <c r="ET29" s="153"/>
      <c r="EU29" s="153"/>
      <c r="EV29" s="153"/>
      <c r="EW29" s="153"/>
      <c r="EX29" s="153"/>
      <c r="EY29" s="153"/>
      <c r="EZ29" s="153"/>
      <c r="FA29" s="153"/>
      <c r="FB29" s="153"/>
      <c r="FC29" s="153"/>
      <c r="FD29" s="153"/>
      <c r="FE29" s="153"/>
      <c r="FF29" s="153"/>
      <c r="FG29" s="153"/>
      <c r="FH29" s="153"/>
      <c r="FI29" s="153"/>
      <c r="FJ29" s="153"/>
      <c r="FK29" s="153"/>
      <c r="FL29" s="153"/>
      <c r="FM29" s="153"/>
      <c r="FN29" s="153"/>
      <c r="FO29" s="153"/>
      <c r="FP29" s="153"/>
      <c r="FQ29" s="153"/>
      <c r="FR29" s="153"/>
      <c r="FS29" s="153"/>
      <c r="FT29" s="153"/>
      <c r="FU29" s="153"/>
      <c r="FV29" s="153"/>
      <c r="FW29" s="153"/>
      <c r="FX29" s="153"/>
      <c r="FY29" s="153"/>
      <c r="FZ29" s="153"/>
    </row>
    <row r="30" spans="1:182" x14ac:dyDescent="0.2">
      <c r="A30" s="236" t="s">
        <v>376</v>
      </c>
      <c r="B30" s="296">
        <f>IF(Inicio!$E$51="Años",Inicio!D247,(POWER(Inicio!D247+1,1/12)-1))</f>
        <v>0</v>
      </c>
      <c r="C30" s="239">
        <f>IF(Inicio!$E$49&gt;=C27,(IF(Inicio!$E$51="años",+(C89),IF(Inicio!$E$49&gt;=C$27,(+C98),0))),0)</f>
        <v>0</v>
      </c>
      <c r="D30" s="239">
        <f>IF(Inicio!$E$49&gt;=D27,(IF(Inicio!$E$51="años",+(D89),IF(Inicio!$E$49&gt;=D$27,(+D98),0))),0)</f>
        <v>0</v>
      </c>
      <c r="E30" s="239">
        <f>IF(Inicio!$E$49&gt;=E27,(IF(Inicio!$E$51="años",+(E89),IF(Inicio!$E$49&gt;=E$27,(+E98),0))),0)</f>
        <v>0</v>
      </c>
      <c r="F30" s="239">
        <f>IF(Inicio!$E$49&gt;=F27,(IF(Inicio!$E$51="años",+(F89),IF(Inicio!$E$49&gt;=F$27,(+F98),0))),0)</f>
        <v>0</v>
      </c>
      <c r="G30" s="239">
        <f>IF(Inicio!$E$49&gt;=G27,(IF(Inicio!$E$51="años",+(G89),IF(Inicio!$E$49&gt;=G$27,(+G98),0))),0)</f>
        <v>0</v>
      </c>
      <c r="H30" s="239">
        <f>IF(Inicio!$E$49&gt;=H27,(IF(Inicio!$E$51="años",+(H89),IF(Inicio!$E$49&gt;=H$27,(+H98),0))),0)</f>
        <v>0</v>
      </c>
      <c r="I30" s="239">
        <f>IF(Inicio!$E$49&gt;=I27,(IF(Inicio!$E$51="años",+(I89),IF(Inicio!$E$49&gt;=I$27,(+I98),0))),0)</f>
        <v>0</v>
      </c>
      <c r="J30" s="239">
        <f>IF(Inicio!$E$49&gt;=J27,(IF(Inicio!$E$51="años",+(J89),IF(Inicio!$E$49&gt;=J$27,(+J98),0))),0)</f>
        <v>0</v>
      </c>
      <c r="K30" s="239">
        <f>IF(Inicio!$E$49&gt;=K27,(IF(Inicio!$E$51="años",+(K89),IF(Inicio!$E$49&gt;=K$27,(+K98),0))),0)</f>
        <v>0</v>
      </c>
      <c r="L30" s="239">
        <f>IF(Inicio!$E$49&gt;=L27,(IF(Inicio!$E$51="años",+(L89),IF(Inicio!$E$49&gt;=L$27,(+L98),0))),0)</f>
        <v>0</v>
      </c>
      <c r="M30" s="239">
        <f>IF(Inicio!$E$49&gt;=M27,(IF(Inicio!$E$51="años",+(M89),IF(Inicio!$E$49&gt;=M$27,(+M98),0))),0)</f>
        <v>0</v>
      </c>
      <c r="N30" s="239">
        <f>IF(Inicio!$E$49&gt;=N27,(IF(Inicio!$E$51="años",+(N89),IF(Inicio!$E$49&gt;=N$27,(+N98),0))),0)</f>
        <v>0</v>
      </c>
      <c r="O30" s="239">
        <f>IF(Inicio!$E$49&gt;=O27,(IF(Inicio!$E$51="años",+(O89),IF(Inicio!$E$49&gt;=O$27,(+O98),0))),0)</f>
        <v>0</v>
      </c>
      <c r="P30" s="239">
        <f>IF(Inicio!$E$49&gt;=P27,(IF(Inicio!$E$51="años",+(P89),IF(Inicio!$E$49&gt;=P$27,(+P98),0))),0)</f>
        <v>0</v>
      </c>
      <c r="Q30" s="239">
        <f>IF(Inicio!$E$49&gt;=Q27,(IF(Inicio!$E$51="años",+(Q89),IF(Inicio!$E$49&gt;=Q$27,(+Q98),0))),0)</f>
        <v>0</v>
      </c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  <c r="CX30" s="304"/>
      <c r="CY30" s="304"/>
      <c r="CZ30" s="304"/>
      <c r="DA30" s="304"/>
      <c r="DB30" s="304"/>
      <c r="DC30" s="304"/>
      <c r="DD30" s="304"/>
      <c r="DE30" s="304"/>
      <c r="DF30" s="304"/>
      <c r="DG30" s="304"/>
      <c r="DH30" s="304"/>
      <c r="DI30" s="304"/>
      <c r="DJ30" s="304"/>
      <c r="DK30" s="304"/>
      <c r="DL30" s="304"/>
      <c r="DM30" s="304"/>
      <c r="DN30" s="304"/>
      <c r="DO30" s="304"/>
      <c r="DP30" s="304"/>
      <c r="DQ30" s="304"/>
      <c r="DR30" s="304"/>
      <c r="DS30" s="304"/>
      <c r="DT30" s="304"/>
      <c r="DU30" s="304"/>
      <c r="DV30" s="304"/>
      <c r="DW30" s="304"/>
      <c r="DX30" s="304"/>
      <c r="DY30" s="304"/>
      <c r="DZ30" s="304"/>
      <c r="EA30" s="304"/>
      <c r="EB30" s="304"/>
      <c r="EC30" s="304"/>
      <c r="ED30" s="304"/>
      <c r="EE30" s="304"/>
      <c r="EF30" s="304"/>
      <c r="EG30" s="304"/>
      <c r="EH30" s="304"/>
      <c r="EI30" s="304"/>
      <c r="EJ30" s="304"/>
      <c r="EK30" s="304"/>
      <c r="EL30" s="304"/>
      <c r="EM30" s="304"/>
      <c r="EN30" s="304"/>
      <c r="EO30" s="304"/>
      <c r="EP30" s="304"/>
      <c r="EQ30" s="304"/>
      <c r="ER30" s="304"/>
      <c r="ES30" s="304"/>
      <c r="ET30" s="304"/>
      <c r="EU30" s="304"/>
      <c r="EV30" s="304"/>
      <c r="EW30" s="304"/>
      <c r="EX30" s="304"/>
      <c r="EY30" s="304"/>
      <c r="EZ30" s="304"/>
      <c r="FA30" s="304"/>
      <c r="FB30" s="304"/>
      <c r="FC30" s="304"/>
      <c r="FD30" s="304"/>
      <c r="FE30" s="304"/>
      <c r="FF30" s="304"/>
      <c r="FG30" s="304"/>
      <c r="FH30" s="304"/>
      <c r="FI30" s="304"/>
      <c r="FJ30" s="304"/>
      <c r="FK30" s="304"/>
      <c r="FL30" s="304"/>
      <c r="FM30" s="304"/>
      <c r="FN30" s="304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</row>
    <row r="31" spans="1:182" x14ac:dyDescent="0.2">
      <c r="A31" s="236" t="s">
        <v>25</v>
      </c>
      <c r="B31" s="298"/>
      <c r="C31" s="239">
        <f>IF(Inicio!$E$49&gt;=C27,(IF(Inicio!$E$51="años",+(C90),IF(Inicio!$E$49&gt;=C$27,(+C99),0))),0)</f>
        <v>0</v>
      </c>
      <c r="D31" s="239">
        <f>IF(Inicio!$E$49&gt;=D27,(IF(Inicio!$E$51="años",+(D90),IF(Inicio!$E$49&gt;=D$27,(+D99),0))),0)</f>
        <v>0</v>
      </c>
      <c r="E31" s="239">
        <f>IF(Inicio!$E$49&gt;=E27,(IF(Inicio!$E$51="años",+(E90),IF(Inicio!$E$49&gt;=E$27,(+E99),0))),0)</f>
        <v>0</v>
      </c>
      <c r="F31" s="239">
        <f>IF(Inicio!$E$49&gt;=F27,(IF(Inicio!$E$51="años",+(F90),IF(Inicio!$E$49&gt;=F$27,(+F99),0))),0)</f>
        <v>0</v>
      </c>
      <c r="G31" s="239">
        <f>IF(Inicio!$E$49&gt;=G27,(IF(Inicio!$E$51="años",+(G90),IF(Inicio!$E$49&gt;=G$27,(+G99),0))),0)</f>
        <v>0</v>
      </c>
      <c r="H31" s="239">
        <f>IF(Inicio!$E$49&gt;=H27,(IF(Inicio!$E$51="años",+(H90),IF(Inicio!$E$49&gt;=H$27,(+H99),0))),0)</f>
        <v>0</v>
      </c>
      <c r="I31" s="239">
        <f>IF(Inicio!$E$49&gt;=I27,(IF(Inicio!$E$51="años",+(I90),IF(Inicio!$E$49&gt;=I$27,(+I99),0))),0)</f>
        <v>0</v>
      </c>
      <c r="J31" s="239">
        <f>IF(Inicio!$E$49&gt;=J27,(IF(Inicio!$E$51="años",+(J90),IF(Inicio!$E$49&gt;=J$27,(+J99),0))),0)</f>
        <v>0</v>
      </c>
      <c r="K31" s="239">
        <f>IF(Inicio!$E$49&gt;=K27,(IF(Inicio!$E$51="años",+(K90),IF(Inicio!$E$49&gt;=K$27,(+K99),0))),0)</f>
        <v>0</v>
      </c>
      <c r="L31" s="239">
        <f>IF(Inicio!$E$49&gt;=L27,(IF(Inicio!$E$51="años",+(L90),IF(Inicio!$E$49&gt;=L$27,(+L99),0))),0)</f>
        <v>0</v>
      </c>
      <c r="M31" s="239">
        <f>IF(Inicio!$E$49&gt;=M27,(IF(Inicio!$E$51="años",+(M90),IF(Inicio!$E$49&gt;=M$27,(+M99),0))),0)</f>
        <v>0</v>
      </c>
      <c r="N31" s="239">
        <f>IF(Inicio!$E$49&gt;=N27,(IF(Inicio!$E$51="años",+(N90),IF(Inicio!$E$49&gt;=N$27,(+N99),0))),0)</f>
        <v>0</v>
      </c>
      <c r="O31" s="239">
        <f>IF(Inicio!$E$49&gt;=O27,(IF(Inicio!$E$51="años",+(O90),IF(Inicio!$E$49&gt;=O$27,(+O99),0))),0)</f>
        <v>0</v>
      </c>
      <c r="P31" s="239">
        <f>IF(Inicio!$E$49&gt;=P27,(IF(Inicio!$E$51="años",+(P90),IF(Inicio!$E$49&gt;=P$27,(+P99),0))),0)</f>
        <v>0</v>
      </c>
      <c r="Q31" s="239">
        <f>IF(Inicio!$E$49&gt;=Q27,(IF(Inicio!$E$51="años",+(Q90),IF(Inicio!$E$49&gt;=Q$27,(+Q99),0))),0)</f>
        <v>0</v>
      </c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4"/>
      <c r="AI31" s="304"/>
      <c r="AJ31" s="304"/>
      <c r="AK31" s="304"/>
      <c r="AL31" s="304"/>
      <c r="AM31" s="304"/>
      <c r="AN31" s="304"/>
      <c r="AO31" s="304"/>
      <c r="AP31" s="304"/>
      <c r="AQ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D31" s="304"/>
      <c r="BE31" s="304"/>
      <c r="BF31" s="304"/>
      <c r="BG31" s="304"/>
      <c r="BH31" s="304"/>
      <c r="BI31" s="304"/>
      <c r="BJ31" s="304"/>
      <c r="BK31" s="304"/>
      <c r="BL31" s="304"/>
      <c r="BM31" s="304"/>
      <c r="BN31" s="304"/>
      <c r="BO31" s="304"/>
      <c r="BP31" s="304"/>
      <c r="BQ31" s="304"/>
      <c r="BR31" s="304"/>
      <c r="BS31" s="304"/>
      <c r="BT31" s="304"/>
      <c r="BU31" s="304"/>
      <c r="BV31" s="304"/>
      <c r="BW31" s="304"/>
      <c r="BX31" s="304"/>
      <c r="BY31" s="304"/>
      <c r="BZ31" s="304"/>
      <c r="CA31" s="304"/>
      <c r="CB31" s="304"/>
      <c r="CC31" s="304"/>
      <c r="CD31" s="304"/>
      <c r="CE31" s="304"/>
      <c r="CF31" s="304"/>
      <c r="CG31" s="304"/>
      <c r="CH31" s="304"/>
      <c r="CI31" s="304"/>
      <c r="CJ31" s="304"/>
      <c r="CK31" s="304"/>
      <c r="CL31" s="304"/>
      <c r="CM31" s="304"/>
      <c r="CN31" s="304"/>
      <c r="CO31" s="304"/>
      <c r="CP31" s="304"/>
      <c r="CQ31" s="304"/>
      <c r="CR31" s="304"/>
      <c r="CS31" s="304"/>
      <c r="CT31" s="304"/>
      <c r="CU31" s="304"/>
      <c r="CV31" s="304"/>
      <c r="CW31" s="304"/>
      <c r="CX31" s="304"/>
      <c r="CY31" s="304"/>
      <c r="CZ31" s="304"/>
      <c r="DA31" s="304"/>
      <c r="DB31" s="304"/>
      <c r="DC31" s="304"/>
      <c r="DD31" s="304"/>
      <c r="DE31" s="304"/>
      <c r="DF31" s="304"/>
      <c r="DG31" s="304"/>
      <c r="DH31" s="304"/>
      <c r="DI31" s="304"/>
      <c r="DJ31" s="304"/>
      <c r="DK31" s="304"/>
      <c r="DL31" s="304"/>
      <c r="DM31" s="304"/>
      <c r="DN31" s="304"/>
      <c r="DO31" s="304"/>
      <c r="DP31" s="304"/>
      <c r="DQ31" s="304"/>
      <c r="DR31" s="304"/>
      <c r="DS31" s="304"/>
      <c r="DT31" s="304"/>
      <c r="DU31" s="304"/>
      <c r="DV31" s="304"/>
      <c r="DW31" s="304"/>
      <c r="DX31" s="304"/>
      <c r="DY31" s="304"/>
      <c r="DZ31" s="304"/>
      <c r="EA31" s="304"/>
      <c r="EB31" s="304"/>
      <c r="EC31" s="304"/>
      <c r="ED31" s="304"/>
      <c r="EE31" s="304"/>
      <c r="EF31" s="304"/>
      <c r="EG31" s="304"/>
      <c r="EH31" s="304"/>
      <c r="EI31" s="304"/>
      <c r="EJ31" s="304"/>
      <c r="EK31" s="304"/>
      <c r="EL31" s="304"/>
      <c r="EM31" s="304"/>
      <c r="EN31" s="304"/>
      <c r="EO31" s="304"/>
      <c r="EP31" s="304"/>
      <c r="EQ31" s="304"/>
      <c r="ER31" s="304"/>
      <c r="ES31" s="304"/>
      <c r="ET31" s="304"/>
      <c r="EU31" s="304"/>
      <c r="EV31" s="304"/>
      <c r="EW31" s="304"/>
      <c r="EX31" s="304"/>
      <c r="EY31" s="304"/>
      <c r="EZ31" s="304"/>
      <c r="FA31" s="304"/>
      <c r="FB31" s="304"/>
      <c r="FC31" s="304"/>
      <c r="FD31" s="304"/>
      <c r="FE31" s="304"/>
      <c r="FF31" s="304"/>
      <c r="FG31" s="304"/>
      <c r="FH31" s="304"/>
      <c r="FI31" s="304"/>
      <c r="FJ31" s="304"/>
      <c r="FK31" s="304"/>
      <c r="FL31" s="304"/>
      <c r="FM31" s="304"/>
      <c r="FN31" s="304"/>
      <c r="FO31" s="153"/>
      <c r="FP31" s="153"/>
      <c r="FQ31" s="153"/>
      <c r="FR31" s="153"/>
      <c r="FS31" s="153"/>
      <c r="FT31" s="153"/>
      <c r="FU31" s="153"/>
      <c r="FV31" s="153"/>
      <c r="FW31" s="153"/>
      <c r="FX31" s="153"/>
      <c r="FY31" s="153"/>
      <c r="FZ31" s="153"/>
    </row>
    <row r="32" spans="1:182" ht="13.5" thickBot="1" x14ac:dyDescent="0.25">
      <c r="A32" s="236" t="s">
        <v>26</v>
      </c>
      <c r="B32" s="298">
        <f>+Inicio!F247</f>
        <v>0</v>
      </c>
      <c r="C32" s="305">
        <f>+C29-C31</f>
        <v>0</v>
      </c>
      <c r="D32" s="305">
        <f>+D29-D31</f>
        <v>0</v>
      </c>
      <c r="E32" s="305">
        <f t="shared" ref="E32:Q32" si="2">+E29-E31</f>
        <v>0</v>
      </c>
      <c r="F32" s="305">
        <f t="shared" si="2"/>
        <v>0</v>
      </c>
      <c r="G32" s="305">
        <f t="shared" si="2"/>
        <v>0</v>
      </c>
      <c r="H32" s="305">
        <f t="shared" si="2"/>
        <v>0</v>
      </c>
      <c r="I32" s="305">
        <f t="shared" si="2"/>
        <v>0</v>
      </c>
      <c r="J32" s="305">
        <f t="shared" si="2"/>
        <v>0</v>
      </c>
      <c r="K32" s="305">
        <f t="shared" si="2"/>
        <v>0</v>
      </c>
      <c r="L32" s="305">
        <f t="shared" si="2"/>
        <v>0</v>
      </c>
      <c r="M32" s="305">
        <f t="shared" si="2"/>
        <v>0</v>
      </c>
      <c r="N32" s="305">
        <f t="shared" si="2"/>
        <v>0</v>
      </c>
      <c r="O32" s="305">
        <f t="shared" si="2"/>
        <v>0</v>
      </c>
      <c r="P32" s="305">
        <f t="shared" si="2"/>
        <v>0</v>
      </c>
      <c r="Q32" s="305">
        <f t="shared" si="2"/>
        <v>0</v>
      </c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4"/>
      <c r="AI32" s="304"/>
      <c r="AJ32" s="304"/>
      <c r="AK32" s="304"/>
      <c r="AL32" s="304"/>
      <c r="AM32" s="304"/>
      <c r="AN32" s="304"/>
      <c r="AO32" s="304"/>
      <c r="AP32" s="304"/>
      <c r="AQ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D32" s="304"/>
      <c r="BE32" s="304"/>
      <c r="BF32" s="304"/>
      <c r="BG32" s="304"/>
      <c r="BH32" s="304"/>
      <c r="BI32" s="304"/>
      <c r="BJ32" s="304"/>
      <c r="BK32" s="304"/>
      <c r="BL32" s="304"/>
      <c r="BM32" s="304"/>
      <c r="BN32" s="304"/>
      <c r="BO32" s="304"/>
      <c r="BP32" s="304"/>
      <c r="BQ32" s="304"/>
      <c r="BR32" s="304"/>
      <c r="BS32" s="304"/>
      <c r="BT32" s="304"/>
      <c r="BU32" s="304"/>
      <c r="BV32" s="304"/>
      <c r="BW32" s="304"/>
      <c r="BX32" s="304"/>
      <c r="BY32" s="304"/>
      <c r="BZ32" s="304"/>
      <c r="CA32" s="304"/>
      <c r="CB32" s="304"/>
      <c r="CC32" s="304"/>
      <c r="CD32" s="304"/>
      <c r="CE32" s="304"/>
      <c r="CF32" s="304"/>
      <c r="CG32" s="304"/>
      <c r="CH32" s="304"/>
      <c r="CI32" s="304"/>
      <c r="CJ32" s="304"/>
      <c r="CK32" s="304"/>
      <c r="CL32" s="304"/>
      <c r="CM32" s="304"/>
      <c r="CN32" s="304"/>
      <c r="CO32" s="304"/>
      <c r="CP32" s="304"/>
      <c r="CQ32" s="304"/>
      <c r="CR32" s="304"/>
      <c r="CS32" s="304"/>
      <c r="CT32" s="304"/>
      <c r="CU32" s="304"/>
      <c r="CV32" s="304"/>
      <c r="CW32" s="304"/>
      <c r="CX32" s="304"/>
      <c r="CY32" s="304"/>
      <c r="CZ32" s="304"/>
      <c r="DA32" s="304"/>
      <c r="DB32" s="304"/>
      <c r="DC32" s="304"/>
      <c r="DD32" s="304"/>
      <c r="DE32" s="304"/>
      <c r="DF32" s="304"/>
      <c r="DG32" s="304"/>
      <c r="DH32" s="304"/>
      <c r="DI32" s="304"/>
      <c r="DJ32" s="304"/>
      <c r="DK32" s="304"/>
      <c r="DL32" s="304"/>
      <c r="DM32" s="304"/>
      <c r="DN32" s="304"/>
      <c r="DO32" s="304"/>
      <c r="DP32" s="304"/>
      <c r="DQ32" s="304"/>
      <c r="DR32" s="304"/>
      <c r="DS32" s="304"/>
      <c r="DT32" s="304"/>
      <c r="DU32" s="304"/>
      <c r="DV32" s="304"/>
      <c r="DW32" s="304"/>
      <c r="DX32" s="304"/>
      <c r="DY32" s="304"/>
      <c r="DZ32" s="304"/>
      <c r="EA32" s="304"/>
      <c r="EB32" s="304"/>
      <c r="EC32" s="304"/>
      <c r="ED32" s="304"/>
      <c r="EE32" s="304"/>
      <c r="EF32" s="304"/>
      <c r="EG32" s="304"/>
      <c r="EH32" s="304"/>
      <c r="EI32" s="304"/>
      <c r="EJ32" s="304"/>
      <c r="EK32" s="304"/>
      <c r="EL32" s="304"/>
      <c r="EM32" s="304"/>
      <c r="EN32" s="304"/>
      <c r="EO32" s="304"/>
      <c r="EP32" s="304"/>
      <c r="EQ32" s="304"/>
      <c r="ER32" s="304"/>
      <c r="ES32" s="304"/>
      <c r="ET32" s="304"/>
      <c r="EU32" s="304"/>
      <c r="EV32" s="304"/>
      <c r="EW32" s="304"/>
      <c r="EX32" s="304"/>
      <c r="EY32" s="304"/>
      <c r="EZ32" s="304"/>
      <c r="FA32" s="304"/>
      <c r="FB32" s="304"/>
      <c r="FC32" s="304"/>
      <c r="FD32" s="304"/>
      <c r="FE32" s="304"/>
      <c r="FF32" s="304"/>
      <c r="FG32" s="304"/>
      <c r="FH32" s="304"/>
      <c r="FI32" s="304"/>
      <c r="FJ32" s="304"/>
      <c r="FK32" s="304"/>
      <c r="FL32" s="304"/>
      <c r="FM32" s="304"/>
      <c r="FN32" s="304"/>
      <c r="FO32" s="153"/>
      <c r="FP32" s="153"/>
      <c r="FQ32" s="153"/>
      <c r="FR32" s="153"/>
      <c r="FS32" s="153"/>
      <c r="FT32" s="153"/>
      <c r="FU32" s="153"/>
      <c r="FV32" s="153"/>
      <c r="FW32" s="153"/>
      <c r="FX32" s="153"/>
      <c r="FY32" s="153"/>
      <c r="FZ32" s="153"/>
    </row>
    <row r="33" spans="1:182" x14ac:dyDescent="0.2">
      <c r="A33" s="236" t="s">
        <v>61</v>
      </c>
      <c r="B33" s="298">
        <f>IF(Inicio!$E$51="Años",Inicio!E247,Inicio!E247*12)</f>
        <v>0</v>
      </c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  <c r="EH33" s="153"/>
      <c r="EI33" s="153"/>
      <c r="EJ33" s="153"/>
      <c r="EK33" s="153"/>
      <c r="EL33" s="153"/>
      <c r="EM33" s="153"/>
      <c r="EN33" s="153"/>
      <c r="EO33" s="153"/>
      <c r="EP33" s="153"/>
      <c r="EQ33" s="153"/>
      <c r="ER33" s="153"/>
      <c r="ES33" s="153"/>
      <c r="ET33" s="153"/>
      <c r="EU33" s="153"/>
      <c r="EV33" s="153"/>
      <c r="EW33" s="153"/>
      <c r="EX33" s="153"/>
      <c r="EY33" s="153"/>
      <c r="EZ33" s="153"/>
      <c r="FA33" s="153"/>
      <c r="FB33" s="153"/>
      <c r="FC33" s="153"/>
      <c r="FD33" s="153"/>
      <c r="FE33" s="153"/>
      <c r="FF33" s="153"/>
      <c r="FG33" s="153"/>
      <c r="FH33" s="153"/>
      <c r="FI33" s="153"/>
      <c r="FJ33" s="153"/>
      <c r="FK33" s="153"/>
      <c r="FL33" s="153"/>
      <c r="FM33" s="153"/>
      <c r="FN33" s="153"/>
      <c r="FO33" s="153"/>
      <c r="FP33" s="153"/>
      <c r="FQ33" s="153"/>
      <c r="FR33" s="153"/>
      <c r="FS33" s="153"/>
      <c r="FT33" s="153"/>
      <c r="FU33" s="153"/>
      <c r="FV33" s="153"/>
      <c r="FW33" s="153"/>
      <c r="FX33" s="153"/>
      <c r="FY33" s="153"/>
      <c r="FZ33" s="153"/>
    </row>
    <row r="34" spans="1:182" x14ac:dyDescent="0.2">
      <c r="A34" s="236" t="s">
        <v>1</v>
      </c>
      <c r="B34" s="300" t="s">
        <v>1</v>
      </c>
      <c r="C34" s="301"/>
      <c r="D34" s="301" t="s">
        <v>1</v>
      </c>
      <c r="E34" s="301" t="s">
        <v>1</v>
      </c>
      <c r="F34" s="301" t="s">
        <v>1</v>
      </c>
      <c r="G34" s="301" t="s">
        <v>1</v>
      </c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  <c r="DV34" s="153"/>
      <c r="DW34" s="153"/>
      <c r="DX34" s="153"/>
      <c r="DY34" s="153"/>
      <c r="DZ34" s="153"/>
      <c r="EA34" s="153"/>
      <c r="EB34" s="153"/>
      <c r="EC34" s="153"/>
      <c r="ED34" s="153"/>
      <c r="EE34" s="153"/>
      <c r="EF34" s="153"/>
      <c r="EG34" s="153"/>
      <c r="EH34" s="153"/>
      <c r="EI34" s="153"/>
      <c r="EJ34" s="153"/>
      <c r="EK34" s="153"/>
      <c r="EL34" s="153"/>
      <c r="EM34" s="153"/>
      <c r="EN34" s="153"/>
      <c r="EO34" s="153"/>
      <c r="EP34" s="153"/>
      <c r="EQ34" s="153"/>
      <c r="ER34" s="153"/>
      <c r="ES34" s="153"/>
      <c r="ET34" s="153"/>
      <c r="EU34" s="153"/>
      <c r="EV34" s="153"/>
      <c r="EW34" s="153"/>
      <c r="EX34" s="153"/>
      <c r="EY34" s="153"/>
      <c r="EZ34" s="153"/>
      <c r="FA34" s="153"/>
      <c r="FB34" s="153"/>
      <c r="FC34" s="153"/>
      <c r="FD34" s="153"/>
      <c r="FE34" s="153"/>
      <c r="FF34" s="153"/>
      <c r="FG34" s="153"/>
      <c r="FH34" s="153"/>
      <c r="FI34" s="153"/>
      <c r="FJ34" s="153"/>
      <c r="FK34" s="153"/>
      <c r="FL34" s="153"/>
      <c r="FM34" s="153"/>
      <c r="FN34" s="153"/>
      <c r="FO34" s="153"/>
      <c r="FP34" s="153"/>
      <c r="FQ34" s="153"/>
      <c r="FR34" s="153"/>
      <c r="FS34" s="153"/>
      <c r="FT34" s="153"/>
      <c r="FU34" s="153"/>
      <c r="FV34" s="153"/>
      <c r="FW34" s="153"/>
      <c r="FX34" s="153"/>
      <c r="FY34" s="153"/>
      <c r="FZ34" s="153"/>
    </row>
    <row r="35" spans="1:182" ht="13.5" thickBot="1" x14ac:dyDescent="0.25">
      <c r="A35" s="302" t="s">
        <v>1</v>
      </c>
      <c r="B35" s="303" t="s">
        <v>1</v>
      </c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153"/>
      <c r="EY35" s="153"/>
      <c r="EZ35" s="153"/>
      <c r="FA35" s="153"/>
      <c r="FB35" s="153"/>
      <c r="FC35" s="153"/>
      <c r="FD35" s="153"/>
      <c r="FE35" s="153"/>
      <c r="FF35" s="153"/>
      <c r="FG35" s="153"/>
      <c r="FH35" s="153"/>
      <c r="FI35" s="153"/>
      <c r="FJ35" s="153"/>
      <c r="FK35" s="153"/>
      <c r="FL35" s="153"/>
      <c r="FM35" s="153"/>
      <c r="FN35" s="153"/>
      <c r="FO35" s="153"/>
      <c r="FP35" s="153"/>
      <c r="FQ35" s="153"/>
      <c r="FR35" s="153"/>
      <c r="FS35" s="153"/>
      <c r="FT35" s="153"/>
      <c r="FU35" s="153"/>
      <c r="FV35" s="153"/>
      <c r="FW35" s="153"/>
      <c r="FX35" s="153"/>
      <c r="FY35" s="153"/>
      <c r="FZ35" s="153"/>
    </row>
    <row r="36" spans="1:182" x14ac:dyDescent="0.2">
      <c r="A36" s="230"/>
      <c r="B36" s="230"/>
      <c r="C36" s="230"/>
      <c r="D36" s="230" t="s">
        <v>1</v>
      </c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  <c r="CY36" s="153"/>
      <c r="CZ36" s="153"/>
      <c r="DA36" s="153"/>
      <c r="DB36" s="153"/>
      <c r="DC36" s="153"/>
      <c r="DD36" s="153"/>
      <c r="DE36" s="153"/>
      <c r="DF36" s="153"/>
      <c r="DG36" s="153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  <c r="DV36" s="153"/>
      <c r="DW36" s="153"/>
      <c r="DX36" s="153"/>
      <c r="DY36" s="153"/>
      <c r="DZ36" s="153"/>
      <c r="EA36" s="153"/>
      <c r="EB36" s="153"/>
      <c r="EC36" s="153"/>
      <c r="ED36" s="153"/>
      <c r="EE36" s="153"/>
      <c r="EF36" s="153"/>
      <c r="EG36" s="153"/>
      <c r="EH36" s="153"/>
      <c r="EI36" s="153"/>
      <c r="EJ36" s="153"/>
      <c r="EK36" s="153"/>
      <c r="EL36" s="153"/>
      <c r="EM36" s="153"/>
      <c r="EN36" s="153"/>
      <c r="EO36" s="153"/>
      <c r="EP36" s="153"/>
      <c r="EQ36" s="153"/>
      <c r="ER36" s="153"/>
      <c r="ES36" s="153"/>
      <c r="ET36" s="153"/>
      <c r="EU36" s="153"/>
      <c r="EV36" s="153"/>
      <c r="EW36" s="153"/>
      <c r="EX36" s="153"/>
      <c r="EY36" s="153"/>
      <c r="EZ36" s="153"/>
      <c r="FA36" s="153"/>
      <c r="FB36" s="153"/>
      <c r="FC36" s="153"/>
      <c r="FD36" s="153"/>
      <c r="FE36" s="153"/>
      <c r="FF36" s="153"/>
      <c r="FG36" s="153"/>
      <c r="FH36" s="153"/>
      <c r="FI36" s="153"/>
      <c r="FJ36" s="153"/>
      <c r="FK36" s="153"/>
      <c r="FL36" s="153"/>
      <c r="FM36" s="153"/>
      <c r="FN36" s="153"/>
      <c r="FO36" s="153"/>
      <c r="FP36" s="153"/>
      <c r="FQ36" s="153"/>
      <c r="FR36" s="153"/>
      <c r="FS36" s="153"/>
      <c r="FT36" s="153"/>
      <c r="FU36" s="153"/>
      <c r="FV36" s="153"/>
      <c r="FW36" s="153"/>
      <c r="FX36" s="153"/>
      <c r="FY36" s="153"/>
      <c r="FZ36" s="153"/>
    </row>
    <row r="37" spans="1:182" x14ac:dyDescent="0.2">
      <c r="A37" s="230"/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Q37" s="153"/>
      <c r="DR37" s="153"/>
      <c r="DS37" s="153"/>
      <c r="DT37" s="153"/>
      <c r="DU37" s="153"/>
      <c r="DV37" s="153"/>
      <c r="DW37" s="153"/>
      <c r="DX37" s="153"/>
      <c r="DY37" s="153"/>
      <c r="DZ37" s="153"/>
      <c r="EA37" s="153"/>
      <c r="EB37" s="153"/>
      <c r="EC37" s="153"/>
      <c r="ED37" s="153"/>
      <c r="EE37" s="153"/>
      <c r="EF37" s="153"/>
      <c r="EG37" s="153"/>
      <c r="EH37" s="153"/>
      <c r="EI37" s="153"/>
      <c r="EJ37" s="153"/>
      <c r="EK37" s="153"/>
      <c r="EL37" s="153"/>
      <c r="EM37" s="153"/>
      <c r="EN37" s="153"/>
      <c r="EO37" s="153"/>
      <c r="EP37" s="153"/>
      <c r="EQ37" s="153"/>
      <c r="ER37" s="153"/>
      <c r="ES37" s="153"/>
      <c r="ET37" s="153"/>
      <c r="EU37" s="153"/>
      <c r="EV37" s="153"/>
      <c r="EW37" s="153"/>
      <c r="EX37" s="153"/>
      <c r="EY37" s="153"/>
      <c r="EZ37" s="153"/>
      <c r="FA37" s="153"/>
      <c r="FB37" s="153"/>
      <c r="FC37" s="153"/>
      <c r="FD37" s="153"/>
      <c r="FE37" s="153"/>
      <c r="FF37" s="153"/>
      <c r="FG37" s="153"/>
      <c r="FH37" s="153"/>
      <c r="FI37" s="153"/>
      <c r="FJ37" s="153"/>
      <c r="FK37" s="153"/>
      <c r="FL37" s="153"/>
      <c r="FM37" s="153"/>
      <c r="FN37" s="153"/>
      <c r="FO37" s="153"/>
      <c r="FP37" s="153"/>
      <c r="FQ37" s="153"/>
      <c r="FR37" s="153"/>
      <c r="FS37" s="153"/>
      <c r="FT37" s="153"/>
      <c r="FU37" s="153"/>
      <c r="FV37" s="153"/>
      <c r="FW37" s="153"/>
      <c r="FX37" s="153"/>
      <c r="FY37" s="153"/>
      <c r="FZ37" s="153"/>
    </row>
    <row r="38" spans="1:182" x14ac:dyDescent="0.2">
      <c r="A38" s="230"/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3"/>
      <c r="BP38" s="153"/>
      <c r="BQ38" s="153"/>
      <c r="BR38" s="153"/>
      <c r="BS38" s="153"/>
      <c r="BT38" s="153"/>
      <c r="BU38" s="153"/>
      <c r="BV38" s="153"/>
      <c r="BW38" s="153"/>
      <c r="BX38" s="153"/>
      <c r="BY38" s="153"/>
      <c r="BZ38" s="153"/>
      <c r="CA38" s="153"/>
      <c r="CB38" s="153"/>
      <c r="CC38" s="153"/>
      <c r="CD38" s="153"/>
      <c r="CE38" s="153"/>
      <c r="CF38" s="153"/>
      <c r="CG38" s="153"/>
      <c r="CH38" s="153"/>
      <c r="CI38" s="153"/>
      <c r="CJ38" s="153"/>
      <c r="CK38" s="153"/>
      <c r="CL38" s="153"/>
      <c r="CM38" s="153"/>
      <c r="CN38" s="153"/>
      <c r="CO38" s="153"/>
      <c r="CP38" s="153"/>
      <c r="CQ38" s="153"/>
      <c r="CR38" s="153"/>
      <c r="CS38" s="153"/>
      <c r="CT38" s="153"/>
      <c r="CU38" s="153"/>
      <c r="CV38" s="153"/>
      <c r="CW38" s="153"/>
      <c r="CX38" s="153"/>
      <c r="CY38" s="153"/>
      <c r="CZ38" s="153"/>
      <c r="DA38" s="153"/>
      <c r="DB38" s="153"/>
      <c r="DC38" s="153"/>
      <c r="DD38" s="153"/>
      <c r="DE38" s="153"/>
      <c r="DF38" s="153"/>
      <c r="DG38" s="153"/>
      <c r="DH38" s="153"/>
      <c r="DI38" s="153"/>
      <c r="DJ38" s="153"/>
      <c r="DK38" s="153"/>
      <c r="DL38" s="153"/>
      <c r="DM38" s="153"/>
      <c r="DN38" s="153"/>
      <c r="DO38" s="153"/>
      <c r="DP38" s="153"/>
      <c r="DQ38" s="153"/>
      <c r="DR38" s="153"/>
      <c r="DS38" s="153"/>
      <c r="DT38" s="153"/>
      <c r="DU38" s="153"/>
      <c r="DV38" s="153"/>
      <c r="DW38" s="153"/>
      <c r="DX38" s="153"/>
      <c r="DY38" s="153"/>
      <c r="DZ38" s="153"/>
      <c r="EA38" s="153"/>
      <c r="EB38" s="153"/>
      <c r="EC38" s="153"/>
      <c r="ED38" s="153"/>
      <c r="EE38" s="153"/>
      <c r="EF38" s="153"/>
      <c r="EG38" s="153"/>
      <c r="EH38" s="153"/>
      <c r="EI38" s="153"/>
      <c r="EJ38" s="153"/>
      <c r="EK38" s="153"/>
      <c r="EL38" s="153"/>
      <c r="EM38" s="153"/>
      <c r="EN38" s="153"/>
      <c r="EO38" s="153"/>
      <c r="EP38" s="153"/>
      <c r="EQ38" s="153"/>
      <c r="ER38" s="153"/>
      <c r="ES38" s="153"/>
      <c r="ET38" s="153"/>
      <c r="EU38" s="153"/>
      <c r="EV38" s="153"/>
      <c r="EW38" s="153"/>
      <c r="EX38" s="153"/>
      <c r="EY38" s="153"/>
      <c r="EZ38" s="153"/>
      <c r="FA38" s="153"/>
      <c r="FB38" s="153"/>
      <c r="FC38" s="153"/>
      <c r="FD38" s="153"/>
      <c r="FE38" s="153"/>
      <c r="FF38" s="153"/>
      <c r="FG38" s="153"/>
      <c r="FH38" s="153"/>
      <c r="FI38" s="153"/>
      <c r="FJ38" s="153"/>
      <c r="FK38" s="153"/>
      <c r="FL38" s="153"/>
      <c r="FM38" s="153"/>
      <c r="FN38" s="153"/>
      <c r="FO38" s="153"/>
      <c r="FP38" s="153"/>
      <c r="FQ38" s="153"/>
      <c r="FR38" s="153"/>
      <c r="FS38" s="153"/>
      <c r="FT38" s="153"/>
      <c r="FU38" s="153"/>
      <c r="FV38" s="153"/>
      <c r="FW38" s="153"/>
      <c r="FX38" s="153"/>
      <c r="FY38" s="153"/>
      <c r="FZ38" s="153"/>
    </row>
    <row r="39" spans="1:182" x14ac:dyDescent="0.2">
      <c r="A39" s="230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3"/>
      <c r="CH39" s="153"/>
      <c r="CI39" s="153"/>
      <c r="CJ39" s="153"/>
      <c r="CK39" s="153"/>
      <c r="CL39" s="153"/>
      <c r="CM39" s="153"/>
      <c r="CN39" s="153"/>
      <c r="CO39" s="153"/>
      <c r="CP39" s="153"/>
      <c r="CQ39" s="153"/>
      <c r="CR39" s="153"/>
      <c r="CS39" s="153"/>
      <c r="CT39" s="153"/>
      <c r="CU39" s="153"/>
      <c r="CV39" s="153"/>
      <c r="CW39" s="153"/>
      <c r="CX39" s="153"/>
      <c r="CY39" s="153"/>
      <c r="CZ39" s="153"/>
      <c r="DA39" s="153"/>
      <c r="DB39" s="153"/>
      <c r="DC39" s="153"/>
      <c r="DD39" s="153"/>
      <c r="DE39" s="153"/>
      <c r="DF39" s="153"/>
      <c r="DG39" s="153"/>
      <c r="DH39" s="153"/>
      <c r="DI39" s="153"/>
      <c r="DJ39" s="153"/>
      <c r="DK39" s="153"/>
      <c r="DL39" s="153"/>
      <c r="DM39" s="153"/>
      <c r="DN39" s="153"/>
      <c r="DO39" s="153"/>
      <c r="DP39" s="153"/>
      <c r="DQ39" s="153"/>
      <c r="DR39" s="153"/>
      <c r="DS39" s="153"/>
      <c r="DT39" s="153"/>
      <c r="DU39" s="153"/>
      <c r="DV39" s="153"/>
      <c r="DW39" s="153"/>
      <c r="DX39" s="153"/>
      <c r="DY39" s="153"/>
      <c r="DZ39" s="153"/>
      <c r="EA39" s="153"/>
      <c r="EB39" s="153"/>
      <c r="EC39" s="153"/>
      <c r="ED39" s="153"/>
      <c r="EE39" s="153"/>
      <c r="EF39" s="153"/>
      <c r="EG39" s="153"/>
      <c r="EH39" s="153"/>
      <c r="EI39" s="153"/>
      <c r="EJ39" s="153"/>
      <c r="EK39" s="153"/>
      <c r="EL39" s="153"/>
      <c r="EM39" s="153"/>
      <c r="EN39" s="153"/>
      <c r="EO39" s="153"/>
      <c r="EP39" s="153"/>
      <c r="EQ39" s="153"/>
      <c r="ER39" s="153"/>
      <c r="ES39" s="153"/>
      <c r="ET39" s="153"/>
      <c r="EU39" s="153"/>
      <c r="EV39" s="153"/>
      <c r="EW39" s="153"/>
      <c r="EX39" s="153"/>
      <c r="EY39" s="153"/>
      <c r="EZ39" s="153"/>
      <c r="FA39" s="153"/>
      <c r="FB39" s="153"/>
      <c r="FC39" s="153"/>
      <c r="FD39" s="153"/>
      <c r="FE39" s="153"/>
      <c r="FF39" s="153"/>
      <c r="FG39" s="153"/>
      <c r="FH39" s="153"/>
      <c r="FI39" s="153"/>
      <c r="FJ39" s="153"/>
      <c r="FK39" s="153"/>
      <c r="FL39" s="153"/>
      <c r="FM39" s="153"/>
      <c r="FN39" s="153"/>
      <c r="FO39" s="153"/>
      <c r="FP39" s="153"/>
      <c r="FQ39" s="153"/>
      <c r="FR39" s="153"/>
      <c r="FS39" s="153"/>
      <c r="FT39" s="153"/>
      <c r="FU39" s="153"/>
      <c r="FV39" s="153"/>
      <c r="FW39" s="153"/>
      <c r="FX39" s="153"/>
      <c r="FY39" s="153"/>
      <c r="FZ39" s="153"/>
    </row>
    <row r="40" spans="1:182" x14ac:dyDescent="0.2">
      <c r="A40" s="230"/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3"/>
      <c r="DI40" s="153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53"/>
      <c r="DU40" s="153"/>
      <c r="DV40" s="153"/>
      <c r="DW40" s="153"/>
      <c r="DX40" s="153"/>
      <c r="DY40" s="153"/>
      <c r="DZ40" s="153"/>
      <c r="EA40" s="153"/>
      <c r="EB40" s="153"/>
      <c r="EC40" s="153"/>
      <c r="ED40" s="153"/>
      <c r="EE40" s="153"/>
      <c r="EF40" s="153"/>
      <c r="EG40" s="153"/>
      <c r="EH40" s="153"/>
      <c r="EI40" s="153"/>
      <c r="EJ40" s="153"/>
      <c r="EK40" s="153"/>
      <c r="EL40" s="153"/>
      <c r="EM40" s="153"/>
      <c r="EN40" s="153"/>
      <c r="EO40" s="153"/>
      <c r="EP40" s="153"/>
      <c r="EQ40" s="153"/>
      <c r="ER40" s="153"/>
      <c r="ES40" s="153"/>
      <c r="ET40" s="153"/>
      <c r="EU40" s="153"/>
      <c r="EV40" s="153"/>
      <c r="EW40" s="153"/>
      <c r="EX40" s="153"/>
      <c r="EY40" s="153"/>
      <c r="EZ40" s="153"/>
      <c r="FA40" s="153"/>
      <c r="FB40" s="153"/>
      <c r="FC40" s="153"/>
      <c r="FD40" s="153"/>
      <c r="FE40" s="153"/>
      <c r="FF40" s="153"/>
      <c r="FG40" s="153"/>
      <c r="FH40" s="153"/>
      <c r="FI40" s="153"/>
      <c r="FJ40" s="153"/>
      <c r="FK40" s="153"/>
      <c r="FL40" s="153"/>
      <c r="FM40" s="153"/>
      <c r="FN40" s="153"/>
      <c r="FO40" s="153"/>
      <c r="FP40" s="153"/>
      <c r="FQ40" s="153"/>
      <c r="FR40" s="153"/>
      <c r="FS40" s="153"/>
      <c r="FT40" s="153"/>
      <c r="FU40" s="153"/>
      <c r="FV40" s="153"/>
      <c r="FW40" s="153"/>
      <c r="FX40" s="153"/>
      <c r="FY40" s="153"/>
      <c r="FZ40" s="153"/>
    </row>
    <row r="41" spans="1:182" x14ac:dyDescent="0.2">
      <c r="A41" s="230"/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3"/>
      <c r="CY41" s="153"/>
      <c r="CZ41" s="153"/>
      <c r="DA41" s="153"/>
      <c r="DB41" s="153"/>
      <c r="DC41" s="153"/>
      <c r="DD41" s="153"/>
      <c r="DE41" s="153"/>
      <c r="DF41" s="153"/>
      <c r="DG41" s="153"/>
      <c r="DH41" s="153"/>
      <c r="DI41" s="153"/>
      <c r="DJ41" s="153"/>
      <c r="DK41" s="153"/>
      <c r="DL41" s="153"/>
      <c r="DM41" s="153"/>
      <c r="DN41" s="153"/>
      <c r="DO41" s="153"/>
      <c r="DP41" s="153"/>
      <c r="DQ41" s="153"/>
      <c r="DR41" s="153"/>
      <c r="DS41" s="153"/>
      <c r="DT41" s="153"/>
      <c r="DU41" s="153"/>
      <c r="DV41" s="153"/>
      <c r="DW41" s="153"/>
      <c r="DX41" s="153"/>
      <c r="DY41" s="153"/>
      <c r="DZ41" s="153"/>
      <c r="EA41" s="153"/>
      <c r="EB41" s="153"/>
      <c r="EC41" s="153"/>
      <c r="ED41" s="153"/>
      <c r="EE41" s="153"/>
      <c r="EF41" s="153"/>
      <c r="EG41" s="153"/>
      <c r="EH41" s="153"/>
      <c r="EI41" s="153"/>
      <c r="EJ41" s="153"/>
      <c r="EK41" s="153"/>
      <c r="EL41" s="153"/>
      <c r="EM41" s="153"/>
      <c r="EN41" s="153"/>
      <c r="EO41" s="153"/>
      <c r="EP41" s="153"/>
      <c r="EQ41" s="153"/>
      <c r="ER41" s="153"/>
      <c r="ES41" s="153"/>
      <c r="ET41" s="153"/>
      <c r="EU41" s="153"/>
      <c r="EV41" s="153"/>
      <c r="EW41" s="153"/>
      <c r="EX41" s="153"/>
      <c r="EY41" s="153"/>
      <c r="EZ41" s="153"/>
      <c r="FA41" s="153"/>
      <c r="FB41" s="153"/>
      <c r="FC41" s="153"/>
      <c r="FD41" s="153"/>
      <c r="FE41" s="153"/>
      <c r="FF41" s="153"/>
      <c r="FG41" s="153"/>
      <c r="FH41" s="153"/>
      <c r="FI41" s="153"/>
      <c r="FJ41" s="153"/>
      <c r="FK41" s="153"/>
      <c r="FL41" s="153"/>
      <c r="FM41" s="153"/>
      <c r="FN41" s="153"/>
      <c r="FO41" s="153"/>
      <c r="FP41" s="153"/>
      <c r="FQ41" s="153"/>
      <c r="FR41" s="153"/>
      <c r="FS41" s="153"/>
      <c r="FT41" s="153"/>
      <c r="FU41" s="153"/>
      <c r="FV41" s="153"/>
      <c r="FW41" s="153"/>
      <c r="FX41" s="153"/>
      <c r="FY41" s="153"/>
      <c r="FZ41" s="153"/>
    </row>
    <row r="42" spans="1:182" ht="13.5" thickBot="1" x14ac:dyDescent="0.25">
      <c r="A42" s="230"/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3"/>
      <c r="BN42" s="153"/>
      <c r="BO42" s="153"/>
      <c r="BP42" s="153"/>
      <c r="BQ42" s="153"/>
      <c r="BR42" s="153"/>
      <c r="BS42" s="153"/>
      <c r="BT42" s="153"/>
      <c r="BU42" s="153"/>
      <c r="BV42" s="153"/>
      <c r="BW42" s="153"/>
      <c r="BX42" s="153"/>
      <c r="BY42" s="153"/>
      <c r="BZ42" s="153"/>
      <c r="CA42" s="153"/>
      <c r="CB42" s="153"/>
      <c r="CC42" s="153"/>
      <c r="CD42" s="153"/>
      <c r="CE42" s="153"/>
      <c r="CF42" s="153"/>
      <c r="CG42" s="153"/>
      <c r="CH42" s="153"/>
      <c r="CI42" s="153"/>
      <c r="CJ42" s="153"/>
      <c r="CK42" s="153"/>
      <c r="CL42" s="153"/>
      <c r="CM42" s="153"/>
      <c r="CN42" s="153"/>
      <c r="CO42" s="153"/>
      <c r="CP42" s="153"/>
      <c r="CQ42" s="153"/>
      <c r="CR42" s="153"/>
      <c r="CS42" s="153"/>
      <c r="CT42" s="153"/>
      <c r="CU42" s="153"/>
      <c r="CV42" s="153"/>
      <c r="CW42" s="153"/>
      <c r="CX42" s="153"/>
      <c r="CY42" s="153"/>
      <c r="CZ42" s="153"/>
      <c r="DA42" s="153"/>
      <c r="DB42" s="153"/>
      <c r="DC42" s="153"/>
      <c r="DD42" s="153"/>
      <c r="DE42" s="153"/>
      <c r="DF42" s="153"/>
      <c r="DG42" s="153"/>
      <c r="DH42" s="153"/>
      <c r="DI42" s="153"/>
      <c r="DJ42" s="153"/>
      <c r="DK42" s="153"/>
      <c r="DL42" s="153"/>
      <c r="DM42" s="153"/>
      <c r="DN42" s="153"/>
      <c r="DO42" s="153"/>
      <c r="DP42" s="153"/>
      <c r="DQ42" s="153"/>
      <c r="DR42" s="153"/>
      <c r="DS42" s="153"/>
      <c r="DT42" s="153"/>
      <c r="DU42" s="153"/>
      <c r="DV42" s="153"/>
      <c r="DW42" s="153"/>
      <c r="DX42" s="153"/>
      <c r="DY42" s="153"/>
      <c r="DZ42" s="153"/>
      <c r="EA42" s="153"/>
      <c r="EB42" s="153"/>
      <c r="EC42" s="153"/>
      <c r="ED42" s="153"/>
      <c r="EE42" s="153"/>
      <c r="EF42" s="153"/>
      <c r="EG42" s="153"/>
      <c r="EH42" s="153"/>
      <c r="EI42" s="153"/>
      <c r="EJ42" s="153"/>
      <c r="EK42" s="153"/>
      <c r="EL42" s="153"/>
      <c r="EM42" s="153"/>
      <c r="EN42" s="153"/>
      <c r="EO42" s="153"/>
      <c r="EP42" s="153"/>
      <c r="EQ42" s="153"/>
      <c r="ER42" s="153"/>
      <c r="ES42" s="153"/>
      <c r="ET42" s="153"/>
      <c r="EU42" s="153"/>
      <c r="EV42" s="153"/>
      <c r="EW42" s="153"/>
      <c r="EX42" s="153"/>
      <c r="EY42" s="153"/>
      <c r="EZ42" s="153"/>
      <c r="FA42" s="153"/>
      <c r="FB42" s="153"/>
      <c r="FC42" s="153"/>
      <c r="FD42" s="153"/>
      <c r="FE42" s="153"/>
      <c r="FF42" s="153"/>
      <c r="FG42" s="153"/>
      <c r="FH42" s="153"/>
      <c r="FI42" s="153"/>
      <c r="FJ42" s="153"/>
      <c r="FK42" s="153"/>
      <c r="FL42" s="153"/>
      <c r="FM42" s="153"/>
      <c r="FN42" s="153"/>
      <c r="FO42" s="153"/>
      <c r="FP42" s="153"/>
      <c r="FQ42" s="153"/>
      <c r="FR42" s="153"/>
      <c r="FS42" s="153"/>
      <c r="FT42" s="153"/>
      <c r="FU42" s="153"/>
      <c r="FV42" s="153"/>
      <c r="FW42" s="153"/>
      <c r="FX42" s="153"/>
      <c r="FY42" s="153"/>
      <c r="FZ42" s="153"/>
    </row>
    <row r="43" spans="1:182" ht="13.5" thickBot="1" x14ac:dyDescent="0.25">
      <c r="A43" s="306" t="s">
        <v>377</v>
      </c>
      <c r="B43" s="307"/>
      <c r="C43" s="249">
        <v>1</v>
      </c>
      <c r="D43" s="292">
        <v>2</v>
      </c>
      <c r="E43" s="249">
        <v>3</v>
      </c>
      <c r="F43" s="292">
        <v>4</v>
      </c>
      <c r="G43" s="249">
        <v>5</v>
      </c>
      <c r="H43" s="249">
        <v>6</v>
      </c>
      <c r="I43" s="292">
        <v>7</v>
      </c>
      <c r="J43" s="249">
        <v>8</v>
      </c>
      <c r="K43" s="292">
        <v>9</v>
      </c>
      <c r="L43" s="249">
        <v>10</v>
      </c>
      <c r="M43" s="249">
        <v>11</v>
      </c>
      <c r="N43" s="292">
        <v>12</v>
      </c>
      <c r="O43" s="249">
        <v>13</v>
      </c>
      <c r="P43" s="292">
        <v>14</v>
      </c>
      <c r="Q43" s="249">
        <v>15</v>
      </c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3"/>
      <c r="BN43" s="153"/>
      <c r="BO43" s="153"/>
      <c r="BP43" s="153"/>
      <c r="BQ43" s="153"/>
      <c r="BR43" s="153"/>
      <c r="BS43" s="153"/>
      <c r="BT43" s="153"/>
      <c r="BU43" s="153"/>
      <c r="BV43" s="153"/>
      <c r="BW43" s="153"/>
      <c r="BX43" s="153"/>
      <c r="BY43" s="153"/>
      <c r="BZ43" s="153"/>
      <c r="CA43" s="153"/>
      <c r="CB43" s="153"/>
      <c r="CC43" s="153"/>
      <c r="CD43" s="153"/>
      <c r="CE43" s="153"/>
      <c r="CF43" s="153"/>
      <c r="CG43" s="153"/>
      <c r="CH43" s="153"/>
      <c r="CI43" s="153"/>
      <c r="CJ43" s="153"/>
      <c r="CK43" s="153"/>
      <c r="CL43" s="153"/>
      <c r="CM43" s="153"/>
      <c r="CN43" s="153"/>
      <c r="CO43" s="153"/>
      <c r="CP43" s="153"/>
      <c r="CQ43" s="153"/>
      <c r="CR43" s="153"/>
      <c r="CS43" s="153"/>
      <c r="CT43" s="153"/>
      <c r="CU43" s="153"/>
      <c r="CV43" s="153"/>
      <c r="CW43" s="153"/>
      <c r="CX43" s="153"/>
      <c r="CY43" s="153"/>
      <c r="CZ43" s="153"/>
      <c r="DA43" s="153"/>
      <c r="DB43" s="153"/>
      <c r="DC43" s="153"/>
      <c r="DD43" s="153"/>
      <c r="DE43" s="153"/>
      <c r="DF43" s="153"/>
      <c r="DG43" s="153"/>
      <c r="DH43" s="153"/>
      <c r="DI43" s="153"/>
      <c r="DJ43" s="153"/>
      <c r="DK43" s="153"/>
      <c r="DL43" s="153"/>
      <c r="DM43" s="153"/>
      <c r="DN43" s="153"/>
      <c r="DO43" s="153"/>
      <c r="DP43" s="153"/>
      <c r="DQ43" s="153"/>
      <c r="DR43" s="153"/>
      <c r="DS43" s="153"/>
      <c r="DT43" s="153"/>
      <c r="DU43" s="153"/>
      <c r="DV43" s="153"/>
      <c r="DW43" s="153"/>
      <c r="DX43" s="153"/>
      <c r="DY43" s="153"/>
      <c r="DZ43" s="153"/>
      <c r="EA43" s="153"/>
      <c r="EB43" s="153"/>
      <c r="EC43" s="153"/>
      <c r="ED43" s="153"/>
      <c r="EE43" s="153"/>
      <c r="EF43" s="153"/>
      <c r="EG43" s="153"/>
      <c r="EH43" s="153"/>
      <c r="EI43" s="153"/>
      <c r="EJ43" s="153"/>
      <c r="EK43" s="153"/>
      <c r="EL43" s="153"/>
      <c r="EM43" s="153"/>
      <c r="EN43" s="153"/>
      <c r="EO43" s="153"/>
      <c r="EP43" s="153"/>
      <c r="EQ43" s="153"/>
      <c r="ER43" s="153"/>
      <c r="ES43" s="153"/>
      <c r="ET43" s="153"/>
      <c r="EU43" s="153"/>
      <c r="EV43" s="153"/>
      <c r="EW43" s="153"/>
      <c r="EX43" s="153"/>
      <c r="EY43" s="153"/>
      <c r="EZ43" s="153"/>
      <c r="FA43" s="153"/>
      <c r="FB43" s="153"/>
      <c r="FC43" s="153"/>
      <c r="FD43" s="153"/>
      <c r="FE43" s="153"/>
      <c r="FF43" s="153"/>
      <c r="FG43" s="153"/>
      <c r="FH43" s="153"/>
      <c r="FI43" s="153"/>
      <c r="FJ43" s="153"/>
      <c r="FK43" s="153"/>
      <c r="FL43" s="153"/>
      <c r="FM43" s="153"/>
      <c r="FN43" s="153"/>
      <c r="FO43" s="153"/>
      <c r="FP43" s="153"/>
      <c r="FQ43" s="153"/>
      <c r="FR43" s="153"/>
      <c r="FS43" s="153"/>
      <c r="FT43" s="153"/>
      <c r="FU43" s="153"/>
      <c r="FV43" s="153"/>
      <c r="FW43" s="153"/>
      <c r="FX43" s="153"/>
      <c r="FY43" s="153"/>
      <c r="FZ43" s="153"/>
    </row>
    <row r="44" spans="1:182" ht="13.5" thickBot="1" x14ac:dyDescent="0.25">
      <c r="A44" s="230"/>
      <c r="B44" s="230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3"/>
      <c r="BN44" s="153"/>
      <c r="BO44" s="153"/>
      <c r="BP44" s="153"/>
      <c r="BQ44" s="153"/>
      <c r="BR44" s="153"/>
      <c r="BS44" s="153"/>
      <c r="BT44" s="153"/>
      <c r="BU44" s="153"/>
      <c r="BV44" s="153"/>
      <c r="BW44" s="153"/>
      <c r="BX44" s="153"/>
      <c r="BY44" s="153"/>
      <c r="BZ44" s="153"/>
      <c r="CA44" s="153"/>
      <c r="CB44" s="153"/>
      <c r="CC44" s="153"/>
      <c r="CD44" s="153"/>
      <c r="CE44" s="153"/>
      <c r="CF44" s="153"/>
      <c r="CG44" s="153"/>
      <c r="CH44" s="153"/>
      <c r="CI44" s="153"/>
      <c r="CJ44" s="153"/>
      <c r="CK44" s="153"/>
      <c r="CL44" s="153"/>
      <c r="CM44" s="153"/>
      <c r="CN44" s="153"/>
      <c r="CO44" s="153"/>
      <c r="CP44" s="153"/>
      <c r="CQ44" s="153"/>
      <c r="CR44" s="153"/>
      <c r="CS44" s="153"/>
      <c r="CT44" s="153"/>
      <c r="CU44" s="153"/>
      <c r="CV44" s="153"/>
      <c r="CW44" s="153"/>
      <c r="CX44" s="153"/>
      <c r="CY44" s="153"/>
      <c r="CZ44" s="153"/>
      <c r="DA44" s="153"/>
      <c r="DB44" s="153"/>
      <c r="DC44" s="153"/>
      <c r="DD44" s="153"/>
      <c r="DE44" s="153"/>
      <c r="DF44" s="153"/>
      <c r="DG44" s="153"/>
      <c r="DH44" s="153"/>
      <c r="DI44" s="153"/>
      <c r="DJ44" s="153"/>
      <c r="DK44" s="153"/>
      <c r="DL44" s="153"/>
      <c r="DM44" s="153"/>
      <c r="DN44" s="153"/>
      <c r="DO44" s="153"/>
      <c r="DP44" s="153"/>
      <c r="DQ44" s="153"/>
      <c r="DR44" s="153"/>
      <c r="DS44" s="153"/>
      <c r="DT44" s="153"/>
      <c r="DU44" s="153"/>
      <c r="DV44" s="153"/>
      <c r="DW44" s="153"/>
      <c r="DX44" s="153"/>
      <c r="DY44" s="153"/>
      <c r="DZ44" s="153"/>
      <c r="EA44" s="153"/>
      <c r="EB44" s="153"/>
      <c r="EC44" s="153"/>
      <c r="ED44" s="153"/>
      <c r="EE44" s="153"/>
      <c r="EF44" s="153"/>
      <c r="EG44" s="153"/>
      <c r="EH44" s="153"/>
      <c r="EI44" s="153"/>
      <c r="EJ44" s="153"/>
      <c r="EK44" s="153"/>
      <c r="EL44" s="153"/>
      <c r="EM44" s="153"/>
      <c r="EN44" s="153"/>
      <c r="EO44" s="153"/>
      <c r="EP44" s="153"/>
      <c r="EQ44" s="153"/>
      <c r="ER44" s="153"/>
      <c r="ES44" s="153"/>
      <c r="ET44" s="153"/>
      <c r="EU44" s="153"/>
      <c r="EV44" s="153"/>
      <c r="EW44" s="153"/>
      <c r="EX44" s="153"/>
      <c r="EY44" s="153"/>
      <c r="EZ44" s="153"/>
      <c r="FA44" s="153"/>
      <c r="FB44" s="153"/>
      <c r="FC44" s="153"/>
      <c r="FD44" s="153"/>
      <c r="FE44" s="153"/>
      <c r="FF44" s="153"/>
      <c r="FG44" s="153"/>
      <c r="FH44" s="153"/>
      <c r="FI44" s="153"/>
      <c r="FJ44" s="153"/>
      <c r="FK44" s="153"/>
      <c r="FL44" s="153"/>
      <c r="FM44" s="153"/>
      <c r="FN44" s="153"/>
      <c r="FO44" s="153"/>
      <c r="FP44" s="153"/>
      <c r="FQ44" s="153"/>
      <c r="FR44" s="153"/>
      <c r="FS44" s="153"/>
      <c r="FT44" s="153"/>
      <c r="FU44" s="153"/>
      <c r="FV44" s="153"/>
      <c r="FW44" s="153"/>
      <c r="FX44" s="153"/>
      <c r="FY44" s="153"/>
      <c r="FZ44" s="153"/>
    </row>
    <row r="45" spans="1:182" x14ac:dyDescent="0.2">
      <c r="A45" s="230"/>
      <c r="B45" s="230"/>
      <c r="C45" s="243">
        <f>+B54</f>
        <v>150730.76206352399</v>
      </c>
      <c r="D45" s="295">
        <f>+C48</f>
        <v>124520.08517462027</v>
      </c>
      <c r="E45" s="243">
        <f t="shared" ref="E45:Q45" si="3">+D48</f>
        <v>96474.660903493292</v>
      </c>
      <c r="F45" s="243">
        <f t="shared" si="3"/>
        <v>66466.056933387445</v>
      </c>
      <c r="G45" s="295">
        <f t="shared" si="3"/>
        <v>34356.850685374171</v>
      </c>
      <c r="H45" s="243">
        <f t="shared" si="3"/>
        <v>0</v>
      </c>
      <c r="I45" s="295">
        <f t="shared" si="3"/>
        <v>0</v>
      </c>
      <c r="J45" s="243">
        <f t="shared" si="3"/>
        <v>0</v>
      </c>
      <c r="K45" s="295">
        <f t="shared" si="3"/>
        <v>0</v>
      </c>
      <c r="L45" s="243">
        <f t="shared" si="3"/>
        <v>0</v>
      </c>
      <c r="M45" s="295">
        <f t="shared" si="3"/>
        <v>0</v>
      </c>
      <c r="N45" s="243">
        <f t="shared" si="3"/>
        <v>0</v>
      </c>
      <c r="O45" s="295">
        <f t="shared" si="3"/>
        <v>0</v>
      </c>
      <c r="P45" s="243">
        <f t="shared" si="3"/>
        <v>0</v>
      </c>
      <c r="Q45" s="243">
        <f t="shared" si="3"/>
        <v>0</v>
      </c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3"/>
      <c r="BN45" s="153"/>
      <c r="BO45" s="153"/>
      <c r="BP45" s="153"/>
      <c r="BQ45" s="153"/>
      <c r="BR45" s="153"/>
      <c r="BS45" s="153"/>
      <c r="BT45" s="153"/>
      <c r="BU45" s="153"/>
      <c r="BV45" s="153"/>
      <c r="BW45" s="153"/>
      <c r="BX45" s="153"/>
      <c r="BY45" s="153"/>
      <c r="BZ45" s="153"/>
      <c r="CA45" s="153"/>
      <c r="CB45" s="153"/>
      <c r="CC45" s="153"/>
      <c r="CD45" s="153"/>
      <c r="CE45" s="153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  <c r="CW45" s="153"/>
      <c r="CX45" s="153"/>
      <c r="CY45" s="153"/>
      <c r="CZ45" s="153"/>
      <c r="DA45" s="153"/>
      <c r="DB45" s="153"/>
      <c r="DC45" s="153"/>
      <c r="DD45" s="153"/>
      <c r="DE45" s="153"/>
      <c r="DF45" s="153"/>
      <c r="DG45" s="153"/>
      <c r="DH45" s="153"/>
      <c r="DI45" s="153"/>
      <c r="DJ45" s="153"/>
      <c r="DK45" s="153"/>
      <c r="DL45" s="153"/>
      <c r="DM45" s="153"/>
      <c r="DN45" s="153"/>
      <c r="DO45" s="153"/>
      <c r="DP45" s="153"/>
      <c r="DQ45" s="153"/>
      <c r="DR45" s="153"/>
      <c r="DS45" s="153"/>
      <c r="DT45" s="153"/>
      <c r="DU45" s="153"/>
      <c r="DV45" s="153"/>
      <c r="DW45" s="153"/>
      <c r="DX45" s="153"/>
      <c r="DY45" s="153"/>
      <c r="DZ45" s="153"/>
      <c r="EA45" s="153"/>
      <c r="EB45" s="153"/>
      <c r="EC45" s="153"/>
      <c r="ED45" s="153"/>
      <c r="EE45" s="153"/>
      <c r="EF45" s="153"/>
      <c r="EG45" s="153"/>
      <c r="EH45" s="153"/>
      <c r="EI45" s="153"/>
      <c r="EJ45" s="153"/>
      <c r="EK45" s="153"/>
      <c r="EL45" s="153"/>
      <c r="EM45" s="153"/>
      <c r="EN45" s="153"/>
      <c r="EO45" s="153"/>
      <c r="EP45" s="153"/>
      <c r="EQ45" s="153"/>
      <c r="ER45" s="153"/>
      <c r="ES45" s="153"/>
      <c r="ET45" s="153"/>
      <c r="EU45" s="153"/>
      <c r="EV45" s="153"/>
      <c r="EW45" s="153"/>
      <c r="EX45" s="153"/>
      <c r="EY45" s="153"/>
      <c r="EZ45" s="153"/>
      <c r="FA45" s="153"/>
      <c r="FB45" s="153"/>
      <c r="FC45" s="153"/>
      <c r="FD45" s="153"/>
      <c r="FE45" s="153"/>
      <c r="FF45" s="153"/>
      <c r="FG45" s="153"/>
      <c r="FH45" s="153"/>
      <c r="FI45" s="153"/>
      <c r="FJ45" s="153"/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</row>
    <row r="46" spans="1:182" x14ac:dyDescent="0.2">
      <c r="A46" s="236" t="s">
        <v>376</v>
      </c>
      <c r="B46" s="230"/>
      <c r="C46" s="239">
        <f>SUM(C55:N55)</f>
        <v>9421.9058847775359</v>
      </c>
      <c r="D46" s="250">
        <f>SUM(O55:Z55)</f>
        <v>7587.1585025542772</v>
      </c>
      <c r="E46" s="239">
        <f>SUM(AA55:AL55)</f>
        <v>5623.9788035753891</v>
      </c>
      <c r="F46" s="239">
        <f>SUM(AM55:AX55)</f>
        <v>3523.3765256679794</v>
      </c>
      <c r="G46" s="297">
        <f>SUM(AY55:BJ55)</f>
        <v>1275.7320883070529</v>
      </c>
      <c r="H46" s="239">
        <f>SUM(BK55:BV55)</f>
        <v>-1.8821239898810107E-12</v>
      </c>
      <c r="I46" s="297">
        <f>SUM(BW55:CH55)</f>
        <v>-1.8821239898810107E-12</v>
      </c>
      <c r="J46" s="239">
        <f>SUM(CI55:CT55)</f>
        <v>-1.8821239898810107E-12</v>
      </c>
      <c r="K46" s="297">
        <f>SUM(CU55:DF55)</f>
        <v>-1.8821239898810107E-12</v>
      </c>
      <c r="L46" s="239">
        <f>SUM(DG55:DR55)</f>
        <v>-1.8821239898810107E-12</v>
      </c>
      <c r="M46" s="297">
        <f>SUM(DS55:ED55)</f>
        <v>-1.8821239898810107E-12</v>
      </c>
      <c r="N46" s="239">
        <f>SUM(EE55:EP55)</f>
        <v>-1.8821239898810107E-12</v>
      </c>
      <c r="O46" s="297">
        <f>SUM(EQ55:FB55)</f>
        <v>-1.8821239898810107E-12</v>
      </c>
      <c r="P46" s="239">
        <f>SUM(FC55:FN55)</f>
        <v>-1.8821239898810107E-12</v>
      </c>
      <c r="Q46" s="239">
        <f>SUM(FO55:FZ55)</f>
        <v>-1.8821239898810107E-12</v>
      </c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3"/>
      <c r="BN46" s="153"/>
      <c r="BO46" s="153"/>
      <c r="BP46" s="153"/>
      <c r="BQ46" s="153"/>
      <c r="BR46" s="153"/>
      <c r="BS46" s="153"/>
      <c r="BT46" s="153"/>
      <c r="BU46" s="153"/>
      <c r="BV46" s="153"/>
      <c r="BW46" s="153"/>
      <c r="BX46" s="153"/>
      <c r="BY46" s="153"/>
      <c r="BZ46" s="153"/>
      <c r="CA46" s="153"/>
      <c r="CB46" s="153"/>
      <c r="CC46" s="153"/>
      <c r="CD46" s="153"/>
      <c r="CE46" s="153"/>
      <c r="CF46" s="153"/>
      <c r="CG46" s="153"/>
      <c r="CH46" s="153"/>
      <c r="CI46" s="153"/>
      <c r="CJ46" s="153"/>
      <c r="CK46" s="153"/>
      <c r="CL46" s="153"/>
      <c r="CM46" s="153"/>
      <c r="CN46" s="153"/>
      <c r="CO46" s="153"/>
      <c r="CP46" s="153"/>
      <c r="CQ46" s="153"/>
      <c r="CR46" s="153"/>
      <c r="CS46" s="153"/>
      <c r="CT46" s="153"/>
      <c r="CU46" s="153"/>
      <c r="CV46" s="153"/>
      <c r="CW46" s="153"/>
      <c r="CX46" s="153"/>
      <c r="CY46" s="153"/>
      <c r="CZ46" s="153"/>
      <c r="DA46" s="153"/>
      <c r="DB46" s="153"/>
      <c r="DC46" s="153"/>
      <c r="DD46" s="153"/>
      <c r="DE46" s="153"/>
      <c r="DF46" s="153"/>
      <c r="DG46" s="153"/>
      <c r="DH46" s="153"/>
      <c r="DI46" s="153"/>
      <c r="DJ46" s="153"/>
      <c r="DK46" s="153"/>
      <c r="DL46" s="153"/>
      <c r="DM46" s="153"/>
      <c r="DN46" s="153"/>
      <c r="DO46" s="153"/>
      <c r="DP46" s="153"/>
      <c r="DQ46" s="153"/>
      <c r="DR46" s="153"/>
      <c r="DS46" s="153"/>
      <c r="DT46" s="153"/>
      <c r="DU46" s="153"/>
      <c r="DV46" s="153"/>
      <c r="DW46" s="153"/>
      <c r="DX46" s="153"/>
      <c r="DY46" s="153"/>
      <c r="DZ46" s="153"/>
      <c r="EA46" s="153"/>
      <c r="EB46" s="153"/>
      <c r="EC46" s="153"/>
      <c r="ED46" s="153"/>
      <c r="EE46" s="153"/>
      <c r="EF46" s="153"/>
      <c r="EG46" s="153"/>
      <c r="EH46" s="153"/>
      <c r="EI46" s="153"/>
      <c r="EJ46" s="153"/>
      <c r="EK46" s="153"/>
      <c r="EL46" s="153"/>
      <c r="EM46" s="153"/>
      <c r="EN46" s="153"/>
      <c r="EO46" s="153"/>
      <c r="EP46" s="153"/>
      <c r="EQ46" s="153"/>
      <c r="ER46" s="153"/>
      <c r="ES46" s="153"/>
      <c r="ET46" s="153"/>
      <c r="EU46" s="153"/>
      <c r="EV46" s="153"/>
      <c r="EW46" s="153"/>
      <c r="EX46" s="153"/>
      <c r="EY46" s="153"/>
      <c r="EZ46" s="153"/>
      <c r="FA46" s="153"/>
      <c r="FB46" s="153"/>
      <c r="FC46" s="153"/>
      <c r="FD46" s="153"/>
      <c r="FE46" s="153"/>
      <c r="FF46" s="153"/>
      <c r="FG46" s="153"/>
      <c r="FH46" s="153"/>
      <c r="FI46" s="153"/>
      <c r="FJ46" s="153"/>
      <c r="FK46" s="153"/>
      <c r="FL46" s="153"/>
      <c r="FM46" s="153"/>
      <c r="FN46" s="153"/>
      <c r="FO46" s="153"/>
      <c r="FP46" s="153"/>
      <c r="FQ46" s="153"/>
      <c r="FR46" s="153"/>
      <c r="FS46" s="153"/>
      <c r="FT46" s="153"/>
      <c r="FU46" s="153"/>
      <c r="FV46" s="153"/>
      <c r="FW46" s="153"/>
      <c r="FX46" s="153"/>
      <c r="FY46" s="153"/>
      <c r="FZ46" s="153"/>
    </row>
    <row r="47" spans="1:182" x14ac:dyDescent="0.2">
      <c r="A47" s="236" t="s">
        <v>25</v>
      </c>
      <c r="B47" s="230"/>
      <c r="C47" s="239">
        <f>SUM(C56:N56)</f>
        <v>26210.676888903716</v>
      </c>
      <c r="D47" s="297">
        <f>SUM(O56:Z56)</f>
        <v>28045.424271126969</v>
      </c>
      <c r="E47" s="239">
        <f>SUM(AA56:AL56)</f>
        <v>30008.603970105854</v>
      </c>
      <c r="F47" s="239">
        <f>SUM(AM56:AX56)</f>
        <v>32109.20624801327</v>
      </c>
      <c r="G47" s="297">
        <f>SUM(AY56:BJ56)</f>
        <v>34356.850685374193</v>
      </c>
      <c r="H47" s="239">
        <f>SUM(BK56:BV56)</f>
        <v>0</v>
      </c>
      <c r="I47" s="297">
        <f>SUM(BW56:CH56)</f>
        <v>0</v>
      </c>
      <c r="J47" s="239">
        <f>SUM(CI56:CT56)</f>
        <v>0</v>
      </c>
      <c r="K47" s="297">
        <f>SUM(CU56:DF56)</f>
        <v>0</v>
      </c>
      <c r="L47" s="239">
        <f>SUM(DG56:DR56)</f>
        <v>0</v>
      </c>
      <c r="M47" s="297">
        <f>SUM(DS56:ED56)</f>
        <v>0</v>
      </c>
      <c r="N47" s="239">
        <f>SUM(EE56:EP56)</f>
        <v>0</v>
      </c>
      <c r="O47" s="297">
        <f>SUM(EQ56:FB56)</f>
        <v>0</v>
      </c>
      <c r="P47" s="239">
        <f>SUM(FC56:FN56)</f>
        <v>0</v>
      </c>
      <c r="Q47" s="239">
        <f>SUM(FO56:FZ56)</f>
        <v>0</v>
      </c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153"/>
      <c r="BN47" s="153"/>
      <c r="BO47" s="153"/>
      <c r="BP47" s="153"/>
      <c r="BQ47" s="153"/>
      <c r="BR47" s="153"/>
      <c r="BS47" s="153"/>
      <c r="BT47" s="153"/>
      <c r="BU47" s="153"/>
      <c r="BV47" s="153"/>
      <c r="BW47" s="153"/>
      <c r="BX47" s="153"/>
      <c r="BY47" s="153"/>
      <c r="BZ47" s="153"/>
      <c r="CA47" s="153"/>
      <c r="CB47" s="153"/>
      <c r="CC47" s="153"/>
      <c r="CD47" s="153"/>
      <c r="CE47" s="153"/>
      <c r="CF47" s="153"/>
      <c r="CG47" s="153"/>
      <c r="CH47" s="153"/>
      <c r="CI47" s="153"/>
      <c r="CJ47" s="153"/>
      <c r="CK47" s="153"/>
      <c r="CL47" s="153"/>
      <c r="CM47" s="153"/>
      <c r="CN47" s="153"/>
      <c r="CO47" s="153"/>
      <c r="CP47" s="153"/>
      <c r="CQ47" s="153"/>
      <c r="CR47" s="153"/>
      <c r="CS47" s="153"/>
      <c r="CT47" s="153"/>
      <c r="CU47" s="153"/>
      <c r="CV47" s="153"/>
      <c r="CW47" s="153"/>
      <c r="CX47" s="153"/>
      <c r="CY47" s="153"/>
      <c r="CZ47" s="153"/>
      <c r="DA47" s="153"/>
      <c r="DB47" s="153"/>
      <c r="DC47" s="153"/>
      <c r="DD47" s="153"/>
      <c r="DE47" s="153"/>
      <c r="DF47" s="153"/>
      <c r="DG47" s="153"/>
      <c r="DH47" s="153"/>
      <c r="DI47" s="153"/>
      <c r="DJ47" s="153"/>
      <c r="DK47" s="153"/>
      <c r="DL47" s="153"/>
      <c r="DM47" s="153"/>
      <c r="DN47" s="153"/>
      <c r="DO47" s="153"/>
      <c r="DP47" s="153"/>
      <c r="DQ47" s="153"/>
      <c r="DR47" s="153"/>
      <c r="DS47" s="153"/>
      <c r="DT47" s="153"/>
      <c r="DU47" s="153"/>
      <c r="DV47" s="153"/>
      <c r="DW47" s="153"/>
      <c r="DX47" s="153"/>
      <c r="DY47" s="153"/>
      <c r="DZ47" s="153"/>
      <c r="EA47" s="153"/>
      <c r="EB47" s="153"/>
      <c r="EC47" s="153"/>
      <c r="ED47" s="153"/>
      <c r="EE47" s="153"/>
      <c r="EF47" s="153"/>
      <c r="EG47" s="153"/>
      <c r="EH47" s="153"/>
      <c r="EI47" s="153"/>
      <c r="EJ47" s="153"/>
      <c r="EK47" s="153"/>
      <c r="EL47" s="153"/>
      <c r="EM47" s="153"/>
      <c r="EN47" s="153"/>
      <c r="EO47" s="153"/>
      <c r="EP47" s="153"/>
      <c r="EQ47" s="153"/>
      <c r="ER47" s="153"/>
      <c r="ES47" s="153"/>
      <c r="ET47" s="153"/>
      <c r="EU47" s="153"/>
      <c r="EV47" s="153"/>
      <c r="EW47" s="153"/>
      <c r="EX47" s="153"/>
      <c r="EY47" s="153"/>
      <c r="EZ47" s="153"/>
      <c r="FA47" s="153"/>
      <c r="FB47" s="153"/>
      <c r="FC47" s="153"/>
      <c r="FD47" s="153"/>
      <c r="FE47" s="153"/>
      <c r="FF47" s="153"/>
      <c r="FG47" s="153"/>
      <c r="FH47" s="153"/>
      <c r="FI47" s="153"/>
      <c r="FJ47" s="153"/>
      <c r="FK47" s="153"/>
      <c r="FL47" s="153"/>
      <c r="FM47" s="153"/>
      <c r="FN47" s="153"/>
      <c r="FO47" s="153"/>
      <c r="FP47" s="153"/>
      <c r="FQ47" s="153"/>
      <c r="FR47" s="153"/>
      <c r="FS47" s="153"/>
      <c r="FT47" s="153"/>
      <c r="FU47" s="153"/>
      <c r="FV47" s="153"/>
      <c r="FW47" s="153"/>
      <c r="FX47" s="153"/>
      <c r="FY47" s="153"/>
      <c r="FZ47" s="153"/>
    </row>
    <row r="48" spans="1:182" ht="13.5" thickBot="1" x14ac:dyDescent="0.25">
      <c r="A48" s="236" t="s">
        <v>26</v>
      </c>
      <c r="B48" s="230"/>
      <c r="C48" s="251">
        <f>+C45-C47</f>
        <v>124520.08517462027</v>
      </c>
      <c r="D48" s="308">
        <f t="shared" ref="D48:Q48" si="4">+D45-D47</f>
        <v>96474.660903493292</v>
      </c>
      <c r="E48" s="251">
        <f t="shared" si="4"/>
        <v>66466.056933387445</v>
      </c>
      <c r="F48" s="251">
        <f t="shared" si="4"/>
        <v>34356.850685374171</v>
      </c>
      <c r="G48" s="299">
        <f t="shared" si="4"/>
        <v>0</v>
      </c>
      <c r="H48" s="251">
        <f t="shared" si="4"/>
        <v>0</v>
      </c>
      <c r="I48" s="299">
        <f t="shared" si="4"/>
        <v>0</v>
      </c>
      <c r="J48" s="251">
        <f t="shared" si="4"/>
        <v>0</v>
      </c>
      <c r="K48" s="299">
        <f t="shared" si="4"/>
        <v>0</v>
      </c>
      <c r="L48" s="251">
        <f t="shared" si="4"/>
        <v>0</v>
      </c>
      <c r="M48" s="299">
        <f t="shared" si="4"/>
        <v>0</v>
      </c>
      <c r="N48" s="251">
        <f t="shared" si="4"/>
        <v>0</v>
      </c>
      <c r="O48" s="299">
        <f t="shared" si="4"/>
        <v>0</v>
      </c>
      <c r="P48" s="251">
        <f t="shared" si="4"/>
        <v>0</v>
      </c>
      <c r="Q48" s="251">
        <f t="shared" si="4"/>
        <v>0</v>
      </c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3"/>
      <c r="BN48" s="153"/>
      <c r="BO48" s="153"/>
      <c r="BP48" s="153"/>
      <c r="BQ48" s="153"/>
      <c r="BR48" s="153"/>
      <c r="BS48" s="153"/>
      <c r="BT48" s="153"/>
      <c r="BU48" s="153"/>
      <c r="BV48" s="153"/>
      <c r="BW48" s="153"/>
      <c r="BX48" s="153"/>
      <c r="BY48" s="153"/>
      <c r="BZ48" s="153"/>
      <c r="CA48" s="153"/>
      <c r="CB48" s="153"/>
      <c r="CC48" s="153"/>
      <c r="CD48" s="153"/>
      <c r="CE48" s="153"/>
      <c r="CF48" s="153"/>
      <c r="CG48" s="153"/>
      <c r="CH48" s="153"/>
      <c r="CI48" s="153"/>
      <c r="CJ48" s="153"/>
      <c r="CK48" s="153"/>
      <c r="CL48" s="153"/>
      <c r="CM48" s="153"/>
      <c r="CN48" s="153"/>
      <c r="CO48" s="153"/>
      <c r="CP48" s="153"/>
      <c r="CQ48" s="153"/>
      <c r="CR48" s="153"/>
      <c r="CS48" s="153"/>
      <c r="CT48" s="153"/>
      <c r="CU48" s="153"/>
      <c r="CV48" s="153"/>
      <c r="CW48" s="153"/>
      <c r="CX48" s="153"/>
      <c r="CY48" s="153"/>
      <c r="CZ48" s="153"/>
      <c r="DA48" s="153"/>
      <c r="DB48" s="153"/>
      <c r="DC48" s="153"/>
      <c r="DD48" s="153"/>
      <c r="DE48" s="153"/>
      <c r="DF48" s="153"/>
      <c r="DG48" s="153"/>
      <c r="DH48" s="153"/>
      <c r="DI48" s="153"/>
      <c r="DJ48" s="153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153"/>
      <c r="ED48" s="153"/>
      <c r="EE48" s="153"/>
      <c r="EF48" s="153"/>
      <c r="EG48" s="153"/>
      <c r="EH48" s="153"/>
      <c r="EI48" s="153"/>
      <c r="EJ48" s="153"/>
      <c r="EK48" s="153"/>
      <c r="EL48" s="153"/>
      <c r="EM48" s="153"/>
      <c r="EN48" s="153"/>
      <c r="EO48" s="153"/>
      <c r="EP48" s="153"/>
      <c r="EQ48" s="153"/>
      <c r="ER48" s="153"/>
      <c r="ES48" s="153"/>
      <c r="ET48" s="153"/>
      <c r="EU48" s="153"/>
      <c r="EV48" s="153"/>
      <c r="EW48" s="153"/>
      <c r="EX48" s="153"/>
      <c r="EY48" s="153"/>
      <c r="EZ48" s="153"/>
      <c r="FA48" s="153"/>
      <c r="FB48" s="153"/>
      <c r="FC48" s="153"/>
      <c r="FD48" s="153"/>
      <c r="FE48" s="153"/>
      <c r="FF48" s="153"/>
      <c r="FG48" s="153"/>
      <c r="FH48" s="153"/>
      <c r="FI48" s="153"/>
      <c r="FJ48" s="153"/>
      <c r="FK48" s="153"/>
      <c r="FL48" s="153"/>
      <c r="FM48" s="153"/>
      <c r="FN48" s="153"/>
      <c r="FO48" s="153"/>
      <c r="FP48" s="153"/>
      <c r="FQ48" s="153"/>
      <c r="FR48" s="153"/>
      <c r="FS48" s="153"/>
      <c r="FT48" s="153"/>
      <c r="FU48" s="153"/>
      <c r="FV48" s="153"/>
      <c r="FW48" s="153"/>
      <c r="FX48" s="153"/>
      <c r="FY48" s="153"/>
      <c r="FZ48" s="153"/>
    </row>
    <row r="49" spans="1:182" x14ac:dyDescent="0.2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3"/>
      <c r="BN49" s="153"/>
      <c r="BO49" s="153"/>
      <c r="BP49" s="153"/>
      <c r="BQ49" s="153"/>
      <c r="BR49" s="153"/>
      <c r="BS49" s="153"/>
      <c r="BT49" s="153"/>
      <c r="BU49" s="153"/>
      <c r="BV49" s="153"/>
      <c r="BW49" s="153"/>
      <c r="BX49" s="153"/>
      <c r="BY49" s="153"/>
      <c r="BZ49" s="153"/>
      <c r="CA49" s="153"/>
      <c r="CB49" s="153"/>
      <c r="CC49" s="153"/>
      <c r="CD49" s="153"/>
      <c r="CE49" s="153"/>
      <c r="CF49" s="153"/>
      <c r="CG49" s="153"/>
      <c r="CH49" s="153"/>
      <c r="CI49" s="153"/>
      <c r="CJ49" s="153"/>
      <c r="CK49" s="153"/>
      <c r="CL49" s="153"/>
      <c r="CM49" s="153"/>
      <c r="CN49" s="153"/>
      <c r="CO49" s="153"/>
      <c r="CP49" s="153"/>
      <c r="CQ49" s="153"/>
      <c r="CR49" s="153"/>
      <c r="CS49" s="153"/>
      <c r="CT49" s="153"/>
      <c r="CU49" s="153"/>
      <c r="CV49" s="153"/>
      <c r="CW49" s="153"/>
      <c r="CX49" s="153"/>
      <c r="CY49" s="153"/>
      <c r="CZ49" s="153"/>
      <c r="DA49" s="153"/>
      <c r="DB49" s="153"/>
      <c r="DC49" s="153"/>
      <c r="DD49" s="153"/>
      <c r="DE49" s="153"/>
      <c r="DF49" s="153"/>
      <c r="DG49" s="153"/>
      <c r="DH49" s="153"/>
      <c r="DI49" s="153"/>
      <c r="DJ49" s="153"/>
      <c r="DK49" s="153"/>
      <c r="DL49" s="153"/>
      <c r="DM49" s="153"/>
      <c r="DN49" s="153"/>
      <c r="DO49" s="153"/>
      <c r="DP49" s="153"/>
      <c r="DQ49" s="153"/>
      <c r="DR49" s="153"/>
      <c r="DS49" s="153"/>
      <c r="DT49" s="153"/>
      <c r="DU49" s="153"/>
      <c r="DV49" s="153"/>
      <c r="DW49" s="153"/>
      <c r="DX49" s="153"/>
      <c r="DY49" s="153"/>
      <c r="DZ49" s="153"/>
      <c r="EA49" s="153"/>
      <c r="EB49" s="153"/>
      <c r="EC49" s="153"/>
      <c r="ED49" s="153"/>
      <c r="EE49" s="153"/>
      <c r="EF49" s="153"/>
      <c r="EG49" s="153"/>
      <c r="EH49" s="153"/>
      <c r="EI49" s="153"/>
      <c r="EJ49" s="153"/>
      <c r="EK49" s="153"/>
      <c r="EL49" s="153"/>
      <c r="EM49" s="153"/>
      <c r="EN49" s="153"/>
      <c r="EO49" s="153"/>
      <c r="EP49" s="153"/>
      <c r="EQ49" s="153"/>
      <c r="ER49" s="153"/>
      <c r="ES49" s="153"/>
      <c r="ET49" s="153"/>
      <c r="EU49" s="153"/>
      <c r="EV49" s="153"/>
      <c r="EW49" s="153"/>
      <c r="EX49" s="153"/>
      <c r="EY49" s="153"/>
      <c r="EZ49" s="153"/>
      <c r="FA49" s="153"/>
      <c r="FB49" s="153"/>
      <c r="FC49" s="153"/>
      <c r="FD49" s="153"/>
      <c r="FE49" s="153"/>
      <c r="FF49" s="153"/>
      <c r="FG49" s="153"/>
      <c r="FH49" s="153"/>
      <c r="FI49" s="153"/>
      <c r="FJ49" s="153"/>
      <c r="FK49" s="153"/>
      <c r="FL49" s="153"/>
      <c r="FM49" s="153"/>
      <c r="FN49" s="153"/>
      <c r="FO49" s="153"/>
      <c r="FP49" s="153"/>
      <c r="FQ49" s="153"/>
      <c r="FR49" s="153"/>
      <c r="FS49" s="153"/>
      <c r="FT49" s="153"/>
      <c r="FU49" s="153"/>
      <c r="FV49" s="153"/>
      <c r="FW49" s="153"/>
      <c r="FX49" s="153"/>
      <c r="FY49" s="153"/>
      <c r="FZ49" s="153"/>
    </row>
    <row r="50" spans="1:182" x14ac:dyDescent="0.2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153"/>
      <c r="BN50" s="153"/>
      <c r="BO50" s="153"/>
      <c r="BP50" s="153"/>
      <c r="BQ50" s="153"/>
      <c r="BR50" s="153"/>
      <c r="BS50" s="153"/>
      <c r="BT50" s="153"/>
      <c r="BU50" s="153"/>
      <c r="BV50" s="153"/>
      <c r="BW50" s="153"/>
      <c r="BX50" s="153"/>
      <c r="BY50" s="153"/>
      <c r="BZ50" s="153"/>
      <c r="CA50" s="153"/>
      <c r="CB50" s="153"/>
      <c r="CC50" s="153"/>
      <c r="CD50" s="153"/>
      <c r="CE50" s="153"/>
      <c r="CF50" s="153"/>
      <c r="CG50" s="153"/>
      <c r="CH50" s="153"/>
      <c r="CI50" s="153"/>
      <c r="CJ50" s="153"/>
      <c r="CK50" s="153"/>
      <c r="CL50" s="153"/>
      <c r="CM50" s="153"/>
      <c r="CN50" s="153"/>
      <c r="CO50" s="153"/>
      <c r="CP50" s="153"/>
      <c r="CQ50" s="153"/>
      <c r="CR50" s="153"/>
      <c r="CS50" s="153"/>
      <c r="CT50" s="153"/>
      <c r="CU50" s="153"/>
      <c r="CV50" s="153"/>
      <c r="CW50" s="153"/>
      <c r="CX50" s="153"/>
      <c r="CY50" s="153"/>
      <c r="CZ50" s="153"/>
      <c r="DA50" s="153"/>
      <c r="DB50" s="153"/>
      <c r="DC50" s="153"/>
      <c r="DD50" s="153"/>
      <c r="DE50" s="153"/>
      <c r="DF50" s="153"/>
      <c r="DG50" s="153"/>
      <c r="DH50" s="153"/>
      <c r="DI50" s="153"/>
      <c r="DJ50" s="153"/>
      <c r="DK50" s="153"/>
      <c r="DL50" s="153"/>
      <c r="DM50" s="153"/>
      <c r="DN50" s="153"/>
      <c r="DO50" s="153"/>
      <c r="DP50" s="153"/>
      <c r="DQ50" s="153"/>
      <c r="DR50" s="153"/>
      <c r="DS50" s="153"/>
      <c r="DT50" s="153"/>
      <c r="DU50" s="153"/>
      <c r="DV50" s="153"/>
      <c r="DW50" s="153"/>
      <c r="DX50" s="153"/>
      <c r="DY50" s="153"/>
      <c r="DZ50" s="153"/>
      <c r="EA50" s="153"/>
      <c r="EB50" s="153"/>
      <c r="EC50" s="153"/>
      <c r="ED50" s="153"/>
      <c r="EE50" s="153"/>
      <c r="EF50" s="153"/>
      <c r="EG50" s="153"/>
      <c r="EH50" s="153"/>
      <c r="EI50" s="153"/>
      <c r="EJ50" s="153"/>
      <c r="EK50" s="153"/>
      <c r="EL50" s="153"/>
      <c r="EM50" s="153"/>
      <c r="EN50" s="153"/>
      <c r="EO50" s="153"/>
      <c r="EP50" s="153"/>
      <c r="EQ50" s="153"/>
      <c r="ER50" s="153"/>
      <c r="ES50" s="153"/>
      <c r="ET50" s="153"/>
      <c r="EU50" s="153"/>
      <c r="EV50" s="153"/>
      <c r="EW50" s="153"/>
      <c r="EX50" s="153"/>
      <c r="EY50" s="153"/>
      <c r="EZ50" s="153"/>
      <c r="FA50" s="153"/>
      <c r="FB50" s="153"/>
      <c r="FC50" s="153"/>
      <c r="FD50" s="153"/>
      <c r="FE50" s="153"/>
      <c r="FF50" s="153"/>
      <c r="FG50" s="153"/>
      <c r="FH50" s="153"/>
      <c r="FI50" s="153"/>
      <c r="FJ50" s="153"/>
      <c r="FK50" s="153"/>
      <c r="FL50" s="153"/>
      <c r="FM50" s="153"/>
      <c r="FN50" s="153"/>
      <c r="FO50" s="153"/>
      <c r="FP50" s="153"/>
      <c r="FQ50" s="153"/>
      <c r="FR50" s="153"/>
      <c r="FS50" s="153"/>
      <c r="FT50" s="153"/>
      <c r="FU50" s="153"/>
      <c r="FV50" s="153"/>
      <c r="FW50" s="153"/>
      <c r="FX50" s="153"/>
      <c r="FY50" s="153"/>
      <c r="FZ50" s="153"/>
    </row>
    <row r="51" spans="1:182" ht="13.5" thickBot="1" x14ac:dyDescent="0.25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  <c r="BJ51" s="153"/>
      <c r="BK51" s="153"/>
      <c r="BL51" s="153"/>
      <c r="BM51" s="153"/>
      <c r="BN51" s="153"/>
      <c r="BO51" s="153"/>
      <c r="BP51" s="153"/>
      <c r="BQ51" s="153"/>
      <c r="BR51" s="153"/>
      <c r="BS51" s="153"/>
      <c r="BT51" s="153"/>
      <c r="BU51" s="153"/>
      <c r="BV51" s="153"/>
      <c r="BW51" s="153"/>
      <c r="BX51" s="153"/>
      <c r="BY51" s="153"/>
      <c r="BZ51" s="153"/>
      <c r="CA51" s="153"/>
      <c r="CB51" s="153"/>
      <c r="CC51" s="153"/>
      <c r="CD51" s="153"/>
      <c r="CE51" s="153"/>
      <c r="CF51" s="153"/>
      <c r="CG51" s="153"/>
      <c r="CH51" s="153"/>
      <c r="CI51" s="153"/>
      <c r="CJ51" s="153"/>
      <c r="CK51" s="153"/>
      <c r="CL51" s="153"/>
      <c r="CM51" s="153"/>
      <c r="CN51" s="153"/>
      <c r="CO51" s="153"/>
      <c r="CP51" s="153"/>
      <c r="CQ51" s="153"/>
      <c r="CR51" s="153"/>
      <c r="CS51" s="153"/>
      <c r="CT51" s="153"/>
      <c r="CU51" s="153"/>
      <c r="CV51" s="153"/>
      <c r="CW51" s="153"/>
      <c r="CX51" s="153"/>
      <c r="CY51" s="153"/>
      <c r="CZ51" s="153"/>
      <c r="DA51" s="153"/>
      <c r="DB51" s="153"/>
      <c r="DC51" s="153"/>
      <c r="DD51" s="153"/>
      <c r="DE51" s="153"/>
      <c r="DF51" s="153"/>
      <c r="DG51" s="153"/>
      <c r="DH51" s="153"/>
      <c r="DI51" s="153"/>
      <c r="DJ51" s="153"/>
      <c r="DK51" s="153"/>
      <c r="DL51" s="153"/>
      <c r="DM51" s="153"/>
      <c r="DN51" s="153"/>
      <c r="DO51" s="153"/>
      <c r="DP51" s="153"/>
      <c r="DQ51" s="153"/>
      <c r="DR51" s="153"/>
      <c r="DS51" s="153"/>
      <c r="DT51" s="153"/>
      <c r="DU51" s="153"/>
      <c r="DV51" s="153"/>
      <c r="DW51" s="153"/>
      <c r="DX51" s="153"/>
      <c r="DY51" s="153"/>
      <c r="DZ51" s="153"/>
      <c r="EA51" s="153"/>
      <c r="EB51" s="153"/>
      <c r="EC51" s="153"/>
      <c r="ED51" s="153"/>
      <c r="EE51" s="153"/>
      <c r="EF51" s="153"/>
      <c r="EG51" s="153"/>
      <c r="EH51" s="153"/>
      <c r="EI51" s="153"/>
      <c r="EJ51" s="153"/>
      <c r="EK51" s="153"/>
      <c r="EL51" s="153"/>
      <c r="EM51" s="153"/>
      <c r="EN51" s="153"/>
      <c r="EO51" s="153"/>
      <c r="EP51" s="153"/>
      <c r="EQ51" s="153"/>
      <c r="ER51" s="153"/>
      <c r="ES51" s="153"/>
      <c r="ET51" s="153"/>
      <c r="EU51" s="153"/>
      <c r="EV51" s="153"/>
      <c r="EW51" s="153"/>
      <c r="EX51" s="153"/>
      <c r="EY51" s="153"/>
      <c r="EZ51" s="153"/>
      <c r="FA51" s="153"/>
      <c r="FB51" s="153"/>
      <c r="FC51" s="153"/>
      <c r="FD51" s="153"/>
      <c r="FE51" s="153"/>
      <c r="FF51" s="153"/>
      <c r="FG51" s="153"/>
      <c r="FH51" s="153"/>
      <c r="FI51" s="153"/>
      <c r="FJ51" s="153"/>
      <c r="FK51" s="153"/>
      <c r="FL51" s="153"/>
      <c r="FM51" s="153"/>
      <c r="FN51" s="153"/>
      <c r="FO51" s="153"/>
      <c r="FP51" s="153"/>
      <c r="FQ51" s="153"/>
      <c r="FR51" s="153"/>
      <c r="FS51" s="153"/>
      <c r="FT51" s="153"/>
      <c r="FU51" s="153"/>
      <c r="FV51" s="153"/>
      <c r="FW51" s="153"/>
      <c r="FX51" s="153"/>
      <c r="FY51" s="153"/>
      <c r="FZ51" s="153"/>
    </row>
    <row r="52" spans="1:182" ht="13.5" thickBot="1" x14ac:dyDescent="0.25">
      <c r="A52" s="249" t="s">
        <v>4</v>
      </c>
      <c r="B52" s="292">
        <v>0</v>
      </c>
      <c r="C52" s="249">
        <v>1</v>
      </c>
      <c r="D52" s="292">
        <v>2</v>
      </c>
      <c r="E52" s="249">
        <v>3</v>
      </c>
      <c r="F52" s="292">
        <v>4</v>
      </c>
      <c r="G52" s="249">
        <v>5</v>
      </c>
      <c r="H52" s="249">
        <v>6</v>
      </c>
      <c r="I52" s="292">
        <v>7</v>
      </c>
      <c r="J52" s="249">
        <v>8</v>
      </c>
      <c r="K52" s="292">
        <v>9</v>
      </c>
      <c r="L52" s="249">
        <v>10</v>
      </c>
      <c r="M52" s="249">
        <v>11</v>
      </c>
      <c r="N52" s="292">
        <v>12</v>
      </c>
      <c r="O52" s="249">
        <v>13</v>
      </c>
      <c r="P52" s="292">
        <v>14</v>
      </c>
      <c r="Q52" s="249">
        <v>15</v>
      </c>
      <c r="R52" s="249">
        <f>+Q52+1</f>
        <v>16</v>
      </c>
      <c r="S52" s="249">
        <f t="shared" ref="S52:CD52" si="5">+R52+1</f>
        <v>17</v>
      </c>
      <c r="T52" s="249">
        <f t="shared" si="5"/>
        <v>18</v>
      </c>
      <c r="U52" s="249">
        <f t="shared" si="5"/>
        <v>19</v>
      </c>
      <c r="V52" s="249">
        <f t="shared" si="5"/>
        <v>20</v>
      </c>
      <c r="W52" s="249">
        <f t="shared" si="5"/>
        <v>21</v>
      </c>
      <c r="X52" s="249">
        <f t="shared" si="5"/>
        <v>22</v>
      </c>
      <c r="Y52" s="249">
        <f t="shared" si="5"/>
        <v>23</v>
      </c>
      <c r="Z52" s="249">
        <f t="shared" si="5"/>
        <v>24</v>
      </c>
      <c r="AA52" s="249">
        <f t="shared" si="5"/>
        <v>25</v>
      </c>
      <c r="AB52" s="249">
        <f t="shared" si="5"/>
        <v>26</v>
      </c>
      <c r="AC52" s="249">
        <f t="shared" si="5"/>
        <v>27</v>
      </c>
      <c r="AD52" s="249">
        <f t="shared" si="5"/>
        <v>28</v>
      </c>
      <c r="AE52" s="249">
        <f t="shared" si="5"/>
        <v>29</v>
      </c>
      <c r="AF52" s="249">
        <f t="shared" si="5"/>
        <v>30</v>
      </c>
      <c r="AG52" s="249">
        <f t="shared" si="5"/>
        <v>31</v>
      </c>
      <c r="AH52" s="249">
        <f t="shared" si="5"/>
        <v>32</v>
      </c>
      <c r="AI52" s="249">
        <f t="shared" si="5"/>
        <v>33</v>
      </c>
      <c r="AJ52" s="249">
        <f t="shared" si="5"/>
        <v>34</v>
      </c>
      <c r="AK52" s="249">
        <f t="shared" si="5"/>
        <v>35</v>
      </c>
      <c r="AL52" s="249">
        <f t="shared" si="5"/>
        <v>36</v>
      </c>
      <c r="AM52" s="249">
        <f t="shared" si="5"/>
        <v>37</v>
      </c>
      <c r="AN52" s="249">
        <f t="shared" si="5"/>
        <v>38</v>
      </c>
      <c r="AO52" s="249">
        <f t="shared" si="5"/>
        <v>39</v>
      </c>
      <c r="AP52" s="249">
        <f t="shared" si="5"/>
        <v>40</v>
      </c>
      <c r="AQ52" s="249">
        <f t="shared" si="5"/>
        <v>41</v>
      </c>
      <c r="AR52" s="249">
        <f t="shared" si="5"/>
        <v>42</v>
      </c>
      <c r="AS52" s="249">
        <f t="shared" si="5"/>
        <v>43</v>
      </c>
      <c r="AT52" s="249">
        <f t="shared" si="5"/>
        <v>44</v>
      </c>
      <c r="AU52" s="249">
        <f t="shared" si="5"/>
        <v>45</v>
      </c>
      <c r="AV52" s="249">
        <f t="shared" si="5"/>
        <v>46</v>
      </c>
      <c r="AW52" s="249">
        <f t="shared" si="5"/>
        <v>47</v>
      </c>
      <c r="AX52" s="249">
        <f t="shared" si="5"/>
        <v>48</v>
      </c>
      <c r="AY52" s="249">
        <f t="shared" si="5"/>
        <v>49</v>
      </c>
      <c r="AZ52" s="249">
        <f t="shared" si="5"/>
        <v>50</v>
      </c>
      <c r="BA52" s="249">
        <f t="shared" si="5"/>
        <v>51</v>
      </c>
      <c r="BB52" s="249">
        <f t="shared" si="5"/>
        <v>52</v>
      </c>
      <c r="BC52" s="249">
        <f t="shared" si="5"/>
        <v>53</v>
      </c>
      <c r="BD52" s="249">
        <f t="shared" si="5"/>
        <v>54</v>
      </c>
      <c r="BE52" s="249">
        <f t="shared" si="5"/>
        <v>55</v>
      </c>
      <c r="BF52" s="249">
        <f t="shared" si="5"/>
        <v>56</v>
      </c>
      <c r="BG52" s="249">
        <f t="shared" si="5"/>
        <v>57</v>
      </c>
      <c r="BH52" s="249">
        <f t="shared" si="5"/>
        <v>58</v>
      </c>
      <c r="BI52" s="249">
        <f t="shared" si="5"/>
        <v>59</v>
      </c>
      <c r="BJ52" s="249">
        <f t="shared" si="5"/>
        <v>60</v>
      </c>
      <c r="BK52" s="249">
        <f t="shared" si="5"/>
        <v>61</v>
      </c>
      <c r="BL52" s="249">
        <f t="shared" si="5"/>
        <v>62</v>
      </c>
      <c r="BM52" s="249">
        <f t="shared" si="5"/>
        <v>63</v>
      </c>
      <c r="BN52" s="249">
        <f t="shared" si="5"/>
        <v>64</v>
      </c>
      <c r="BO52" s="249">
        <f t="shared" si="5"/>
        <v>65</v>
      </c>
      <c r="BP52" s="249">
        <f t="shared" si="5"/>
        <v>66</v>
      </c>
      <c r="BQ52" s="249">
        <f t="shared" si="5"/>
        <v>67</v>
      </c>
      <c r="BR52" s="249">
        <f t="shared" si="5"/>
        <v>68</v>
      </c>
      <c r="BS52" s="249">
        <f t="shared" si="5"/>
        <v>69</v>
      </c>
      <c r="BT52" s="249">
        <f t="shared" si="5"/>
        <v>70</v>
      </c>
      <c r="BU52" s="249">
        <f t="shared" si="5"/>
        <v>71</v>
      </c>
      <c r="BV52" s="249">
        <f t="shared" si="5"/>
        <v>72</v>
      </c>
      <c r="BW52" s="249">
        <f t="shared" si="5"/>
        <v>73</v>
      </c>
      <c r="BX52" s="249">
        <f t="shared" si="5"/>
        <v>74</v>
      </c>
      <c r="BY52" s="249">
        <f t="shared" si="5"/>
        <v>75</v>
      </c>
      <c r="BZ52" s="249">
        <f t="shared" si="5"/>
        <v>76</v>
      </c>
      <c r="CA52" s="249">
        <f t="shared" si="5"/>
        <v>77</v>
      </c>
      <c r="CB52" s="249">
        <f t="shared" si="5"/>
        <v>78</v>
      </c>
      <c r="CC52" s="249">
        <f t="shared" si="5"/>
        <v>79</v>
      </c>
      <c r="CD52" s="249">
        <f t="shared" si="5"/>
        <v>80</v>
      </c>
      <c r="CE52" s="249">
        <f t="shared" ref="CE52:EP52" si="6">+CD52+1</f>
        <v>81</v>
      </c>
      <c r="CF52" s="249">
        <f t="shared" si="6"/>
        <v>82</v>
      </c>
      <c r="CG52" s="249">
        <f t="shared" si="6"/>
        <v>83</v>
      </c>
      <c r="CH52" s="249">
        <f t="shared" si="6"/>
        <v>84</v>
      </c>
      <c r="CI52" s="249">
        <f t="shared" si="6"/>
        <v>85</v>
      </c>
      <c r="CJ52" s="249">
        <f t="shared" si="6"/>
        <v>86</v>
      </c>
      <c r="CK52" s="249">
        <f t="shared" si="6"/>
        <v>87</v>
      </c>
      <c r="CL52" s="249">
        <f t="shared" si="6"/>
        <v>88</v>
      </c>
      <c r="CM52" s="249">
        <f t="shared" si="6"/>
        <v>89</v>
      </c>
      <c r="CN52" s="249">
        <f t="shared" si="6"/>
        <v>90</v>
      </c>
      <c r="CO52" s="249">
        <f t="shared" si="6"/>
        <v>91</v>
      </c>
      <c r="CP52" s="249">
        <f t="shared" si="6"/>
        <v>92</v>
      </c>
      <c r="CQ52" s="249">
        <f t="shared" si="6"/>
        <v>93</v>
      </c>
      <c r="CR52" s="249">
        <f t="shared" si="6"/>
        <v>94</v>
      </c>
      <c r="CS52" s="249">
        <f t="shared" si="6"/>
        <v>95</v>
      </c>
      <c r="CT52" s="249">
        <f t="shared" si="6"/>
        <v>96</v>
      </c>
      <c r="CU52" s="249">
        <f t="shared" si="6"/>
        <v>97</v>
      </c>
      <c r="CV52" s="249">
        <f t="shared" si="6"/>
        <v>98</v>
      </c>
      <c r="CW52" s="249">
        <f t="shared" si="6"/>
        <v>99</v>
      </c>
      <c r="CX52" s="249">
        <f t="shared" si="6"/>
        <v>100</v>
      </c>
      <c r="CY52" s="249">
        <f t="shared" si="6"/>
        <v>101</v>
      </c>
      <c r="CZ52" s="249">
        <f t="shared" si="6"/>
        <v>102</v>
      </c>
      <c r="DA52" s="249">
        <f t="shared" si="6"/>
        <v>103</v>
      </c>
      <c r="DB52" s="249">
        <f t="shared" si="6"/>
        <v>104</v>
      </c>
      <c r="DC52" s="249">
        <f t="shared" si="6"/>
        <v>105</v>
      </c>
      <c r="DD52" s="249">
        <f t="shared" si="6"/>
        <v>106</v>
      </c>
      <c r="DE52" s="249">
        <f t="shared" si="6"/>
        <v>107</v>
      </c>
      <c r="DF52" s="249">
        <f t="shared" si="6"/>
        <v>108</v>
      </c>
      <c r="DG52" s="249">
        <f t="shared" si="6"/>
        <v>109</v>
      </c>
      <c r="DH52" s="249">
        <f t="shared" si="6"/>
        <v>110</v>
      </c>
      <c r="DI52" s="249">
        <f t="shared" si="6"/>
        <v>111</v>
      </c>
      <c r="DJ52" s="249">
        <f t="shared" si="6"/>
        <v>112</v>
      </c>
      <c r="DK52" s="249">
        <f t="shared" si="6"/>
        <v>113</v>
      </c>
      <c r="DL52" s="249">
        <f t="shared" si="6"/>
        <v>114</v>
      </c>
      <c r="DM52" s="249">
        <f t="shared" si="6"/>
        <v>115</v>
      </c>
      <c r="DN52" s="249">
        <f t="shared" si="6"/>
        <v>116</v>
      </c>
      <c r="DO52" s="249">
        <f t="shared" si="6"/>
        <v>117</v>
      </c>
      <c r="DP52" s="249">
        <f t="shared" si="6"/>
        <v>118</v>
      </c>
      <c r="DQ52" s="249">
        <f t="shared" si="6"/>
        <v>119</v>
      </c>
      <c r="DR52" s="249">
        <f t="shared" si="6"/>
        <v>120</v>
      </c>
      <c r="DS52" s="249">
        <f t="shared" si="6"/>
        <v>121</v>
      </c>
      <c r="DT52" s="249">
        <f t="shared" si="6"/>
        <v>122</v>
      </c>
      <c r="DU52" s="249">
        <f t="shared" si="6"/>
        <v>123</v>
      </c>
      <c r="DV52" s="249">
        <f t="shared" si="6"/>
        <v>124</v>
      </c>
      <c r="DW52" s="249">
        <f t="shared" si="6"/>
        <v>125</v>
      </c>
      <c r="DX52" s="249">
        <f t="shared" si="6"/>
        <v>126</v>
      </c>
      <c r="DY52" s="249">
        <f t="shared" si="6"/>
        <v>127</v>
      </c>
      <c r="DZ52" s="249">
        <f t="shared" si="6"/>
        <v>128</v>
      </c>
      <c r="EA52" s="249">
        <f t="shared" si="6"/>
        <v>129</v>
      </c>
      <c r="EB52" s="249">
        <f t="shared" si="6"/>
        <v>130</v>
      </c>
      <c r="EC52" s="249">
        <f t="shared" si="6"/>
        <v>131</v>
      </c>
      <c r="ED52" s="249">
        <f t="shared" si="6"/>
        <v>132</v>
      </c>
      <c r="EE52" s="249">
        <f t="shared" si="6"/>
        <v>133</v>
      </c>
      <c r="EF52" s="249">
        <f t="shared" si="6"/>
        <v>134</v>
      </c>
      <c r="EG52" s="249">
        <f t="shared" si="6"/>
        <v>135</v>
      </c>
      <c r="EH52" s="249">
        <f t="shared" si="6"/>
        <v>136</v>
      </c>
      <c r="EI52" s="249">
        <f t="shared" si="6"/>
        <v>137</v>
      </c>
      <c r="EJ52" s="249">
        <f t="shared" si="6"/>
        <v>138</v>
      </c>
      <c r="EK52" s="249">
        <f t="shared" si="6"/>
        <v>139</v>
      </c>
      <c r="EL52" s="249">
        <f t="shared" si="6"/>
        <v>140</v>
      </c>
      <c r="EM52" s="249">
        <f t="shared" si="6"/>
        <v>141</v>
      </c>
      <c r="EN52" s="249">
        <f t="shared" si="6"/>
        <v>142</v>
      </c>
      <c r="EO52" s="249">
        <f t="shared" si="6"/>
        <v>143</v>
      </c>
      <c r="EP52" s="249">
        <f t="shared" si="6"/>
        <v>144</v>
      </c>
      <c r="EQ52" s="249">
        <f t="shared" ref="EQ52:FZ52" si="7">+EP52+1</f>
        <v>145</v>
      </c>
      <c r="ER52" s="249">
        <f t="shared" si="7"/>
        <v>146</v>
      </c>
      <c r="ES52" s="249">
        <f t="shared" si="7"/>
        <v>147</v>
      </c>
      <c r="ET52" s="249">
        <f t="shared" si="7"/>
        <v>148</v>
      </c>
      <c r="EU52" s="249">
        <f t="shared" si="7"/>
        <v>149</v>
      </c>
      <c r="EV52" s="249">
        <f t="shared" si="7"/>
        <v>150</v>
      </c>
      <c r="EW52" s="249">
        <f t="shared" si="7"/>
        <v>151</v>
      </c>
      <c r="EX52" s="249">
        <f t="shared" si="7"/>
        <v>152</v>
      </c>
      <c r="EY52" s="249">
        <f t="shared" si="7"/>
        <v>153</v>
      </c>
      <c r="EZ52" s="249">
        <f t="shared" si="7"/>
        <v>154</v>
      </c>
      <c r="FA52" s="249">
        <f t="shared" si="7"/>
        <v>155</v>
      </c>
      <c r="FB52" s="249">
        <f t="shared" si="7"/>
        <v>156</v>
      </c>
      <c r="FC52" s="249">
        <f t="shared" si="7"/>
        <v>157</v>
      </c>
      <c r="FD52" s="249">
        <f t="shared" si="7"/>
        <v>158</v>
      </c>
      <c r="FE52" s="249">
        <f t="shared" si="7"/>
        <v>159</v>
      </c>
      <c r="FF52" s="249">
        <f t="shared" si="7"/>
        <v>160</v>
      </c>
      <c r="FG52" s="249">
        <f t="shared" si="7"/>
        <v>161</v>
      </c>
      <c r="FH52" s="249">
        <f t="shared" si="7"/>
        <v>162</v>
      </c>
      <c r="FI52" s="249">
        <f t="shared" si="7"/>
        <v>163</v>
      </c>
      <c r="FJ52" s="249">
        <f t="shared" si="7"/>
        <v>164</v>
      </c>
      <c r="FK52" s="249">
        <f t="shared" si="7"/>
        <v>165</v>
      </c>
      <c r="FL52" s="249">
        <f t="shared" si="7"/>
        <v>166</v>
      </c>
      <c r="FM52" s="249">
        <f t="shared" si="7"/>
        <v>167</v>
      </c>
      <c r="FN52" s="249">
        <f t="shared" si="7"/>
        <v>168</v>
      </c>
      <c r="FO52" s="249">
        <f t="shared" si="7"/>
        <v>169</v>
      </c>
      <c r="FP52" s="249">
        <f t="shared" si="7"/>
        <v>170</v>
      </c>
      <c r="FQ52" s="249">
        <f t="shared" si="7"/>
        <v>171</v>
      </c>
      <c r="FR52" s="249">
        <f t="shared" si="7"/>
        <v>172</v>
      </c>
      <c r="FS52" s="249">
        <f t="shared" si="7"/>
        <v>173</v>
      </c>
      <c r="FT52" s="249">
        <f t="shared" si="7"/>
        <v>174</v>
      </c>
      <c r="FU52" s="249">
        <f t="shared" si="7"/>
        <v>175</v>
      </c>
      <c r="FV52" s="249">
        <f t="shared" si="7"/>
        <v>176</v>
      </c>
      <c r="FW52" s="249">
        <f t="shared" si="7"/>
        <v>177</v>
      </c>
      <c r="FX52" s="249">
        <f t="shared" si="7"/>
        <v>178</v>
      </c>
      <c r="FY52" s="249">
        <f t="shared" si="7"/>
        <v>179</v>
      </c>
      <c r="FZ52" s="249">
        <f t="shared" si="7"/>
        <v>180</v>
      </c>
    </row>
    <row r="53" spans="1:182" ht="13.5" thickBot="1" x14ac:dyDescent="0.2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  <c r="BJ53" s="153"/>
      <c r="BK53" s="153"/>
      <c r="BL53" s="153"/>
      <c r="BM53" s="153"/>
      <c r="BN53" s="153"/>
      <c r="BO53" s="153"/>
      <c r="BP53" s="153"/>
      <c r="BQ53" s="153"/>
      <c r="BR53" s="153"/>
      <c r="BS53" s="153"/>
      <c r="BT53" s="153"/>
      <c r="BU53" s="153"/>
      <c r="BV53" s="153"/>
      <c r="BW53" s="153"/>
      <c r="BX53" s="153"/>
      <c r="BY53" s="153"/>
      <c r="BZ53" s="153"/>
      <c r="CA53" s="153"/>
      <c r="CB53" s="153"/>
      <c r="CC53" s="153"/>
      <c r="CD53" s="153"/>
      <c r="CE53" s="153"/>
      <c r="CF53" s="153"/>
      <c r="CG53" s="153"/>
      <c r="CH53" s="153"/>
      <c r="CI53" s="153"/>
      <c r="CJ53" s="153"/>
      <c r="CK53" s="153"/>
      <c r="CL53" s="153"/>
      <c r="CM53" s="153"/>
      <c r="CN53" s="153"/>
      <c r="CO53" s="153"/>
      <c r="CP53" s="153"/>
      <c r="CQ53" s="153"/>
      <c r="CR53" s="153"/>
      <c r="CS53" s="153"/>
      <c r="CT53" s="153"/>
      <c r="CU53" s="153"/>
      <c r="CV53" s="153"/>
      <c r="CW53" s="153"/>
      <c r="CX53" s="153"/>
      <c r="CY53" s="153"/>
      <c r="CZ53" s="153"/>
      <c r="DA53" s="153"/>
      <c r="DB53" s="153"/>
      <c r="DC53" s="153"/>
      <c r="DD53" s="153"/>
      <c r="DE53" s="153"/>
      <c r="DF53" s="153"/>
      <c r="DG53" s="153"/>
      <c r="DH53" s="153"/>
      <c r="DI53" s="153"/>
      <c r="DJ53" s="153"/>
      <c r="DK53" s="153"/>
      <c r="DL53" s="153"/>
      <c r="DM53" s="153"/>
      <c r="DN53" s="153"/>
      <c r="DO53" s="153"/>
      <c r="DP53" s="153"/>
      <c r="DQ53" s="153"/>
      <c r="DR53" s="153"/>
      <c r="DS53" s="153"/>
      <c r="DT53" s="153"/>
      <c r="DU53" s="153"/>
      <c r="DV53" s="153"/>
      <c r="DW53" s="153"/>
      <c r="DX53" s="153"/>
      <c r="DY53" s="153"/>
      <c r="DZ53" s="153"/>
      <c r="EA53" s="153"/>
      <c r="EB53" s="153"/>
      <c r="EC53" s="153"/>
      <c r="ED53" s="153"/>
      <c r="EE53" s="153"/>
      <c r="EF53" s="153"/>
      <c r="EG53" s="153"/>
      <c r="EH53" s="153"/>
      <c r="EI53" s="153"/>
      <c r="EJ53" s="153"/>
      <c r="EK53" s="153"/>
      <c r="EL53" s="153"/>
      <c r="EM53" s="153"/>
      <c r="EN53" s="153"/>
      <c r="EO53" s="153"/>
      <c r="EP53" s="153"/>
      <c r="EQ53" s="153"/>
      <c r="ER53" s="153"/>
      <c r="ES53" s="153"/>
      <c r="ET53" s="153"/>
      <c r="EU53" s="153"/>
      <c r="EV53" s="153"/>
      <c r="EW53" s="153"/>
      <c r="EX53" s="153"/>
      <c r="EY53" s="153"/>
      <c r="EZ53" s="153"/>
      <c r="FA53" s="153"/>
      <c r="FB53" s="153"/>
      <c r="FC53" s="153"/>
      <c r="FD53" s="153"/>
      <c r="FE53" s="153"/>
      <c r="FF53" s="153"/>
      <c r="FG53" s="153"/>
      <c r="FH53" s="153"/>
      <c r="FI53" s="153"/>
      <c r="FJ53" s="153"/>
      <c r="FK53" s="153"/>
      <c r="FL53" s="153"/>
      <c r="FM53" s="153"/>
      <c r="FN53" s="153"/>
      <c r="FO53" s="153"/>
      <c r="FP53" s="153"/>
      <c r="FQ53" s="153"/>
      <c r="FR53" s="153"/>
      <c r="FS53" s="153"/>
      <c r="FT53" s="153"/>
      <c r="FU53" s="153"/>
      <c r="FV53" s="153"/>
      <c r="FW53" s="153"/>
      <c r="FX53" s="153"/>
      <c r="FY53" s="153"/>
      <c r="FZ53" s="153"/>
    </row>
    <row r="54" spans="1:182" x14ac:dyDescent="0.2">
      <c r="A54" s="293" t="str">
        <f>Inicio!C245</f>
        <v>Préstamo 1</v>
      </c>
      <c r="B54" s="309">
        <f>IF(Inicio!$C$229=1,('inversión inicial'!C29),Inicio!F232)</f>
        <v>150730.76206352399</v>
      </c>
      <c r="C54" s="310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  <c r="P54" s="311"/>
      <c r="Q54" s="311"/>
      <c r="R54" s="311"/>
      <c r="S54" s="311"/>
      <c r="T54" s="311"/>
      <c r="U54" s="311"/>
      <c r="V54" s="311"/>
      <c r="W54" s="311"/>
      <c r="X54" s="311"/>
      <c r="Y54" s="311"/>
      <c r="Z54" s="311"/>
      <c r="AA54" s="311"/>
      <c r="AB54" s="311"/>
      <c r="AC54" s="311"/>
      <c r="AD54" s="311"/>
      <c r="AE54" s="311"/>
      <c r="AF54" s="311"/>
      <c r="AG54" s="311"/>
      <c r="AH54" s="311"/>
      <c r="AI54" s="311"/>
      <c r="AJ54" s="311"/>
      <c r="AK54" s="311"/>
      <c r="AL54" s="311"/>
      <c r="AM54" s="311"/>
      <c r="AN54" s="311"/>
      <c r="AO54" s="311"/>
      <c r="AP54" s="311"/>
      <c r="AQ54" s="311"/>
      <c r="AR54" s="311"/>
      <c r="AS54" s="311"/>
      <c r="AT54" s="311"/>
      <c r="AU54" s="311"/>
      <c r="AV54" s="311"/>
      <c r="AW54" s="311"/>
      <c r="AX54" s="311"/>
      <c r="AY54" s="311"/>
      <c r="AZ54" s="311"/>
      <c r="BA54" s="311"/>
      <c r="BB54" s="311"/>
      <c r="BC54" s="311"/>
      <c r="BD54" s="311"/>
      <c r="BE54" s="311"/>
      <c r="BF54" s="311"/>
      <c r="BG54" s="311"/>
      <c r="BH54" s="311"/>
      <c r="BI54" s="311"/>
      <c r="BJ54" s="311"/>
      <c r="BK54" s="311"/>
      <c r="BL54" s="311"/>
      <c r="BM54" s="311"/>
      <c r="BN54" s="311"/>
      <c r="BO54" s="311"/>
      <c r="BP54" s="311"/>
      <c r="BQ54" s="311"/>
      <c r="BR54" s="311"/>
      <c r="BS54" s="311"/>
      <c r="BT54" s="311"/>
      <c r="BU54" s="311"/>
      <c r="BV54" s="311"/>
      <c r="BW54" s="311"/>
      <c r="BX54" s="311"/>
      <c r="BY54" s="311"/>
      <c r="BZ54" s="311"/>
      <c r="CA54" s="311"/>
      <c r="CB54" s="311"/>
      <c r="CC54" s="311"/>
      <c r="CD54" s="311"/>
      <c r="CE54" s="311"/>
      <c r="CF54" s="311"/>
      <c r="CG54" s="311"/>
      <c r="CH54" s="311"/>
      <c r="CI54" s="311"/>
      <c r="CJ54" s="311"/>
      <c r="CK54" s="311"/>
      <c r="CL54" s="311"/>
      <c r="CM54" s="311"/>
      <c r="CN54" s="311"/>
      <c r="CO54" s="311"/>
      <c r="CP54" s="311"/>
      <c r="CQ54" s="311"/>
      <c r="CR54" s="311"/>
      <c r="CS54" s="311"/>
      <c r="CT54" s="311"/>
      <c r="CU54" s="311"/>
      <c r="CV54" s="311"/>
      <c r="CW54" s="311"/>
      <c r="CX54" s="311"/>
      <c r="CY54" s="311"/>
      <c r="CZ54" s="311"/>
      <c r="DA54" s="311"/>
      <c r="DB54" s="311"/>
      <c r="DC54" s="311"/>
      <c r="DD54" s="311"/>
      <c r="DE54" s="311"/>
      <c r="DF54" s="311"/>
      <c r="DG54" s="311"/>
      <c r="DH54" s="311"/>
      <c r="DI54" s="311"/>
      <c r="DJ54" s="311"/>
      <c r="DK54" s="311"/>
      <c r="DL54" s="311"/>
      <c r="DM54" s="311"/>
      <c r="DN54" s="311"/>
      <c r="DO54" s="311"/>
      <c r="DP54" s="311"/>
      <c r="DQ54" s="311"/>
      <c r="DR54" s="311"/>
      <c r="DS54" s="311"/>
      <c r="DT54" s="311"/>
      <c r="DU54" s="311"/>
      <c r="DV54" s="311"/>
      <c r="DW54" s="311"/>
      <c r="DX54" s="311"/>
      <c r="DY54" s="311"/>
      <c r="DZ54" s="311"/>
      <c r="EA54" s="311"/>
      <c r="EB54" s="311"/>
      <c r="EC54" s="311"/>
      <c r="ED54" s="311"/>
      <c r="EE54" s="311"/>
      <c r="EF54" s="311"/>
      <c r="EG54" s="311"/>
      <c r="EH54" s="311"/>
      <c r="EI54" s="311"/>
      <c r="EJ54" s="311"/>
      <c r="EK54" s="311"/>
      <c r="EL54" s="311"/>
      <c r="EM54" s="311"/>
      <c r="EN54" s="311"/>
      <c r="EO54" s="311"/>
      <c r="EP54" s="311"/>
      <c r="EQ54" s="311"/>
      <c r="ER54" s="311"/>
      <c r="ES54" s="311"/>
      <c r="ET54" s="311"/>
      <c r="EU54" s="311"/>
      <c r="EV54" s="311"/>
      <c r="EW54" s="311"/>
      <c r="EX54" s="311"/>
      <c r="EY54" s="311"/>
      <c r="EZ54" s="311"/>
      <c r="FA54" s="311"/>
      <c r="FB54" s="311"/>
      <c r="FC54" s="311"/>
      <c r="FD54" s="311"/>
      <c r="FE54" s="311"/>
      <c r="FF54" s="311"/>
      <c r="FG54" s="311"/>
      <c r="FH54" s="311"/>
      <c r="FI54" s="311"/>
      <c r="FJ54" s="311"/>
      <c r="FK54" s="311"/>
      <c r="FL54" s="311"/>
      <c r="FM54" s="311"/>
      <c r="FN54" s="311"/>
      <c r="FO54" s="311"/>
      <c r="FP54" s="311"/>
      <c r="FQ54" s="311"/>
      <c r="FR54" s="311"/>
      <c r="FS54" s="311"/>
      <c r="FT54" s="311"/>
      <c r="FU54" s="311"/>
      <c r="FV54" s="311"/>
      <c r="FW54" s="311"/>
      <c r="FX54" s="311"/>
      <c r="FY54" s="311"/>
      <c r="FZ54" s="232"/>
    </row>
    <row r="55" spans="1:182" x14ac:dyDescent="0.2">
      <c r="A55" s="236" t="s">
        <v>376</v>
      </c>
      <c r="B55" s="532">
        <f>IF(Inicio!$E$51="Años",(POWER(Inicio!D245+1,1/12)-1),(POWER(Inicio!D245+1,1/12)-1))</f>
        <v>5.6541453874052738E-3</v>
      </c>
      <c r="C55" s="250">
        <f>IF($B$57=1,IF(C$5&lt;=$B$58,+B54*B55,0),0)</f>
        <v>852.25364306155598</v>
      </c>
      <c r="D55" s="297">
        <f t="shared" ref="D55:AI55" si="8">IF(D$5&lt;=$B$58,+C57*$B55,0)</f>
        <v>840.28309210544296</v>
      </c>
      <c r="E55" s="297">
        <f t="shared" si="8"/>
        <v>828.24485791385666</v>
      </c>
      <c r="F55" s="297">
        <f t="shared" si="8"/>
        <v>816.13855779594348</v>
      </c>
      <c r="G55" s="297">
        <f t="shared" si="8"/>
        <v>803.96380689706029</v>
      </c>
      <c r="H55" s="297">
        <f t="shared" si="8"/>
        <v>791.72021818653911</v>
      </c>
      <c r="I55" s="297">
        <f t="shared" si="8"/>
        <v>779.40740244538506</v>
      </c>
      <c r="J55" s="297">
        <f t="shared" si="8"/>
        <v>767.02496825390233</v>
      </c>
      <c r="K55" s="297">
        <f t="shared" si="8"/>
        <v>754.57252197925106</v>
      </c>
      <c r="L55" s="297">
        <f t="shared" si="8"/>
        <v>742.04966776293384</v>
      </c>
      <c r="M55" s="297">
        <f t="shared" si="8"/>
        <v>729.45600750821245</v>
      </c>
      <c r="N55" s="297">
        <f t="shared" si="8"/>
        <v>716.79114086745119</v>
      </c>
      <c r="O55" s="297">
        <f t="shared" si="8"/>
        <v>704.05466522939105</v>
      </c>
      <c r="P55" s="297">
        <f t="shared" si="8"/>
        <v>691.24617570635007</v>
      </c>
      <c r="Q55" s="297">
        <f t="shared" si="8"/>
        <v>678.36526512135288</v>
      </c>
      <c r="R55" s="297">
        <f t="shared" si="8"/>
        <v>665.4115239951858</v>
      </c>
      <c r="S55" s="297">
        <f t="shared" si="8"/>
        <v>652.38454053338069</v>
      </c>
      <c r="T55" s="297">
        <f t="shared" si="8"/>
        <v>639.28390061312314</v>
      </c>
      <c r="U55" s="297">
        <f t="shared" si="8"/>
        <v>626.1091877700884</v>
      </c>
      <c r="V55" s="297">
        <f t="shared" si="8"/>
        <v>612.85998318520194</v>
      </c>
      <c r="W55" s="297">
        <f t="shared" si="8"/>
        <v>599.53586567132493</v>
      </c>
      <c r="X55" s="297">
        <f t="shared" si="8"/>
        <v>586.13641165986553</v>
      </c>
      <c r="Y55" s="297">
        <f t="shared" si="8"/>
        <v>572.66119518731364</v>
      </c>
      <c r="Z55" s="297">
        <f t="shared" si="8"/>
        <v>559.10978788169916</v>
      </c>
      <c r="AA55" s="297">
        <f t="shared" si="8"/>
        <v>545.48175894897463</v>
      </c>
      <c r="AB55" s="297">
        <f t="shared" si="8"/>
        <v>531.7766751593208</v>
      </c>
      <c r="AC55" s="297">
        <f t="shared" si="8"/>
        <v>517.99410083337364</v>
      </c>
      <c r="AD55" s="297">
        <f t="shared" si="8"/>
        <v>504.13359782837495</v>
      </c>
      <c r="AE55" s="297">
        <f t="shared" si="8"/>
        <v>490.19472552424338</v>
      </c>
      <c r="AF55" s="297">
        <f t="shared" si="8"/>
        <v>476.17704080956781</v>
      </c>
      <c r="AG55" s="297">
        <f t="shared" si="8"/>
        <v>462.08009806752062</v>
      </c>
      <c r="AH55" s="297">
        <f t="shared" si="8"/>
        <v>447.90344916169204</v>
      </c>
      <c r="AI55" s="297">
        <f t="shared" si="8"/>
        <v>433.64664342184363</v>
      </c>
      <c r="AJ55" s="297">
        <f t="shared" ref="AJ55:BO55" si="9">IF(AJ$5&lt;=$B$58,+AI57*$B55,0)</f>
        <v>419.30922762958215</v>
      </c>
      <c r="AK55" s="297">
        <f t="shared" si="9"/>
        <v>404.89074600395151</v>
      </c>
      <c r="AL55" s="297">
        <f t="shared" si="9"/>
        <v>390.39074018694396</v>
      </c>
      <c r="AM55" s="297">
        <f t="shared" si="9"/>
        <v>375.80874922892883</v>
      </c>
      <c r="AN55" s="297">
        <f t="shared" si="9"/>
        <v>361.14430957399924</v>
      </c>
      <c r="AO55" s="297">
        <f t="shared" si="9"/>
        <v>346.39695504523587</v>
      </c>
      <c r="AP55" s="297">
        <f t="shared" si="9"/>
        <v>331.56621682988731</v>
      </c>
      <c r="AQ55" s="297">
        <f t="shared" si="9"/>
        <v>316.65162346446652</v>
      </c>
      <c r="AR55" s="297">
        <f t="shared" si="9"/>
        <v>301.65270081976365</v>
      </c>
      <c r="AS55" s="297">
        <f t="shared" si="9"/>
        <v>286.56897208577323</v>
      </c>
      <c r="AT55" s="297">
        <f t="shared" si="9"/>
        <v>271.39995775653659</v>
      </c>
      <c r="AU55" s="297">
        <f t="shared" si="9"/>
        <v>256.14517561489885</v>
      </c>
      <c r="AV55" s="297">
        <f t="shared" si="9"/>
        <v>240.80414071717908</v>
      </c>
      <c r="AW55" s="297">
        <f t="shared" si="9"/>
        <v>225.37636537775435</v>
      </c>
      <c r="AX55" s="297">
        <f t="shared" si="9"/>
        <v>209.86135915355629</v>
      </c>
      <c r="AY55" s="297">
        <f t="shared" si="9"/>
        <v>194.25862882848008</v>
      </c>
      <c r="AZ55" s="297">
        <f t="shared" si="9"/>
        <v>178.56767839770544</v>
      </c>
      <c r="BA55" s="297">
        <f t="shared" si="9"/>
        <v>162.78800905192861</v>
      </c>
      <c r="BB55" s="297">
        <f t="shared" si="9"/>
        <v>146.91911916150559</v>
      </c>
      <c r="BC55" s="297">
        <f t="shared" si="9"/>
        <v>130.96050426050539</v>
      </c>
      <c r="BD55" s="297">
        <f t="shared" si="9"/>
        <v>114.91165703067333</v>
      </c>
      <c r="BE55" s="297">
        <f t="shared" si="9"/>
        <v>98.772067285303535</v>
      </c>
      <c r="BF55" s="297">
        <f t="shared" si="9"/>
        <v>82.541221953020354</v>
      </c>
      <c r="BG55" s="297">
        <f t="shared" si="9"/>
        <v>66.21860506146794</v>
      </c>
      <c r="BH55" s="297">
        <f t="shared" si="9"/>
        <v>49.803697720907778</v>
      </c>
      <c r="BI55" s="297">
        <f t="shared" si="9"/>
        <v>33.295978107723307</v>
      </c>
      <c r="BJ55" s="297">
        <f t="shared" si="9"/>
        <v>16.694921447831366</v>
      </c>
      <c r="BK55" s="297">
        <f t="shared" si="9"/>
        <v>-1.5684366582341759E-13</v>
      </c>
      <c r="BL55" s="297">
        <f t="shared" si="9"/>
        <v>-1.5684366582341759E-13</v>
      </c>
      <c r="BM55" s="297">
        <f t="shared" si="9"/>
        <v>-1.5684366582341759E-13</v>
      </c>
      <c r="BN55" s="297">
        <f t="shared" si="9"/>
        <v>-1.5684366582341759E-13</v>
      </c>
      <c r="BO55" s="297">
        <f t="shared" si="9"/>
        <v>-1.5684366582341759E-13</v>
      </c>
      <c r="BP55" s="297">
        <f t="shared" ref="BP55:CU55" si="10">IF(BP$5&lt;=$B$58,+BO57*$B55,0)</f>
        <v>-1.5684366582341759E-13</v>
      </c>
      <c r="BQ55" s="297">
        <f t="shared" si="10"/>
        <v>-1.5684366582341759E-13</v>
      </c>
      <c r="BR55" s="297">
        <f t="shared" si="10"/>
        <v>-1.5684366582341759E-13</v>
      </c>
      <c r="BS55" s="297">
        <f t="shared" si="10"/>
        <v>-1.5684366582341759E-13</v>
      </c>
      <c r="BT55" s="297">
        <f t="shared" si="10"/>
        <v>-1.5684366582341759E-13</v>
      </c>
      <c r="BU55" s="297">
        <f t="shared" si="10"/>
        <v>-1.5684366582341759E-13</v>
      </c>
      <c r="BV55" s="297">
        <f t="shared" si="10"/>
        <v>-1.5684366582341759E-13</v>
      </c>
      <c r="BW55" s="297">
        <f t="shared" si="10"/>
        <v>-1.5684366582341759E-13</v>
      </c>
      <c r="BX55" s="297">
        <f t="shared" si="10"/>
        <v>-1.5684366582341759E-13</v>
      </c>
      <c r="BY55" s="297">
        <f t="shared" si="10"/>
        <v>-1.5684366582341759E-13</v>
      </c>
      <c r="BZ55" s="297">
        <f t="shared" si="10"/>
        <v>-1.5684366582341759E-13</v>
      </c>
      <c r="CA55" s="297">
        <f t="shared" si="10"/>
        <v>-1.5684366582341759E-13</v>
      </c>
      <c r="CB55" s="297">
        <f t="shared" si="10"/>
        <v>-1.5684366582341759E-13</v>
      </c>
      <c r="CC55" s="297">
        <f t="shared" si="10"/>
        <v>-1.5684366582341759E-13</v>
      </c>
      <c r="CD55" s="297">
        <f t="shared" si="10"/>
        <v>-1.5684366582341759E-13</v>
      </c>
      <c r="CE55" s="297">
        <f t="shared" si="10"/>
        <v>-1.5684366582341759E-13</v>
      </c>
      <c r="CF55" s="297">
        <f t="shared" si="10"/>
        <v>-1.5684366582341759E-13</v>
      </c>
      <c r="CG55" s="297">
        <f t="shared" si="10"/>
        <v>-1.5684366582341759E-13</v>
      </c>
      <c r="CH55" s="297">
        <f t="shared" si="10"/>
        <v>-1.5684366582341759E-13</v>
      </c>
      <c r="CI55" s="297">
        <f t="shared" si="10"/>
        <v>-1.5684366582341759E-13</v>
      </c>
      <c r="CJ55" s="297">
        <f t="shared" si="10"/>
        <v>-1.5684366582341759E-13</v>
      </c>
      <c r="CK55" s="297">
        <f t="shared" si="10"/>
        <v>-1.5684366582341759E-13</v>
      </c>
      <c r="CL55" s="297">
        <f t="shared" si="10"/>
        <v>-1.5684366582341759E-13</v>
      </c>
      <c r="CM55" s="297">
        <f t="shared" si="10"/>
        <v>-1.5684366582341759E-13</v>
      </c>
      <c r="CN55" s="297">
        <f t="shared" si="10"/>
        <v>-1.5684366582341759E-13</v>
      </c>
      <c r="CO55" s="297">
        <f t="shared" si="10"/>
        <v>-1.5684366582341759E-13</v>
      </c>
      <c r="CP55" s="297">
        <f t="shared" si="10"/>
        <v>-1.5684366582341759E-13</v>
      </c>
      <c r="CQ55" s="297">
        <f t="shared" si="10"/>
        <v>-1.5684366582341759E-13</v>
      </c>
      <c r="CR55" s="297">
        <f t="shared" si="10"/>
        <v>-1.5684366582341759E-13</v>
      </c>
      <c r="CS55" s="297">
        <f t="shared" si="10"/>
        <v>-1.5684366582341759E-13</v>
      </c>
      <c r="CT55" s="297">
        <f t="shared" si="10"/>
        <v>-1.5684366582341759E-13</v>
      </c>
      <c r="CU55" s="297">
        <f t="shared" si="10"/>
        <v>-1.5684366582341759E-13</v>
      </c>
      <c r="CV55" s="297">
        <f t="shared" ref="CV55:EA55" si="11">IF(CV$5&lt;=$B$58,+CU57*$B55,0)</f>
        <v>-1.5684366582341759E-13</v>
      </c>
      <c r="CW55" s="297">
        <f t="shared" si="11"/>
        <v>-1.5684366582341759E-13</v>
      </c>
      <c r="CX55" s="297">
        <f t="shared" si="11"/>
        <v>-1.5684366582341759E-13</v>
      </c>
      <c r="CY55" s="297">
        <f t="shared" si="11"/>
        <v>-1.5684366582341759E-13</v>
      </c>
      <c r="CZ55" s="297">
        <f t="shared" si="11"/>
        <v>-1.5684366582341759E-13</v>
      </c>
      <c r="DA55" s="297">
        <f t="shared" si="11"/>
        <v>-1.5684366582341759E-13</v>
      </c>
      <c r="DB55" s="297">
        <f t="shared" si="11"/>
        <v>-1.5684366582341759E-13</v>
      </c>
      <c r="DC55" s="297">
        <f t="shared" si="11"/>
        <v>-1.5684366582341759E-13</v>
      </c>
      <c r="DD55" s="297">
        <f t="shared" si="11"/>
        <v>-1.5684366582341759E-13</v>
      </c>
      <c r="DE55" s="297">
        <f t="shared" si="11"/>
        <v>-1.5684366582341759E-13</v>
      </c>
      <c r="DF55" s="297">
        <f t="shared" si="11"/>
        <v>-1.5684366582341759E-13</v>
      </c>
      <c r="DG55" s="297">
        <f t="shared" si="11"/>
        <v>-1.5684366582341759E-13</v>
      </c>
      <c r="DH55" s="297">
        <f t="shared" si="11"/>
        <v>-1.5684366582341759E-13</v>
      </c>
      <c r="DI55" s="297">
        <f t="shared" si="11"/>
        <v>-1.5684366582341759E-13</v>
      </c>
      <c r="DJ55" s="297">
        <f t="shared" si="11"/>
        <v>-1.5684366582341759E-13</v>
      </c>
      <c r="DK55" s="297">
        <f t="shared" si="11"/>
        <v>-1.5684366582341759E-13</v>
      </c>
      <c r="DL55" s="297">
        <f t="shared" si="11"/>
        <v>-1.5684366582341759E-13</v>
      </c>
      <c r="DM55" s="297">
        <f t="shared" si="11"/>
        <v>-1.5684366582341759E-13</v>
      </c>
      <c r="DN55" s="297">
        <f t="shared" si="11"/>
        <v>-1.5684366582341759E-13</v>
      </c>
      <c r="DO55" s="297">
        <f t="shared" si="11"/>
        <v>-1.5684366582341759E-13</v>
      </c>
      <c r="DP55" s="297">
        <f t="shared" si="11"/>
        <v>-1.5684366582341759E-13</v>
      </c>
      <c r="DQ55" s="297">
        <f t="shared" si="11"/>
        <v>-1.5684366582341759E-13</v>
      </c>
      <c r="DR55" s="297">
        <f t="shared" si="11"/>
        <v>-1.5684366582341759E-13</v>
      </c>
      <c r="DS55" s="297">
        <f t="shared" si="11"/>
        <v>-1.5684366582341759E-13</v>
      </c>
      <c r="DT55" s="297">
        <f t="shared" si="11"/>
        <v>-1.5684366582341759E-13</v>
      </c>
      <c r="DU55" s="297">
        <f t="shared" si="11"/>
        <v>-1.5684366582341759E-13</v>
      </c>
      <c r="DV55" s="297">
        <f t="shared" si="11"/>
        <v>-1.5684366582341759E-13</v>
      </c>
      <c r="DW55" s="297">
        <f t="shared" si="11"/>
        <v>-1.5684366582341759E-13</v>
      </c>
      <c r="DX55" s="297">
        <f t="shared" si="11"/>
        <v>-1.5684366582341759E-13</v>
      </c>
      <c r="DY55" s="297">
        <f t="shared" si="11"/>
        <v>-1.5684366582341759E-13</v>
      </c>
      <c r="DZ55" s="297">
        <f t="shared" si="11"/>
        <v>-1.5684366582341759E-13</v>
      </c>
      <c r="EA55" s="297">
        <f t="shared" si="11"/>
        <v>-1.5684366582341759E-13</v>
      </c>
      <c r="EB55" s="297">
        <f t="shared" ref="EB55:FG55" si="12">IF(EB$5&lt;=$B$58,+EA57*$B55,0)</f>
        <v>-1.5684366582341759E-13</v>
      </c>
      <c r="EC55" s="297">
        <f t="shared" si="12"/>
        <v>-1.5684366582341759E-13</v>
      </c>
      <c r="ED55" s="297">
        <f t="shared" si="12"/>
        <v>-1.5684366582341759E-13</v>
      </c>
      <c r="EE55" s="297">
        <f t="shared" si="12"/>
        <v>-1.5684366582341759E-13</v>
      </c>
      <c r="EF55" s="297">
        <f t="shared" si="12"/>
        <v>-1.5684366582341759E-13</v>
      </c>
      <c r="EG55" s="297">
        <f t="shared" si="12"/>
        <v>-1.5684366582341759E-13</v>
      </c>
      <c r="EH55" s="297">
        <f t="shared" si="12"/>
        <v>-1.5684366582341759E-13</v>
      </c>
      <c r="EI55" s="297">
        <f t="shared" si="12"/>
        <v>-1.5684366582341759E-13</v>
      </c>
      <c r="EJ55" s="297">
        <f t="shared" si="12"/>
        <v>-1.5684366582341759E-13</v>
      </c>
      <c r="EK55" s="297">
        <f t="shared" si="12"/>
        <v>-1.5684366582341759E-13</v>
      </c>
      <c r="EL55" s="297">
        <f t="shared" si="12"/>
        <v>-1.5684366582341759E-13</v>
      </c>
      <c r="EM55" s="297">
        <f t="shared" si="12"/>
        <v>-1.5684366582341759E-13</v>
      </c>
      <c r="EN55" s="297">
        <f t="shared" si="12"/>
        <v>-1.5684366582341759E-13</v>
      </c>
      <c r="EO55" s="297">
        <f t="shared" si="12"/>
        <v>-1.5684366582341759E-13</v>
      </c>
      <c r="EP55" s="297">
        <f t="shared" si="12"/>
        <v>-1.5684366582341759E-13</v>
      </c>
      <c r="EQ55" s="297">
        <f t="shared" si="12"/>
        <v>-1.5684366582341759E-13</v>
      </c>
      <c r="ER55" s="297">
        <f t="shared" si="12"/>
        <v>-1.5684366582341759E-13</v>
      </c>
      <c r="ES55" s="297">
        <f t="shared" si="12"/>
        <v>-1.5684366582341759E-13</v>
      </c>
      <c r="ET55" s="297">
        <f t="shared" si="12"/>
        <v>-1.5684366582341759E-13</v>
      </c>
      <c r="EU55" s="297">
        <f t="shared" si="12"/>
        <v>-1.5684366582341759E-13</v>
      </c>
      <c r="EV55" s="297">
        <f t="shared" si="12"/>
        <v>-1.5684366582341759E-13</v>
      </c>
      <c r="EW55" s="297">
        <f t="shared" si="12"/>
        <v>-1.5684366582341759E-13</v>
      </c>
      <c r="EX55" s="297">
        <f t="shared" si="12"/>
        <v>-1.5684366582341759E-13</v>
      </c>
      <c r="EY55" s="297">
        <f t="shared" si="12"/>
        <v>-1.5684366582341759E-13</v>
      </c>
      <c r="EZ55" s="297">
        <f t="shared" si="12"/>
        <v>-1.5684366582341759E-13</v>
      </c>
      <c r="FA55" s="297">
        <f t="shared" si="12"/>
        <v>-1.5684366582341759E-13</v>
      </c>
      <c r="FB55" s="297">
        <f t="shared" si="12"/>
        <v>-1.5684366582341759E-13</v>
      </c>
      <c r="FC55" s="297">
        <f t="shared" si="12"/>
        <v>-1.5684366582341759E-13</v>
      </c>
      <c r="FD55" s="297">
        <f t="shared" si="12"/>
        <v>-1.5684366582341759E-13</v>
      </c>
      <c r="FE55" s="297">
        <f t="shared" si="12"/>
        <v>-1.5684366582341759E-13</v>
      </c>
      <c r="FF55" s="297">
        <f t="shared" si="12"/>
        <v>-1.5684366582341759E-13</v>
      </c>
      <c r="FG55" s="297">
        <f t="shared" si="12"/>
        <v>-1.5684366582341759E-13</v>
      </c>
      <c r="FH55" s="297">
        <f t="shared" ref="FH55:FZ55" si="13">IF(FH$5&lt;=$B$58,+FG57*$B55,0)</f>
        <v>-1.5684366582341759E-13</v>
      </c>
      <c r="FI55" s="297">
        <f t="shared" si="13"/>
        <v>-1.5684366582341759E-13</v>
      </c>
      <c r="FJ55" s="297">
        <f t="shared" si="13"/>
        <v>-1.5684366582341759E-13</v>
      </c>
      <c r="FK55" s="297">
        <f t="shared" si="13"/>
        <v>-1.5684366582341759E-13</v>
      </c>
      <c r="FL55" s="297">
        <f t="shared" si="13"/>
        <v>-1.5684366582341759E-13</v>
      </c>
      <c r="FM55" s="297">
        <f t="shared" si="13"/>
        <v>-1.5684366582341759E-13</v>
      </c>
      <c r="FN55" s="297">
        <f t="shared" si="13"/>
        <v>-1.5684366582341759E-13</v>
      </c>
      <c r="FO55" s="297">
        <f t="shared" si="13"/>
        <v>-1.5684366582341759E-13</v>
      </c>
      <c r="FP55" s="297">
        <f t="shared" si="13"/>
        <v>-1.5684366582341759E-13</v>
      </c>
      <c r="FQ55" s="297">
        <f t="shared" si="13"/>
        <v>-1.5684366582341759E-13</v>
      </c>
      <c r="FR55" s="297">
        <f t="shared" si="13"/>
        <v>-1.5684366582341759E-13</v>
      </c>
      <c r="FS55" s="297">
        <f t="shared" si="13"/>
        <v>-1.5684366582341759E-13</v>
      </c>
      <c r="FT55" s="297">
        <f t="shared" si="13"/>
        <v>-1.5684366582341759E-13</v>
      </c>
      <c r="FU55" s="297">
        <f t="shared" si="13"/>
        <v>-1.5684366582341759E-13</v>
      </c>
      <c r="FV55" s="297">
        <f t="shared" si="13"/>
        <v>-1.5684366582341759E-13</v>
      </c>
      <c r="FW55" s="297">
        <f t="shared" si="13"/>
        <v>-1.5684366582341759E-13</v>
      </c>
      <c r="FX55" s="297">
        <f t="shared" si="13"/>
        <v>-1.5684366582341759E-13</v>
      </c>
      <c r="FY55" s="297">
        <f t="shared" si="13"/>
        <v>-1.5684366582341759E-13</v>
      </c>
      <c r="FZ55" s="313">
        <f t="shared" si="13"/>
        <v>-1.5684366582341759E-13</v>
      </c>
    </row>
    <row r="56" spans="1:182" x14ac:dyDescent="0.2">
      <c r="A56" s="236" t="s">
        <v>25</v>
      </c>
      <c r="B56" s="314"/>
      <c r="C56" s="250">
        <f>IF($B$57=1,IF(C$52&lt;=$B$58,IF(C$52&lt;=$B$58,+$B$60-C55,0),0),IF(C$52&lt;=$B$58,IF(C$52&lt;=$B$58,+$B$59-C55,0),0))</f>
        <v>2117.1282547452147</v>
      </c>
      <c r="D56" s="297">
        <f>IF($B$57=1,IF(D$52&lt;=$B$58,IF(D$52&lt;=$B$58,+$B$60-D55,0),0),IF(D$52&lt;=$B$58,IF(D$52&lt;=$B$58,+$B$59-D55,0),0))</f>
        <v>2129.0988057013278</v>
      </c>
      <c r="E56" s="297">
        <f t="shared" ref="E56:BP56" si="14">IF($B$57=1,IF(E$52&lt;=$B$58,IF(E$52&lt;=$B$58,+$B$60-E55,0),0),IF(E$52&lt;=$B$58,IF(E$52&lt;=$B$58,+$B$59-E55,0),0))</f>
        <v>2141.1370398929139</v>
      </c>
      <c r="F56" s="297">
        <f t="shared" si="14"/>
        <v>2153.2433400108271</v>
      </c>
      <c r="G56" s="297">
        <f t="shared" si="14"/>
        <v>2165.4180909097104</v>
      </c>
      <c r="H56" s="297">
        <f t="shared" si="14"/>
        <v>2177.6616796202316</v>
      </c>
      <c r="I56" s="297">
        <f t="shared" si="14"/>
        <v>2189.9744953613854</v>
      </c>
      <c r="J56" s="297">
        <f t="shared" si="14"/>
        <v>2202.3569295528682</v>
      </c>
      <c r="K56" s="297">
        <f t="shared" si="14"/>
        <v>2214.8093758275195</v>
      </c>
      <c r="L56" s="297">
        <f t="shared" si="14"/>
        <v>2227.3322300438367</v>
      </c>
      <c r="M56" s="297">
        <f t="shared" si="14"/>
        <v>2239.9258902985584</v>
      </c>
      <c r="N56" s="297">
        <f t="shared" si="14"/>
        <v>2252.5907569393194</v>
      </c>
      <c r="O56" s="297">
        <f t="shared" si="14"/>
        <v>2265.3272325773796</v>
      </c>
      <c r="P56" s="297">
        <f t="shared" si="14"/>
        <v>2278.1357221004205</v>
      </c>
      <c r="Q56" s="297">
        <f t="shared" si="14"/>
        <v>2291.0166326854178</v>
      </c>
      <c r="R56" s="297">
        <f t="shared" si="14"/>
        <v>2303.970373811585</v>
      </c>
      <c r="S56" s="297">
        <f t="shared" si="14"/>
        <v>2316.9973572733898</v>
      </c>
      <c r="T56" s="297">
        <f t="shared" si="14"/>
        <v>2330.0979971936476</v>
      </c>
      <c r="U56" s="297">
        <f t="shared" si="14"/>
        <v>2343.2727100366824</v>
      </c>
      <c r="V56" s="297">
        <f t="shared" si="14"/>
        <v>2356.5219146215686</v>
      </c>
      <c r="W56" s="297">
        <f t="shared" si="14"/>
        <v>2369.846032135446</v>
      </c>
      <c r="X56" s="297">
        <f t="shared" si="14"/>
        <v>2383.245486146905</v>
      </c>
      <c r="Y56" s="297">
        <f t="shared" si="14"/>
        <v>2396.7207026194569</v>
      </c>
      <c r="Z56" s="297">
        <f t="shared" si="14"/>
        <v>2410.2721099250716</v>
      </c>
      <c r="AA56" s="297">
        <f t="shared" si="14"/>
        <v>2423.9001388577963</v>
      </c>
      <c r="AB56" s="297">
        <f t="shared" si="14"/>
        <v>2437.6052226474499</v>
      </c>
      <c r="AC56" s="297">
        <f t="shared" si="14"/>
        <v>2451.3877969733971</v>
      </c>
      <c r="AD56" s="297">
        <f t="shared" si="14"/>
        <v>2465.2482999783956</v>
      </c>
      <c r="AE56" s="297">
        <f t="shared" si="14"/>
        <v>2479.1871722825272</v>
      </c>
      <c r="AF56" s="297">
        <f t="shared" si="14"/>
        <v>2493.204856997203</v>
      </c>
      <c r="AG56" s="297">
        <f t="shared" si="14"/>
        <v>2507.3017997392499</v>
      </c>
      <c r="AH56" s="297">
        <f t="shared" si="14"/>
        <v>2521.4784486450785</v>
      </c>
      <c r="AI56" s="297">
        <f t="shared" si="14"/>
        <v>2535.735254384927</v>
      </c>
      <c r="AJ56" s="297">
        <f t="shared" si="14"/>
        <v>2550.0726701771887</v>
      </c>
      <c r="AK56" s="297">
        <f t="shared" si="14"/>
        <v>2564.4911518028193</v>
      </c>
      <c r="AL56" s="297">
        <f t="shared" si="14"/>
        <v>2578.9911576198265</v>
      </c>
      <c r="AM56" s="297">
        <f t="shared" si="14"/>
        <v>2593.5731485778419</v>
      </c>
      <c r="AN56" s="297">
        <f t="shared" si="14"/>
        <v>2608.2375882327715</v>
      </c>
      <c r="AO56" s="297">
        <f t="shared" si="14"/>
        <v>2622.984942761535</v>
      </c>
      <c r="AP56" s="297">
        <f t="shared" si="14"/>
        <v>2637.8156809768834</v>
      </c>
      <c r="AQ56" s="297">
        <f t="shared" si="14"/>
        <v>2652.7302743423043</v>
      </c>
      <c r="AR56" s="297">
        <f t="shared" si="14"/>
        <v>2667.7291969870071</v>
      </c>
      <c r="AS56" s="297">
        <f t="shared" si="14"/>
        <v>2682.8129257209976</v>
      </c>
      <c r="AT56" s="297">
        <f t="shared" si="14"/>
        <v>2697.9819400502342</v>
      </c>
      <c r="AU56" s="297">
        <f t="shared" si="14"/>
        <v>2713.2367221918716</v>
      </c>
      <c r="AV56" s="297">
        <f t="shared" si="14"/>
        <v>2728.5777570895916</v>
      </c>
      <c r="AW56" s="297">
        <f t="shared" si="14"/>
        <v>2744.0055324290165</v>
      </c>
      <c r="AX56" s="297">
        <f t="shared" si="14"/>
        <v>2759.5205386532143</v>
      </c>
      <c r="AY56" s="297">
        <f t="shared" si="14"/>
        <v>2775.1232689782905</v>
      </c>
      <c r="AZ56" s="297">
        <f t="shared" si="14"/>
        <v>2790.8142194090651</v>
      </c>
      <c r="BA56" s="297">
        <f t="shared" si="14"/>
        <v>2806.5938887548418</v>
      </c>
      <c r="BB56" s="297">
        <f t="shared" si="14"/>
        <v>2822.4627786452652</v>
      </c>
      <c r="BC56" s="297">
        <f t="shared" si="14"/>
        <v>2838.4213935462653</v>
      </c>
      <c r="BD56" s="297">
        <f t="shared" si="14"/>
        <v>2854.4702407760974</v>
      </c>
      <c r="BE56" s="297">
        <f t="shared" si="14"/>
        <v>2870.6098305214673</v>
      </c>
      <c r="BF56" s="297">
        <f t="shared" si="14"/>
        <v>2886.8406758537503</v>
      </c>
      <c r="BG56" s="297">
        <f t="shared" si="14"/>
        <v>2903.1632927453029</v>
      </c>
      <c r="BH56" s="297">
        <f t="shared" si="14"/>
        <v>2919.578200085863</v>
      </c>
      <c r="BI56" s="297">
        <f t="shared" si="14"/>
        <v>2936.0859196990473</v>
      </c>
      <c r="BJ56" s="297">
        <f t="shared" si="14"/>
        <v>2952.6869763589393</v>
      </c>
      <c r="BK56" s="297">
        <f t="shared" si="14"/>
        <v>0</v>
      </c>
      <c r="BL56" s="297">
        <f t="shared" si="14"/>
        <v>0</v>
      </c>
      <c r="BM56" s="297">
        <f t="shared" si="14"/>
        <v>0</v>
      </c>
      <c r="BN56" s="297">
        <f t="shared" si="14"/>
        <v>0</v>
      </c>
      <c r="BO56" s="297">
        <f t="shared" si="14"/>
        <v>0</v>
      </c>
      <c r="BP56" s="297">
        <f t="shared" si="14"/>
        <v>0</v>
      </c>
      <c r="BQ56" s="297">
        <f t="shared" ref="BQ56:EB56" si="15">IF($B$57=1,IF(BQ$52&lt;=$B$58,IF(BQ$52&lt;=$B$58,+$B$60-BQ55,0),0),IF(BQ$52&lt;=$B$58,IF(BQ$52&lt;=$B$58,+$B$59-BQ55,0),0))</f>
        <v>0</v>
      </c>
      <c r="BR56" s="297">
        <f t="shared" si="15"/>
        <v>0</v>
      </c>
      <c r="BS56" s="297">
        <f t="shared" si="15"/>
        <v>0</v>
      </c>
      <c r="BT56" s="297">
        <f t="shared" si="15"/>
        <v>0</v>
      </c>
      <c r="BU56" s="297">
        <f t="shared" si="15"/>
        <v>0</v>
      </c>
      <c r="BV56" s="297">
        <f t="shared" si="15"/>
        <v>0</v>
      </c>
      <c r="BW56" s="297">
        <f t="shared" si="15"/>
        <v>0</v>
      </c>
      <c r="BX56" s="297">
        <f t="shared" si="15"/>
        <v>0</v>
      </c>
      <c r="BY56" s="297">
        <f t="shared" si="15"/>
        <v>0</v>
      </c>
      <c r="BZ56" s="297">
        <f t="shared" si="15"/>
        <v>0</v>
      </c>
      <c r="CA56" s="297">
        <f t="shared" si="15"/>
        <v>0</v>
      </c>
      <c r="CB56" s="297">
        <f t="shared" si="15"/>
        <v>0</v>
      </c>
      <c r="CC56" s="297">
        <f t="shared" si="15"/>
        <v>0</v>
      </c>
      <c r="CD56" s="297">
        <f t="shared" si="15"/>
        <v>0</v>
      </c>
      <c r="CE56" s="297">
        <f t="shared" si="15"/>
        <v>0</v>
      </c>
      <c r="CF56" s="297">
        <f t="shared" si="15"/>
        <v>0</v>
      </c>
      <c r="CG56" s="297">
        <f t="shared" si="15"/>
        <v>0</v>
      </c>
      <c r="CH56" s="297">
        <f t="shared" si="15"/>
        <v>0</v>
      </c>
      <c r="CI56" s="297">
        <f t="shared" si="15"/>
        <v>0</v>
      </c>
      <c r="CJ56" s="297">
        <f t="shared" si="15"/>
        <v>0</v>
      </c>
      <c r="CK56" s="297">
        <f t="shared" si="15"/>
        <v>0</v>
      </c>
      <c r="CL56" s="297">
        <f t="shared" si="15"/>
        <v>0</v>
      </c>
      <c r="CM56" s="297">
        <f t="shared" si="15"/>
        <v>0</v>
      </c>
      <c r="CN56" s="297">
        <f t="shared" si="15"/>
        <v>0</v>
      </c>
      <c r="CO56" s="297">
        <f t="shared" si="15"/>
        <v>0</v>
      </c>
      <c r="CP56" s="297">
        <f t="shared" si="15"/>
        <v>0</v>
      </c>
      <c r="CQ56" s="297">
        <f t="shared" si="15"/>
        <v>0</v>
      </c>
      <c r="CR56" s="297">
        <f t="shared" si="15"/>
        <v>0</v>
      </c>
      <c r="CS56" s="297">
        <f t="shared" si="15"/>
        <v>0</v>
      </c>
      <c r="CT56" s="297">
        <f t="shared" si="15"/>
        <v>0</v>
      </c>
      <c r="CU56" s="297">
        <f t="shared" si="15"/>
        <v>0</v>
      </c>
      <c r="CV56" s="297">
        <f t="shared" si="15"/>
        <v>0</v>
      </c>
      <c r="CW56" s="297">
        <f t="shared" si="15"/>
        <v>0</v>
      </c>
      <c r="CX56" s="297">
        <f t="shared" si="15"/>
        <v>0</v>
      </c>
      <c r="CY56" s="297">
        <f t="shared" si="15"/>
        <v>0</v>
      </c>
      <c r="CZ56" s="297">
        <f t="shared" si="15"/>
        <v>0</v>
      </c>
      <c r="DA56" s="297">
        <f t="shared" si="15"/>
        <v>0</v>
      </c>
      <c r="DB56" s="297">
        <f t="shared" si="15"/>
        <v>0</v>
      </c>
      <c r="DC56" s="297">
        <f t="shared" si="15"/>
        <v>0</v>
      </c>
      <c r="DD56" s="297">
        <f t="shared" si="15"/>
        <v>0</v>
      </c>
      <c r="DE56" s="297">
        <f t="shared" si="15"/>
        <v>0</v>
      </c>
      <c r="DF56" s="297">
        <f t="shared" si="15"/>
        <v>0</v>
      </c>
      <c r="DG56" s="297">
        <f t="shared" si="15"/>
        <v>0</v>
      </c>
      <c r="DH56" s="297">
        <f t="shared" si="15"/>
        <v>0</v>
      </c>
      <c r="DI56" s="297">
        <f t="shared" si="15"/>
        <v>0</v>
      </c>
      <c r="DJ56" s="297">
        <f t="shared" si="15"/>
        <v>0</v>
      </c>
      <c r="DK56" s="297">
        <f t="shared" si="15"/>
        <v>0</v>
      </c>
      <c r="DL56" s="297">
        <f t="shared" si="15"/>
        <v>0</v>
      </c>
      <c r="DM56" s="297">
        <f t="shared" si="15"/>
        <v>0</v>
      </c>
      <c r="DN56" s="297">
        <f t="shared" si="15"/>
        <v>0</v>
      </c>
      <c r="DO56" s="297">
        <f t="shared" si="15"/>
        <v>0</v>
      </c>
      <c r="DP56" s="297">
        <f t="shared" si="15"/>
        <v>0</v>
      </c>
      <c r="DQ56" s="297">
        <f t="shared" si="15"/>
        <v>0</v>
      </c>
      <c r="DR56" s="297">
        <f t="shared" si="15"/>
        <v>0</v>
      </c>
      <c r="DS56" s="297">
        <f t="shared" si="15"/>
        <v>0</v>
      </c>
      <c r="DT56" s="297">
        <f t="shared" si="15"/>
        <v>0</v>
      </c>
      <c r="DU56" s="297">
        <f t="shared" si="15"/>
        <v>0</v>
      </c>
      <c r="DV56" s="297">
        <f t="shared" si="15"/>
        <v>0</v>
      </c>
      <c r="DW56" s="297">
        <f t="shared" si="15"/>
        <v>0</v>
      </c>
      <c r="DX56" s="297">
        <f t="shared" si="15"/>
        <v>0</v>
      </c>
      <c r="DY56" s="297">
        <f t="shared" si="15"/>
        <v>0</v>
      </c>
      <c r="DZ56" s="297">
        <f t="shared" si="15"/>
        <v>0</v>
      </c>
      <c r="EA56" s="297">
        <f t="shared" si="15"/>
        <v>0</v>
      </c>
      <c r="EB56" s="297">
        <f t="shared" si="15"/>
        <v>0</v>
      </c>
      <c r="EC56" s="297">
        <f t="shared" ref="EC56:FZ56" si="16">IF($B$57=1,IF(EC$52&lt;=$B$58,IF(EC$52&lt;=$B$58,+$B$60-EC55,0),0),IF(EC$52&lt;=$B$58,IF(EC$52&lt;=$B$58,+$B$59-EC55,0),0))</f>
        <v>0</v>
      </c>
      <c r="ED56" s="297">
        <f t="shared" si="16"/>
        <v>0</v>
      </c>
      <c r="EE56" s="297">
        <f t="shared" si="16"/>
        <v>0</v>
      </c>
      <c r="EF56" s="297">
        <f t="shared" si="16"/>
        <v>0</v>
      </c>
      <c r="EG56" s="297">
        <f t="shared" si="16"/>
        <v>0</v>
      </c>
      <c r="EH56" s="297">
        <f t="shared" si="16"/>
        <v>0</v>
      </c>
      <c r="EI56" s="297">
        <f t="shared" si="16"/>
        <v>0</v>
      </c>
      <c r="EJ56" s="297">
        <f t="shared" si="16"/>
        <v>0</v>
      </c>
      <c r="EK56" s="297">
        <f t="shared" si="16"/>
        <v>0</v>
      </c>
      <c r="EL56" s="297">
        <f t="shared" si="16"/>
        <v>0</v>
      </c>
      <c r="EM56" s="297">
        <f t="shared" si="16"/>
        <v>0</v>
      </c>
      <c r="EN56" s="297">
        <f t="shared" si="16"/>
        <v>0</v>
      </c>
      <c r="EO56" s="297">
        <f t="shared" si="16"/>
        <v>0</v>
      </c>
      <c r="EP56" s="297">
        <f t="shared" si="16"/>
        <v>0</v>
      </c>
      <c r="EQ56" s="297">
        <f t="shared" si="16"/>
        <v>0</v>
      </c>
      <c r="ER56" s="297">
        <f t="shared" si="16"/>
        <v>0</v>
      </c>
      <c r="ES56" s="297">
        <f t="shared" si="16"/>
        <v>0</v>
      </c>
      <c r="ET56" s="297">
        <f t="shared" si="16"/>
        <v>0</v>
      </c>
      <c r="EU56" s="297">
        <f t="shared" si="16"/>
        <v>0</v>
      </c>
      <c r="EV56" s="297">
        <f t="shared" si="16"/>
        <v>0</v>
      </c>
      <c r="EW56" s="297">
        <f t="shared" si="16"/>
        <v>0</v>
      </c>
      <c r="EX56" s="297">
        <f t="shared" si="16"/>
        <v>0</v>
      </c>
      <c r="EY56" s="297">
        <f t="shared" si="16"/>
        <v>0</v>
      </c>
      <c r="EZ56" s="297">
        <f t="shared" si="16"/>
        <v>0</v>
      </c>
      <c r="FA56" s="297">
        <f t="shared" si="16"/>
        <v>0</v>
      </c>
      <c r="FB56" s="297">
        <f t="shared" si="16"/>
        <v>0</v>
      </c>
      <c r="FC56" s="297">
        <f t="shared" si="16"/>
        <v>0</v>
      </c>
      <c r="FD56" s="297">
        <f t="shared" si="16"/>
        <v>0</v>
      </c>
      <c r="FE56" s="297">
        <f t="shared" si="16"/>
        <v>0</v>
      </c>
      <c r="FF56" s="297">
        <f t="shared" si="16"/>
        <v>0</v>
      </c>
      <c r="FG56" s="297">
        <f t="shared" si="16"/>
        <v>0</v>
      </c>
      <c r="FH56" s="297">
        <f t="shared" si="16"/>
        <v>0</v>
      </c>
      <c r="FI56" s="297">
        <f t="shared" si="16"/>
        <v>0</v>
      </c>
      <c r="FJ56" s="297">
        <f t="shared" si="16"/>
        <v>0</v>
      </c>
      <c r="FK56" s="297">
        <f t="shared" si="16"/>
        <v>0</v>
      </c>
      <c r="FL56" s="297">
        <f t="shared" si="16"/>
        <v>0</v>
      </c>
      <c r="FM56" s="297">
        <f t="shared" si="16"/>
        <v>0</v>
      </c>
      <c r="FN56" s="297">
        <f t="shared" si="16"/>
        <v>0</v>
      </c>
      <c r="FO56" s="297">
        <f t="shared" si="16"/>
        <v>0</v>
      </c>
      <c r="FP56" s="297">
        <f t="shared" si="16"/>
        <v>0</v>
      </c>
      <c r="FQ56" s="297">
        <f t="shared" si="16"/>
        <v>0</v>
      </c>
      <c r="FR56" s="297">
        <f t="shared" si="16"/>
        <v>0</v>
      </c>
      <c r="FS56" s="297">
        <f t="shared" si="16"/>
        <v>0</v>
      </c>
      <c r="FT56" s="297">
        <f t="shared" si="16"/>
        <v>0</v>
      </c>
      <c r="FU56" s="297">
        <f t="shared" si="16"/>
        <v>0</v>
      </c>
      <c r="FV56" s="297">
        <f t="shared" si="16"/>
        <v>0</v>
      </c>
      <c r="FW56" s="297">
        <f t="shared" si="16"/>
        <v>0</v>
      </c>
      <c r="FX56" s="297">
        <f t="shared" si="16"/>
        <v>0</v>
      </c>
      <c r="FY56" s="297">
        <f t="shared" si="16"/>
        <v>0</v>
      </c>
      <c r="FZ56" s="313">
        <f t="shared" si="16"/>
        <v>0</v>
      </c>
    </row>
    <row r="57" spans="1:182" ht="13.5" thickBot="1" x14ac:dyDescent="0.25">
      <c r="A57" s="236" t="s">
        <v>26</v>
      </c>
      <c r="B57" s="314">
        <f>+Inicio!F245</f>
        <v>1</v>
      </c>
      <c r="C57" s="308">
        <f>IF(C$5&lt;=$B$58,IF(C$5&lt;=$B$58,+B54-C56,0),0)</f>
        <v>148613.63380877877</v>
      </c>
      <c r="D57" s="299">
        <f t="shared" ref="D57:AI57" si="17">IF(D$5&lt;=$B$58,IF(D$5&lt;=$B$58,+C57-D56,0),0)</f>
        <v>146484.53500307744</v>
      </c>
      <c r="E57" s="299">
        <f t="shared" si="17"/>
        <v>144343.39796318451</v>
      </c>
      <c r="F57" s="299">
        <f t="shared" si="17"/>
        <v>142190.1546231737</v>
      </c>
      <c r="G57" s="299">
        <f t="shared" si="17"/>
        <v>140024.73653226398</v>
      </c>
      <c r="H57" s="299">
        <f t="shared" si="17"/>
        <v>137847.07485264374</v>
      </c>
      <c r="I57" s="299">
        <f t="shared" si="17"/>
        <v>135657.10035728235</v>
      </c>
      <c r="J57" s="299">
        <f t="shared" si="17"/>
        <v>133454.7434277295</v>
      </c>
      <c r="K57" s="299">
        <f t="shared" si="17"/>
        <v>131239.93405190198</v>
      </c>
      <c r="L57" s="299">
        <f t="shared" si="17"/>
        <v>129012.60182185814</v>
      </c>
      <c r="M57" s="299">
        <f t="shared" si="17"/>
        <v>126772.67593155958</v>
      </c>
      <c r="N57" s="299">
        <f t="shared" si="17"/>
        <v>124520.08517462027</v>
      </c>
      <c r="O57" s="299">
        <f t="shared" si="17"/>
        <v>122254.7579420429</v>
      </c>
      <c r="P57" s="299">
        <f t="shared" si="17"/>
        <v>119976.62221994248</v>
      </c>
      <c r="Q57" s="299">
        <f t="shared" si="17"/>
        <v>117685.60558725706</v>
      </c>
      <c r="R57" s="299">
        <f t="shared" si="17"/>
        <v>115381.63521344548</v>
      </c>
      <c r="S57" s="299">
        <f t="shared" si="17"/>
        <v>113064.63785617209</v>
      </c>
      <c r="T57" s="299">
        <f t="shared" si="17"/>
        <v>110734.53985897845</v>
      </c>
      <c r="U57" s="299">
        <f t="shared" si="17"/>
        <v>108391.26714894177</v>
      </c>
      <c r="V57" s="299">
        <f t="shared" si="17"/>
        <v>106034.7452343202</v>
      </c>
      <c r="W57" s="299">
        <f t="shared" si="17"/>
        <v>103664.89920218475</v>
      </c>
      <c r="X57" s="299">
        <f t="shared" si="17"/>
        <v>101281.65371603785</v>
      </c>
      <c r="Y57" s="299">
        <f t="shared" si="17"/>
        <v>98884.933013418398</v>
      </c>
      <c r="Z57" s="299">
        <f t="shared" si="17"/>
        <v>96474.660903493321</v>
      </c>
      <c r="AA57" s="299">
        <f t="shared" si="17"/>
        <v>94050.760764635517</v>
      </c>
      <c r="AB57" s="299">
        <f t="shared" si="17"/>
        <v>91613.155541988061</v>
      </c>
      <c r="AC57" s="299">
        <f t="shared" si="17"/>
        <v>89161.767745014658</v>
      </c>
      <c r="AD57" s="299">
        <f t="shared" si="17"/>
        <v>86696.519445036261</v>
      </c>
      <c r="AE57" s="299">
        <f t="shared" si="17"/>
        <v>84217.332272753731</v>
      </c>
      <c r="AF57" s="299">
        <f t="shared" si="17"/>
        <v>81724.12741575652</v>
      </c>
      <c r="AG57" s="299">
        <f t="shared" si="17"/>
        <v>79216.825616017275</v>
      </c>
      <c r="AH57" s="299">
        <f t="shared" si="17"/>
        <v>76695.347167372194</v>
      </c>
      <c r="AI57" s="299">
        <f t="shared" si="17"/>
        <v>74159.611912987268</v>
      </c>
      <c r="AJ57" s="299">
        <f t="shared" ref="AJ57:BO57" si="18">IF(AJ$5&lt;=$B$58,IF(AJ$5&lt;=$B$58,+AI57-AJ56,0),0)</f>
        <v>71609.539242810075</v>
      </c>
      <c r="AK57" s="299">
        <f t="shared" si="18"/>
        <v>69045.048091007251</v>
      </c>
      <c r="AL57" s="299">
        <f t="shared" si="18"/>
        <v>66466.05693338743</v>
      </c>
      <c r="AM57" s="299">
        <f t="shared" si="18"/>
        <v>63872.483784809585</v>
      </c>
      <c r="AN57" s="299">
        <f t="shared" si="18"/>
        <v>61264.246196576816</v>
      </c>
      <c r="AO57" s="299">
        <f t="shared" si="18"/>
        <v>58641.261253815283</v>
      </c>
      <c r="AP57" s="299">
        <f t="shared" si="18"/>
        <v>56003.445572838398</v>
      </c>
      <c r="AQ57" s="299">
        <f t="shared" si="18"/>
        <v>53350.715298496092</v>
      </c>
      <c r="AR57" s="299">
        <f t="shared" si="18"/>
        <v>50682.986101509086</v>
      </c>
      <c r="AS57" s="299">
        <f t="shared" si="18"/>
        <v>48000.173175788092</v>
      </c>
      <c r="AT57" s="299">
        <f t="shared" si="18"/>
        <v>45302.191235737861</v>
      </c>
      <c r="AU57" s="299">
        <f t="shared" si="18"/>
        <v>42588.954513545992</v>
      </c>
      <c r="AV57" s="299">
        <f t="shared" si="18"/>
        <v>39860.376756456404</v>
      </c>
      <c r="AW57" s="299">
        <f t="shared" si="18"/>
        <v>37116.371224027389</v>
      </c>
      <c r="AX57" s="299">
        <f t="shared" si="18"/>
        <v>34356.850685374171</v>
      </c>
      <c r="AY57" s="299">
        <f t="shared" si="18"/>
        <v>31581.727416395879</v>
      </c>
      <c r="AZ57" s="299">
        <f t="shared" si="18"/>
        <v>28790.913196986814</v>
      </c>
      <c r="BA57" s="299">
        <f t="shared" si="18"/>
        <v>25984.31930823197</v>
      </c>
      <c r="BB57" s="299">
        <f t="shared" si="18"/>
        <v>23161.856529586705</v>
      </c>
      <c r="BC57" s="299">
        <f t="shared" si="18"/>
        <v>20323.43513604044</v>
      </c>
      <c r="BD57" s="299">
        <f t="shared" si="18"/>
        <v>17468.964895264344</v>
      </c>
      <c r="BE57" s="299">
        <f t="shared" si="18"/>
        <v>14598.355064742876</v>
      </c>
      <c r="BF57" s="299">
        <f t="shared" si="18"/>
        <v>11711.514388889125</v>
      </c>
      <c r="BG57" s="299">
        <f t="shared" si="18"/>
        <v>8808.3510961438224</v>
      </c>
      <c r="BH57" s="299">
        <f t="shared" si="18"/>
        <v>5888.7728960579589</v>
      </c>
      <c r="BI57" s="299">
        <f t="shared" si="18"/>
        <v>2952.6869763589116</v>
      </c>
      <c r="BJ57" s="299">
        <f t="shared" si="18"/>
        <v>-2.7739588404074311E-11</v>
      </c>
      <c r="BK57" s="299">
        <f t="shared" si="18"/>
        <v>-2.7739588404074311E-11</v>
      </c>
      <c r="BL57" s="299">
        <f t="shared" si="18"/>
        <v>-2.7739588404074311E-11</v>
      </c>
      <c r="BM57" s="299">
        <f t="shared" si="18"/>
        <v>-2.7739588404074311E-11</v>
      </c>
      <c r="BN57" s="299">
        <f t="shared" si="18"/>
        <v>-2.7739588404074311E-11</v>
      </c>
      <c r="BO57" s="299">
        <f t="shared" si="18"/>
        <v>-2.7739588404074311E-11</v>
      </c>
      <c r="BP57" s="299">
        <f t="shared" ref="BP57:CU57" si="19">IF(BP$5&lt;=$B$58,IF(BP$5&lt;=$B$58,+BO57-BP56,0),0)</f>
        <v>-2.7739588404074311E-11</v>
      </c>
      <c r="BQ57" s="299">
        <f t="shared" si="19"/>
        <v>-2.7739588404074311E-11</v>
      </c>
      <c r="BR57" s="299">
        <f t="shared" si="19"/>
        <v>-2.7739588404074311E-11</v>
      </c>
      <c r="BS57" s="299">
        <f t="shared" si="19"/>
        <v>-2.7739588404074311E-11</v>
      </c>
      <c r="BT57" s="299">
        <f t="shared" si="19"/>
        <v>-2.7739588404074311E-11</v>
      </c>
      <c r="BU57" s="299">
        <f t="shared" si="19"/>
        <v>-2.7739588404074311E-11</v>
      </c>
      <c r="BV57" s="299">
        <f t="shared" si="19"/>
        <v>-2.7739588404074311E-11</v>
      </c>
      <c r="BW57" s="299">
        <f t="shared" si="19"/>
        <v>-2.7739588404074311E-11</v>
      </c>
      <c r="BX57" s="299">
        <f t="shared" si="19"/>
        <v>-2.7739588404074311E-11</v>
      </c>
      <c r="BY57" s="299">
        <f t="shared" si="19"/>
        <v>-2.7739588404074311E-11</v>
      </c>
      <c r="BZ57" s="299">
        <f t="shared" si="19"/>
        <v>-2.7739588404074311E-11</v>
      </c>
      <c r="CA57" s="299">
        <f t="shared" si="19"/>
        <v>-2.7739588404074311E-11</v>
      </c>
      <c r="CB57" s="299">
        <f t="shared" si="19"/>
        <v>-2.7739588404074311E-11</v>
      </c>
      <c r="CC57" s="299">
        <f t="shared" si="19"/>
        <v>-2.7739588404074311E-11</v>
      </c>
      <c r="CD57" s="299">
        <f t="shared" si="19"/>
        <v>-2.7739588404074311E-11</v>
      </c>
      <c r="CE57" s="299">
        <f t="shared" si="19"/>
        <v>-2.7739588404074311E-11</v>
      </c>
      <c r="CF57" s="299">
        <f t="shared" si="19"/>
        <v>-2.7739588404074311E-11</v>
      </c>
      <c r="CG57" s="299">
        <f t="shared" si="19"/>
        <v>-2.7739588404074311E-11</v>
      </c>
      <c r="CH57" s="299">
        <f t="shared" si="19"/>
        <v>-2.7739588404074311E-11</v>
      </c>
      <c r="CI57" s="299">
        <f t="shared" si="19"/>
        <v>-2.7739588404074311E-11</v>
      </c>
      <c r="CJ57" s="299">
        <f t="shared" si="19"/>
        <v>-2.7739588404074311E-11</v>
      </c>
      <c r="CK57" s="299">
        <f t="shared" si="19"/>
        <v>-2.7739588404074311E-11</v>
      </c>
      <c r="CL57" s="299">
        <f t="shared" si="19"/>
        <v>-2.7739588404074311E-11</v>
      </c>
      <c r="CM57" s="299">
        <f t="shared" si="19"/>
        <v>-2.7739588404074311E-11</v>
      </c>
      <c r="CN57" s="299">
        <f t="shared" si="19"/>
        <v>-2.7739588404074311E-11</v>
      </c>
      <c r="CO57" s="299">
        <f t="shared" si="19"/>
        <v>-2.7739588404074311E-11</v>
      </c>
      <c r="CP57" s="299">
        <f t="shared" si="19"/>
        <v>-2.7739588404074311E-11</v>
      </c>
      <c r="CQ57" s="299">
        <f t="shared" si="19"/>
        <v>-2.7739588404074311E-11</v>
      </c>
      <c r="CR57" s="299">
        <f t="shared" si="19"/>
        <v>-2.7739588404074311E-11</v>
      </c>
      <c r="CS57" s="299">
        <f t="shared" si="19"/>
        <v>-2.7739588404074311E-11</v>
      </c>
      <c r="CT57" s="299">
        <f t="shared" si="19"/>
        <v>-2.7739588404074311E-11</v>
      </c>
      <c r="CU57" s="299">
        <f t="shared" si="19"/>
        <v>-2.7739588404074311E-11</v>
      </c>
      <c r="CV57" s="299">
        <f t="shared" ref="CV57:EA57" si="20">IF(CV$5&lt;=$B$58,IF(CV$5&lt;=$B$58,+CU57-CV56,0),0)</f>
        <v>-2.7739588404074311E-11</v>
      </c>
      <c r="CW57" s="299">
        <f t="shared" si="20"/>
        <v>-2.7739588404074311E-11</v>
      </c>
      <c r="CX57" s="299">
        <f t="shared" si="20"/>
        <v>-2.7739588404074311E-11</v>
      </c>
      <c r="CY57" s="299">
        <f t="shared" si="20"/>
        <v>-2.7739588404074311E-11</v>
      </c>
      <c r="CZ57" s="299">
        <f t="shared" si="20"/>
        <v>-2.7739588404074311E-11</v>
      </c>
      <c r="DA57" s="299">
        <f t="shared" si="20"/>
        <v>-2.7739588404074311E-11</v>
      </c>
      <c r="DB57" s="299">
        <f t="shared" si="20"/>
        <v>-2.7739588404074311E-11</v>
      </c>
      <c r="DC57" s="299">
        <f t="shared" si="20"/>
        <v>-2.7739588404074311E-11</v>
      </c>
      <c r="DD57" s="299">
        <f t="shared" si="20"/>
        <v>-2.7739588404074311E-11</v>
      </c>
      <c r="DE57" s="299">
        <f t="shared" si="20"/>
        <v>-2.7739588404074311E-11</v>
      </c>
      <c r="DF57" s="299">
        <f t="shared" si="20"/>
        <v>-2.7739588404074311E-11</v>
      </c>
      <c r="DG57" s="299">
        <f t="shared" si="20"/>
        <v>-2.7739588404074311E-11</v>
      </c>
      <c r="DH57" s="299">
        <f t="shared" si="20"/>
        <v>-2.7739588404074311E-11</v>
      </c>
      <c r="DI57" s="299">
        <f t="shared" si="20"/>
        <v>-2.7739588404074311E-11</v>
      </c>
      <c r="DJ57" s="299">
        <f t="shared" si="20"/>
        <v>-2.7739588404074311E-11</v>
      </c>
      <c r="DK57" s="299">
        <f t="shared" si="20"/>
        <v>-2.7739588404074311E-11</v>
      </c>
      <c r="DL57" s="299">
        <f t="shared" si="20"/>
        <v>-2.7739588404074311E-11</v>
      </c>
      <c r="DM57" s="299">
        <f t="shared" si="20"/>
        <v>-2.7739588404074311E-11</v>
      </c>
      <c r="DN57" s="299">
        <f t="shared" si="20"/>
        <v>-2.7739588404074311E-11</v>
      </c>
      <c r="DO57" s="299">
        <f t="shared" si="20"/>
        <v>-2.7739588404074311E-11</v>
      </c>
      <c r="DP57" s="299">
        <f t="shared" si="20"/>
        <v>-2.7739588404074311E-11</v>
      </c>
      <c r="DQ57" s="299">
        <f t="shared" si="20"/>
        <v>-2.7739588404074311E-11</v>
      </c>
      <c r="DR57" s="299">
        <f t="shared" si="20"/>
        <v>-2.7739588404074311E-11</v>
      </c>
      <c r="DS57" s="299">
        <f t="shared" si="20"/>
        <v>-2.7739588404074311E-11</v>
      </c>
      <c r="DT57" s="299">
        <f t="shared" si="20"/>
        <v>-2.7739588404074311E-11</v>
      </c>
      <c r="DU57" s="299">
        <f t="shared" si="20"/>
        <v>-2.7739588404074311E-11</v>
      </c>
      <c r="DV57" s="299">
        <f t="shared" si="20"/>
        <v>-2.7739588404074311E-11</v>
      </c>
      <c r="DW57" s="299">
        <f t="shared" si="20"/>
        <v>-2.7739588404074311E-11</v>
      </c>
      <c r="DX57" s="299">
        <f t="shared" si="20"/>
        <v>-2.7739588404074311E-11</v>
      </c>
      <c r="DY57" s="299">
        <f t="shared" si="20"/>
        <v>-2.7739588404074311E-11</v>
      </c>
      <c r="DZ57" s="299">
        <f t="shared" si="20"/>
        <v>-2.7739588404074311E-11</v>
      </c>
      <c r="EA57" s="299">
        <f t="shared" si="20"/>
        <v>-2.7739588404074311E-11</v>
      </c>
      <c r="EB57" s="299">
        <f t="shared" ref="EB57:FG57" si="21">IF(EB$5&lt;=$B$58,IF(EB$5&lt;=$B$58,+EA57-EB56,0),0)</f>
        <v>-2.7739588404074311E-11</v>
      </c>
      <c r="EC57" s="299">
        <f t="shared" si="21"/>
        <v>-2.7739588404074311E-11</v>
      </c>
      <c r="ED57" s="299">
        <f t="shared" si="21"/>
        <v>-2.7739588404074311E-11</v>
      </c>
      <c r="EE57" s="299">
        <f t="shared" si="21"/>
        <v>-2.7739588404074311E-11</v>
      </c>
      <c r="EF57" s="299">
        <f t="shared" si="21"/>
        <v>-2.7739588404074311E-11</v>
      </c>
      <c r="EG57" s="299">
        <f t="shared" si="21"/>
        <v>-2.7739588404074311E-11</v>
      </c>
      <c r="EH57" s="299">
        <f t="shared" si="21"/>
        <v>-2.7739588404074311E-11</v>
      </c>
      <c r="EI57" s="299">
        <f t="shared" si="21"/>
        <v>-2.7739588404074311E-11</v>
      </c>
      <c r="EJ57" s="299">
        <f t="shared" si="21"/>
        <v>-2.7739588404074311E-11</v>
      </c>
      <c r="EK57" s="299">
        <f t="shared" si="21"/>
        <v>-2.7739588404074311E-11</v>
      </c>
      <c r="EL57" s="299">
        <f t="shared" si="21"/>
        <v>-2.7739588404074311E-11</v>
      </c>
      <c r="EM57" s="299">
        <f t="shared" si="21"/>
        <v>-2.7739588404074311E-11</v>
      </c>
      <c r="EN57" s="299">
        <f t="shared" si="21"/>
        <v>-2.7739588404074311E-11</v>
      </c>
      <c r="EO57" s="299">
        <f t="shared" si="21"/>
        <v>-2.7739588404074311E-11</v>
      </c>
      <c r="EP57" s="299">
        <f t="shared" si="21"/>
        <v>-2.7739588404074311E-11</v>
      </c>
      <c r="EQ57" s="299">
        <f t="shared" si="21"/>
        <v>-2.7739588404074311E-11</v>
      </c>
      <c r="ER57" s="299">
        <f t="shared" si="21"/>
        <v>-2.7739588404074311E-11</v>
      </c>
      <c r="ES57" s="299">
        <f t="shared" si="21"/>
        <v>-2.7739588404074311E-11</v>
      </c>
      <c r="ET57" s="299">
        <f t="shared" si="21"/>
        <v>-2.7739588404074311E-11</v>
      </c>
      <c r="EU57" s="299">
        <f t="shared" si="21"/>
        <v>-2.7739588404074311E-11</v>
      </c>
      <c r="EV57" s="299">
        <f t="shared" si="21"/>
        <v>-2.7739588404074311E-11</v>
      </c>
      <c r="EW57" s="299">
        <f t="shared" si="21"/>
        <v>-2.7739588404074311E-11</v>
      </c>
      <c r="EX57" s="299">
        <f t="shared" si="21"/>
        <v>-2.7739588404074311E-11</v>
      </c>
      <c r="EY57" s="299">
        <f t="shared" si="21"/>
        <v>-2.7739588404074311E-11</v>
      </c>
      <c r="EZ57" s="299">
        <f t="shared" si="21"/>
        <v>-2.7739588404074311E-11</v>
      </c>
      <c r="FA57" s="299">
        <f t="shared" si="21"/>
        <v>-2.7739588404074311E-11</v>
      </c>
      <c r="FB57" s="299">
        <f t="shared" si="21"/>
        <v>-2.7739588404074311E-11</v>
      </c>
      <c r="FC57" s="299">
        <f t="shared" si="21"/>
        <v>-2.7739588404074311E-11</v>
      </c>
      <c r="FD57" s="299">
        <f t="shared" si="21"/>
        <v>-2.7739588404074311E-11</v>
      </c>
      <c r="FE57" s="299">
        <f t="shared" si="21"/>
        <v>-2.7739588404074311E-11</v>
      </c>
      <c r="FF57" s="299">
        <f t="shared" si="21"/>
        <v>-2.7739588404074311E-11</v>
      </c>
      <c r="FG57" s="299">
        <f t="shared" si="21"/>
        <v>-2.7739588404074311E-11</v>
      </c>
      <c r="FH57" s="299">
        <f t="shared" ref="FH57:FZ57" si="22">IF(FH$5&lt;=$B$58,IF(FH$5&lt;=$B$58,+FG57-FH56,0),0)</f>
        <v>-2.7739588404074311E-11</v>
      </c>
      <c r="FI57" s="299">
        <f t="shared" si="22"/>
        <v>-2.7739588404074311E-11</v>
      </c>
      <c r="FJ57" s="299">
        <f t="shared" si="22"/>
        <v>-2.7739588404074311E-11</v>
      </c>
      <c r="FK57" s="299">
        <f t="shared" si="22"/>
        <v>-2.7739588404074311E-11</v>
      </c>
      <c r="FL57" s="299">
        <f t="shared" si="22"/>
        <v>-2.7739588404074311E-11</v>
      </c>
      <c r="FM57" s="299">
        <f t="shared" si="22"/>
        <v>-2.7739588404074311E-11</v>
      </c>
      <c r="FN57" s="299">
        <f t="shared" si="22"/>
        <v>-2.7739588404074311E-11</v>
      </c>
      <c r="FO57" s="299">
        <f t="shared" si="22"/>
        <v>-2.7739588404074311E-11</v>
      </c>
      <c r="FP57" s="299">
        <f t="shared" si="22"/>
        <v>-2.7739588404074311E-11</v>
      </c>
      <c r="FQ57" s="299">
        <f t="shared" si="22"/>
        <v>-2.7739588404074311E-11</v>
      </c>
      <c r="FR57" s="299">
        <f t="shared" si="22"/>
        <v>-2.7739588404074311E-11</v>
      </c>
      <c r="FS57" s="299">
        <f t="shared" si="22"/>
        <v>-2.7739588404074311E-11</v>
      </c>
      <c r="FT57" s="299">
        <f t="shared" si="22"/>
        <v>-2.7739588404074311E-11</v>
      </c>
      <c r="FU57" s="299">
        <f t="shared" si="22"/>
        <v>-2.7739588404074311E-11</v>
      </c>
      <c r="FV57" s="299">
        <f t="shared" si="22"/>
        <v>-2.7739588404074311E-11</v>
      </c>
      <c r="FW57" s="299">
        <f t="shared" si="22"/>
        <v>-2.7739588404074311E-11</v>
      </c>
      <c r="FX57" s="299">
        <f t="shared" si="22"/>
        <v>-2.7739588404074311E-11</v>
      </c>
      <c r="FY57" s="299">
        <f t="shared" si="22"/>
        <v>-2.7739588404074311E-11</v>
      </c>
      <c r="FZ57" s="305">
        <f t="shared" si="22"/>
        <v>-2.7739588404074311E-11</v>
      </c>
    </row>
    <row r="58" spans="1:182" x14ac:dyDescent="0.2">
      <c r="A58" s="236" t="s">
        <v>61</v>
      </c>
      <c r="B58" s="298">
        <f>IF(Inicio!$E$51="Años",Inicio!E245*12,Inicio!E245*12)</f>
        <v>60</v>
      </c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  <c r="BI58" s="153"/>
      <c r="BJ58" s="153"/>
      <c r="BK58" s="153"/>
      <c r="BL58" s="153"/>
      <c r="BM58" s="153"/>
      <c r="BN58" s="153"/>
      <c r="BO58" s="153"/>
      <c r="BP58" s="153"/>
      <c r="BQ58" s="153"/>
      <c r="BR58" s="153"/>
      <c r="BS58" s="153"/>
      <c r="BT58" s="153"/>
      <c r="BU58" s="153"/>
      <c r="BV58" s="153"/>
      <c r="BW58" s="153"/>
      <c r="BX58" s="153"/>
      <c r="BY58" s="153"/>
      <c r="BZ58" s="153"/>
      <c r="CA58" s="153"/>
      <c r="CB58" s="153"/>
      <c r="CC58" s="153"/>
      <c r="CD58" s="153"/>
      <c r="CE58" s="153"/>
      <c r="CF58" s="153"/>
      <c r="CG58" s="153"/>
      <c r="CH58" s="153"/>
      <c r="CI58" s="153"/>
      <c r="CJ58" s="153"/>
      <c r="CK58" s="153"/>
      <c r="CL58" s="153"/>
      <c r="CM58" s="153"/>
      <c r="CN58" s="153"/>
      <c r="CO58" s="153"/>
      <c r="CP58" s="153"/>
      <c r="CQ58" s="153"/>
      <c r="CR58" s="153"/>
      <c r="CS58" s="153"/>
      <c r="CT58" s="153"/>
      <c r="CU58" s="153"/>
      <c r="CV58" s="153"/>
      <c r="CW58" s="153"/>
      <c r="CX58" s="153"/>
      <c r="CY58" s="153"/>
      <c r="CZ58" s="153"/>
      <c r="DA58" s="153"/>
      <c r="DB58" s="153"/>
      <c r="DC58" s="153"/>
      <c r="DD58" s="153"/>
      <c r="DE58" s="153"/>
      <c r="DF58" s="153"/>
      <c r="DG58" s="153"/>
      <c r="DH58" s="153"/>
      <c r="DI58" s="153"/>
      <c r="DJ58" s="153"/>
      <c r="DK58" s="153"/>
      <c r="DL58" s="153"/>
      <c r="DM58" s="153"/>
      <c r="DN58" s="153"/>
      <c r="DO58" s="153"/>
      <c r="DP58" s="153"/>
      <c r="DQ58" s="153"/>
      <c r="DR58" s="153"/>
      <c r="DS58" s="153"/>
      <c r="DT58" s="153"/>
      <c r="DU58" s="153"/>
      <c r="DV58" s="153"/>
      <c r="DW58" s="153"/>
      <c r="DX58" s="153"/>
      <c r="DY58" s="153"/>
      <c r="DZ58" s="153"/>
      <c r="EA58" s="153"/>
      <c r="EB58" s="153"/>
      <c r="EC58" s="153"/>
      <c r="ED58" s="153"/>
      <c r="EE58" s="153"/>
      <c r="EF58" s="153"/>
      <c r="EG58" s="153"/>
      <c r="EH58" s="153"/>
      <c r="EI58" s="153"/>
      <c r="EJ58" s="153"/>
      <c r="EK58" s="153"/>
      <c r="EL58" s="153"/>
      <c r="EM58" s="153"/>
      <c r="EN58" s="153"/>
      <c r="EO58" s="153"/>
      <c r="EP58" s="153"/>
      <c r="EQ58" s="153"/>
      <c r="ER58" s="153"/>
      <c r="ES58" s="153"/>
      <c r="ET58" s="153"/>
      <c r="EU58" s="153"/>
      <c r="EV58" s="153"/>
      <c r="EW58" s="153"/>
      <c r="EX58" s="153"/>
      <c r="EY58" s="153"/>
      <c r="EZ58" s="153"/>
      <c r="FA58" s="153"/>
      <c r="FB58" s="153"/>
      <c r="FC58" s="153"/>
      <c r="FD58" s="153"/>
      <c r="FE58" s="153"/>
      <c r="FF58" s="153"/>
      <c r="FG58" s="153"/>
      <c r="FH58" s="153"/>
      <c r="FI58" s="153"/>
      <c r="FJ58" s="153"/>
      <c r="FK58" s="153"/>
      <c r="FL58" s="153"/>
      <c r="FM58" s="153"/>
      <c r="FN58" s="153"/>
      <c r="FO58" s="153"/>
      <c r="FP58" s="153"/>
      <c r="FQ58" s="153"/>
      <c r="FR58" s="153"/>
      <c r="FS58" s="153"/>
      <c r="FT58" s="153"/>
      <c r="FU58" s="153"/>
      <c r="FV58" s="153"/>
      <c r="FW58" s="153"/>
      <c r="FX58" s="153"/>
      <c r="FY58" s="153"/>
      <c r="FZ58" s="153"/>
    </row>
    <row r="59" spans="1:182" x14ac:dyDescent="0.2">
      <c r="A59" s="236" t="s">
        <v>256</v>
      </c>
      <c r="B59" s="300">
        <f>(B54*(B55/(1-(+POWER((1+B55),-B58)))))/(1+B55)</f>
        <v>2952.6869763589393</v>
      </c>
      <c r="C59" s="301" t="s">
        <v>1</v>
      </c>
      <c r="D59" s="301" t="s">
        <v>1</v>
      </c>
      <c r="E59" s="301" t="s">
        <v>1</v>
      </c>
      <c r="F59" s="301" t="s">
        <v>1</v>
      </c>
      <c r="G59" s="301" t="s">
        <v>1</v>
      </c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  <c r="BJ59" s="153"/>
      <c r="BK59" s="153"/>
      <c r="BL59" s="153"/>
      <c r="BM59" s="153"/>
      <c r="BN59" s="153"/>
      <c r="BO59" s="153"/>
      <c r="BP59" s="153"/>
      <c r="BQ59" s="153"/>
      <c r="BR59" s="153"/>
      <c r="BS59" s="153"/>
      <c r="BT59" s="153"/>
      <c r="BU59" s="153"/>
      <c r="BV59" s="153"/>
      <c r="BW59" s="153"/>
      <c r="BX59" s="153"/>
      <c r="BY59" s="153"/>
      <c r="BZ59" s="153"/>
      <c r="CA59" s="153"/>
      <c r="CB59" s="153"/>
      <c r="CC59" s="153"/>
      <c r="CD59" s="153"/>
      <c r="CE59" s="153"/>
      <c r="CF59" s="153"/>
      <c r="CG59" s="153"/>
      <c r="CH59" s="153"/>
      <c r="CI59" s="153"/>
      <c r="CJ59" s="153"/>
      <c r="CK59" s="153"/>
      <c r="CL59" s="153"/>
      <c r="CM59" s="153"/>
      <c r="CN59" s="153"/>
      <c r="CO59" s="153"/>
      <c r="CP59" s="153"/>
      <c r="CQ59" s="153"/>
      <c r="CR59" s="153"/>
      <c r="CS59" s="153"/>
      <c r="CT59" s="153"/>
      <c r="CU59" s="153"/>
      <c r="CV59" s="153"/>
      <c r="CW59" s="153"/>
      <c r="CX59" s="153"/>
      <c r="CY59" s="153"/>
      <c r="CZ59" s="153"/>
      <c r="DA59" s="153"/>
      <c r="DB59" s="153"/>
      <c r="DC59" s="153"/>
      <c r="DD59" s="153"/>
      <c r="DE59" s="153"/>
      <c r="DF59" s="153"/>
      <c r="DG59" s="153"/>
      <c r="DH59" s="153"/>
      <c r="DI59" s="153"/>
      <c r="DJ59" s="153"/>
      <c r="DK59" s="153"/>
      <c r="DL59" s="153"/>
      <c r="DM59" s="153"/>
      <c r="DN59" s="153"/>
      <c r="DO59" s="153"/>
      <c r="DP59" s="153"/>
      <c r="DQ59" s="153"/>
      <c r="DR59" s="153"/>
      <c r="DS59" s="153"/>
      <c r="DT59" s="153"/>
      <c r="DU59" s="153"/>
      <c r="DV59" s="153"/>
      <c r="DW59" s="153"/>
      <c r="DX59" s="153"/>
      <c r="DY59" s="153"/>
      <c r="DZ59" s="153"/>
      <c r="EA59" s="153"/>
      <c r="EB59" s="153"/>
      <c r="EC59" s="153"/>
      <c r="ED59" s="153"/>
      <c r="EE59" s="153"/>
      <c r="EF59" s="153"/>
      <c r="EG59" s="153"/>
      <c r="EH59" s="153"/>
      <c r="EI59" s="153"/>
      <c r="EJ59" s="153"/>
      <c r="EK59" s="153"/>
      <c r="EL59" s="153"/>
      <c r="EM59" s="153"/>
      <c r="EN59" s="153"/>
      <c r="EO59" s="153"/>
      <c r="EP59" s="153"/>
      <c r="EQ59" s="153"/>
      <c r="ER59" s="153"/>
      <c r="ES59" s="153"/>
      <c r="ET59" s="153"/>
      <c r="EU59" s="153"/>
      <c r="EV59" s="153"/>
      <c r="EW59" s="153"/>
      <c r="EX59" s="153"/>
      <c r="EY59" s="153"/>
      <c r="EZ59" s="153"/>
      <c r="FA59" s="153"/>
      <c r="FB59" s="153"/>
      <c r="FC59" s="153"/>
      <c r="FD59" s="153"/>
      <c r="FE59" s="153"/>
      <c r="FF59" s="153"/>
      <c r="FG59" s="153"/>
      <c r="FH59" s="153"/>
      <c r="FI59" s="153"/>
      <c r="FJ59" s="153"/>
      <c r="FK59" s="153"/>
      <c r="FL59" s="153"/>
      <c r="FM59" s="153"/>
      <c r="FN59" s="153"/>
      <c r="FO59" s="153"/>
      <c r="FP59" s="153"/>
      <c r="FQ59" s="153"/>
      <c r="FR59" s="153"/>
      <c r="FS59" s="153"/>
      <c r="FT59" s="153"/>
      <c r="FU59" s="153"/>
      <c r="FV59" s="153"/>
      <c r="FW59" s="153"/>
      <c r="FX59" s="153"/>
      <c r="FY59" s="153"/>
      <c r="FZ59" s="153"/>
    </row>
    <row r="60" spans="1:182" ht="13.5" thickBot="1" x14ac:dyDescent="0.25">
      <c r="A60" s="302" t="s">
        <v>257</v>
      </c>
      <c r="B60" s="303">
        <f>B54*(B55/(1-(+POWER((1+B55),-B58))))</f>
        <v>2969.3818978067707</v>
      </c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3"/>
      <c r="BN60" s="153"/>
      <c r="BO60" s="153"/>
      <c r="BP60" s="153"/>
      <c r="BQ60" s="153"/>
      <c r="BR60" s="153"/>
      <c r="BS60" s="153"/>
      <c r="BT60" s="153"/>
      <c r="BU60" s="153"/>
      <c r="BV60" s="153"/>
      <c r="BW60" s="153"/>
      <c r="BX60" s="153"/>
      <c r="BY60" s="153"/>
      <c r="BZ60" s="153"/>
      <c r="CA60" s="153"/>
      <c r="CB60" s="153"/>
      <c r="CC60" s="153"/>
      <c r="CD60" s="153"/>
      <c r="CE60" s="153"/>
      <c r="CF60" s="153"/>
      <c r="CG60" s="153"/>
      <c r="CH60" s="153"/>
      <c r="CI60" s="153"/>
      <c r="CJ60" s="153"/>
      <c r="CK60" s="153"/>
      <c r="CL60" s="153"/>
      <c r="CM60" s="153"/>
      <c r="CN60" s="153"/>
      <c r="CO60" s="153"/>
      <c r="CP60" s="153"/>
      <c r="CQ60" s="153"/>
      <c r="CR60" s="153"/>
      <c r="CS60" s="153"/>
      <c r="CT60" s="153"/>
      <c r="CU60" s="153"/>
      <c r="CV60" s="153"/>
      <c r="CW60" s="153"/>
      <c r="CX60" s="153"/>
      <c r="CY60" s="153"/>
      <c r="CZ60" s="153"/>
      <c r="DA60" s="153"/>
      <c r="DB60" s="153"/>
      <c r="DC60" s="153"/>
      <c r="DD60" s="153"/>
      <c r="DE60" s="153"/>
      <c r="DF60" s="153"/>
      <c r="DG60" s="153"/>
      <c r="DH60" s="153"/>
      <c r="DI60" s="153"/>
      <c r="DJ60" s="153"/>
      <c r="DK60" s="153"/>
      <c r="DL60" s="153"/>
      <c r="DM60" s="153"/>
      <c r="DN60" s="153"/>
      <c r="DO60" s="153"/>
      <c r="DP60" s="153"/>
      <c r="DQ60" s="153"/>
      <c r="DR60" s="153"/>
      <c r="DS60" s="153"/>
      <c r="DT60" s="153"/>
      <c r="DU60" s="153"/>
      <c r="DV60" s="153"/>
      <c r="DW60" s="153"/>
      <c r="DX60" s="153"/>
      <c r="DY60" s="153"/>
      <c r="DZ60" s="153"/>
      <c r="EA60" s="153"/>
      <c r="EB60" s="153"/>
      <c r="EC60" s="153"/>
      <c r="ED60" s="153"/>
      <c r="EE60" s="153"/>
      <c r="EF60" s="153"/>
      <c r="EG60" s="153"/>
      <c r="EH60" s="153"/>
      <c r="EI60" s="153"/>
      <c r="EJ60" s="153"/>
      <c r="EK60" s="153"/>
      <c r="EL60" s="153"/>
      <c r="EM60" s="153"/>
      <c r="EN60" s="153"/>
      <c r="EO60" s="153"/>
      <c r="EP60" s="153"/>
      <c r="EQ60" s="153"/>
      <c r="ER60" s="153"/>
      <c r="ES60" s="153"/>
      <c r="ET60" s="153"/>
      <c r="EU60" s="153"/>
      <c r="EV60" s="153"/>
      <c r="EW60" s="153"/>
      <c r="EX60" s="153"/>
      <c r="EY60" s="153"/>
      <c r="EZ60" s="153"/>
      <c r="FA60" s="153"/>
      <c r="FB60" s="153"/>
      <c r="FC60" s="153"/>
      <c r="FD60" s="153"/>
      <c r="FE60" s="153"/>
      <c r="FF60" s="153"/>
      <c r="FG60" s="153"/>
      <c r="FH60" s="153"/>
      <c r="FI60" s="153"/>
      <c r="FJ60" s="153"/>
      <c r="FK60" s="153"/>
      <c r="FL60" s="153"/>
      <c r="FM60" s="153"/>
      <c r="FN60" s="153"/>
      <c r="FO60" s="153"/>
      <c r="FP60" s="153"/>
      <c r="FQ60" s="153"/>
      <c r="FR60" s="153"/>
      <c r="FS60" s="153"/>
      <c r="FT60" s="153"/>
      <c r="FU60" s="153"/>
      <c r="FV60" s="153"/>
      <c r="FW60" s="153"/>
      <c r="FX60" s="153"/>
      <c r="FY60" s="153"/>
      <c r="FZ60" s="153"/>
    </row>
    <row r="61" spans="1:182" x14ac:dyDescent="0.2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3"/>
      <c r="BN61" s="153"/>
      <c r="BO61" s="153"/>
      <c r="BP61" s="153"/>
      <c r="BQ61" s="153"/>
      <c r="BR61" s="153"/>
      <c r="BS61" s="153"/>
      <c r="BT61" s="153"/>
      <c r="BU61" s="153"/>
      <c r="BV61" s="153"/>
      <c r="BW61" s="153"/>
      <c r="BX61" s="153"/>
      <c r="BY61" s="153"/>
      <c r="BZ61" s="153"/>
      <c r="CA61" s="153"/>
      <c r="CB61" s="153"/>
      <c r="CC61" s="153"/>
      <c r="CD61" s="153"/>
      <c r="CE61" s="153"/>
      <c r="CF61" s="153"/>
      <c r="CG61" s="153"/>
      <c r="CH61" s="153"/>
      <c r="CI61" s="153"/>
      <c r="CJ61" s="153"/>
      <c r="CK61" s="153"/>
      <c r="CL61" s="153"/>
      <c r="CM61" s="153"/>
      <c r="CN61" s="153"/>
      <c r="CO61" s="153"/>
      <c r="CP61" s="153"/>
      <c r="CQ61" s="153"/>
      <c r="CR61" s="153"/>
      <c r="CS61" s="153"/>
      <c r="CT61" s="153"/>
      <c r="CU61" s="153"/>
      <c r="CV61" s="153"/>
      <c r="CW61" s="153"/>
      <c r="CX61" s="153"/>
      <c r="CY61" s="153"/>
      <c r="CZ61" s="153"/>
      <c r="DA61" s="153"/>
      <c r="DB61" s="153"/>
      <c r="DC61" s="153"/>
      <c r="DD61" s="153"/>
      <c r="DE61" s="153"/>
      <c r="DF61" s="153"/>
      <c r="DG61" s="153"/>
      <c r="DH61" s="153"/>
      <c r="DI61" s="153"/>
      <c r="DJ61" s="153"/>
      <c r="DK61" s="153"/>
      <c r="DL61" s="153"/>
      <c r="DM61" s="153"/>
      <c r="DN61" s="153"/>
      <c r="DO61" s="153"/>
      <c r="DP61" s="153"/>
      <c r="DQ61" s="153"/>
      <c r="DR61" s="153"/>
      <c r="DS61" s="153"/>
      <c r="DT61" s="153"/>
      <c r="DU61" s="153"/>
      <c r="DV61" s="153"/>
      <c r="DW61" s="153"/>
      <c r="DX61" s="153"/>
      <c r="DY61" s="153"/>
      <c r="DZ61" s="153"/>
      <c r="EA61" s="153"/>
      <c r="EB61" s="153"/>
      <c r="EC61" s="153"/>
      <c r="ED61" s="153"/>
      <c r="EE61" s="153"/>
      <c r="EF61" s="153"/>
      <c r="EG61" s="153"/>
      <c r="EH61" s="153"/>
      <c r="EI61" s="153"/>
      <c r="EJ61" s="153"/>
      <c r="EK61" s="153"/>
      <c r="EL61" s="153"/>
      <c r="EM61" s="153"/>
      <c r="EN61" s="153"/>
      <c r="EO61" s="153"/>
      <c r="EP61" s="153"/>
      <c r="EQ61" s="153"/>
      <c r="ER61" s="153"/>
      <c r="ES61" s="153"/>
      <c r="ET61" s="153"/>
      <c r="EU61" s="153"/>
      <c r="EV61" s="153"/>
      <c r="EW61" s="153"/>
      <c r="EX61" s="153"/>
      <c r="EY61" s="153"/>
      <c r="EZ61" s="153"/>
      <c r="FA61" s="153"/>
      <c r="FB61" s="153"/>
      <c r="FC61" s="153"/>
      <c r="FD61" s="153"/>
      <c r="FE61" s="153"/>
      <c r="FF61" s="153"/>
      <c r="FG61" s="153"/>
      <c r="FH61" s="153"/>
      <c r="FI61" s="153"/>
      <c r="FJ61" s="153"/>
      <c r="FK61" s="153"/>
      <c r="FL61" s="153"/>
      <c r="FM61" s="153"/>
      <c r="FN61" s="153"/>
      <c r="FO61" s="153"/>
      <c r="FP61" s="153"/>
      <c r="FQ61" s="153"/>
      <c r="FR61" s="153"/>
      <c r="FS61" s="153"/>
      <c r="FT61" s="153"/>
      <c r="FU61" s="153"/>
      <c r="FV61" s="153"/>
      <c r="FW61" s="153"/>
      <c r="FX61" s="153"/>
      <c r="FY61" s="153"/>
      <c r="FZ61" s="153"/>
    </row>
    <row r="62" spans="1:182" x14ac:dyDescent="0.2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3"/>
      <c r="BN62" s="153"/>
      <c r="BO62" s="153"/>
      <c r="BP62" s="153"/>
      <c r="BQ62" s="153"/>
      <c r="BR62" s="153"/>
      <c r="BS62" s="153"/>
      <c r="BT62" s="153"/>
      <c r="BU62" s="153"/>
      <c r="BV62" s="153"/>
      <c r="BW62" s="153"/>
      <c r="BX62" s="153"/>
      <c r="BY62" s="153"/>
      <c r="BZ62" s="153"/>
      <c r="CA62" s="153"/>
      <c r="CB62" s="153"/>
      <c r="CC62" s="153"/>
      <c r="CD62" s="153"/>
      <c r="CE62" s="153"/>
      <c r="CF62" s="153"/>
      <c r="CG62" s="153"/>
      <c r="CH62" s="153"/>
      <c r="CI62" s="153"/>
      <c r="CJ62" s="153"/>
      <c r="CK62" s="153"/>
      <c r="CL62" s="153"/>
      <c r="CM62" s="153"/>
      <c r="CN62" s="153"/>
      <c r="CO62" s="153"/>
      <c r="CP62" s="153"/>
      <c r="CQ62" s="153"/>
      <c r="CR62" s="153"/>
      <c r="CS62" s="153"/>
      <c r="CT62" s="153"/>
      <c r="CU62" s="153"/>
      <c r="CV62" s="153"/>
      <c r="CW62" s="153"/>
      <c r="CX62" s="153"/>
      <c r="CY62" s="153"/>
      <c r="CZ62" s="153"/>
      <c r="DA62" s="153"/>
      <c r="DB62" s="153"/>
      <c r="DC62" s="153"/>
      <c r="DD62" s="153"/>
      <c r="DE62" s="153"/>
      <c r="DF62" s="153"/>
      <c r="DG62" s="153"/>
      <c r="DH62" s="153"/>
      <c r="DI62" s="153"/>
      <c r="DJ62" s="153"/>
      <c r="DK62" s="153"/>
      <c r="DL62" s="153"/>
      <c r="DM62" s="153"/>
      <c r="DN62" s="153"/>
      <c r="DO62" s="153"/>
      <c r="DP62" s="153"/>
      <c r="DQ62" s="153"/>
      <c r="DR62" s="153"/>
      <c r="DS62" s="153"/>
      <c r="DT62" s="153"/>
      <c r="DU62" s="153"/>
      <c r="DV62" s="153"/>
      <c r="DW62" s="153"/>
      <c r="DX62" s="153"/>
      <c r="DY62" s="153"/>
      <c r="DZ62" s="153"/>
      <c r="EA62" s="153"/>
      <c r="EB62" s="153"/>
      <c r="EC62" s="153"/>
      <c r="ED62" s="153"/>
      <c r="EE62" s="153"/>
      <c r="EF62" s="153"/>
      <c r="EG62" s="153"/>
      <c r="EH62" s="153"/>
      <c r="EI62" s="153"/>
      <c r="EJ62" s="153"/>
      <c r="EK62" s="153"/>
      <c r="EL62" s="153"/>
      <c r="EM62" s="153"/>
      <c r="EN62" s="153"/>
      <c r="EO62" s="153"/>
      <c r="EP62" s="153"/>
      <c r="EQ62" s="153"/>
      <c r="ER62" s="153"/>
      <c r="ES62" s="153"/>
      <c r="ET62" s="153"/>
      <c r="EU62" s="153"/>
      <c r="EV62" s="153"/>
      <c r="EW62" s="153"/>
      <c r="EX62" s="153"/>
      <c r="EY62" s="153"/>
      <c r="EZ62" s="153"/>
      <c r="FA62" s="153"/>
      <c r="FB62" s="153"/>
      <c r="FC62" s="153"/>
      <c r="FD62" s="153"/>
      <c r="FE62" s="153"/>
      <c r="FF62" s="153"/>
      <c r="FG62" s="153"/>
      <c r="FH62" s="153"/>
      <c r="FI62" s="153"/>
      <c r="FJ62" s="153"/>
      <c r="FK62" s="153"/>
      <c r="FL62" s="153"/>
      <c r="FM62" s="153"/>
      <c r="FN62" s="153"/>
      <c r="FO62" s="153"/>
      <c r="FP62" s="153"/>
      <c r="FQ62" s="153"/>
      <c r="FR62" s="153"/>
      <c r="FS62" s="153"/>
      <c r="FT62" s="153"/>
      <c r="FU62" s="153"/>
      <c r="FV62" s="153"/>
      <c r="FW62" s="153"/>
      <c r="FX62" s="153"/>
      <c r="FY62" s="153"/>
      <c r="FZ62" s="153"/>
    </row>
    <row r="63" spans="1:182" ht="13.5" thickBot="1" x14ac:dyDescent="0.25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3"/>
      <c r="BN63" s="153"/>
      <c r="BO63" s="153"/>
      <c r="BP63" s="153"/>
      <c r="BQ63" s="153"/>
      <c r="BR63" s="153"/>
      <c r="BS63" s="153"/>
      <c r="BT63" s="153"/>
      <c r="BU63" s="153"/>
      <c r="BV63" s="153"/>
      <c r="BW63" s="153"/>
      <c r="BX63" s="153"/>
      <c r="BY63" s="153"/>
      <c r="BZ63" s="153"/>
      <c r="CA63" s="153"/>
      <c r="CB63" s="153"/>
      <c r="CC63" s="153"/>
      <c r="CD63" s="153"/>
      <c r="CE63" s="153"/>
      <c r="CF63" s="153"/>
      <c r="CG63" s="153"/>
      <c r="CH63" s="153"/>
      <c r="CI63" s="153"/>
      <c r="CJ63" s="153"/>
      <c r="CK63" s="153"/>
      <c r="CL63" s="153"/>
      <c r="CM63" s="153"/>
      <c r="CN63" s="153"/>
      <c r="CO63" s="153"/>
      <c r="CP63" s="153"/>
      <c r="CQ63" s="153"/>
      <c r="CR63" s="153"/>
      <c r="CS63" s="153"/>
      <c r="CT63" s="153"/>
      <c r="CU63" s="153"/>
      <c r="CV63" s="153"/>
      <c r="CW63" s="153"/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53"/>
      <c r="DI63" s="153"/>
      <c r="DJ63" s="153"/>
      <c r="DK63" s="153"/>
      <c r="DL63" s="153"/>
      <c r="DM63" s="153"/>
      <c r="DN63" s="153"/>
      <c r="DO63" s="153"/>
      <c r="DP63" s="153"/>
      <c r="DQ63" s="153"/>
      <c r="DR63" s="153"/>
      <c r="DS63" s="153"/>
      <c r="DT63" s="153"/>
      <c r="DU63" s="153"/>
      <c r="DV63" s="153"/>
      <c r="DW63" s="153"/>
      <c r="DX63" s="153"/>
      <c r="DY63" s="153"/>
      <c r="DZ63" s="153"/>
      <c r="EA63" s="153"/>
      <c r="EB63" s="153"/>
      <c r="EC63" s="153"/>
      <c r="ED63" s="153"/>
      <c r="EE63" s="153"/>
      <c r="EF63" s="153"/>
      <c r="EG63" s="153"/>
      <c r="EH63" s="153"/>
      <c r="EI63" s="153"/>
      <c r="EJ63" s="153"/>
      <c r="EK63" s="153"/>
      <c r="EL63" s="153"/>
      <c r="EM63" s="153"/>
      <c r="EN63" s="153"/>
      <c r="EO63" s="153"/>
      <c r="EP63" s="153"/>
      <c r="EQ63" s="153"/>
      <c r="ER63" s="153"/>
      <c r="ES63" s="153"/>
      <c r="ET63" s="153"/>
      <c r="EU63" s="153"/>
      <c r="EV63" s="153"/>
      <c r="EW63" s="153"/>
      <c r="EX63" s="153"/>
      <c r="EY63" s="153"/>
      <c r="EZ63" s="153"/>
      <c r="FA63" s="153"/>
      <c r="FB63" s="153"/>
      <c r="FC63" s="153"/>
      <c r="FD63" s="153"/>
      <c r="FE63" s="153"/>
      <c r="FF63" s="153"/>
      <c r="FG63" s="153"/>
      <c r="FH63" s="153"/>
      <c r="FI63" s="153"/>
      <c r="FJ63" s="153"/>
      <c r="FK63" s="153"/>
      <c r="FL63" s="153"/>
      <c r="FM63" s="153"/>
      <c r="FN63" s="153"/>
      <c r="FO63" s="153"/>
      <c r="FP63" s="153"/>
      <c r="FQ63" s="153"/>
      <c r="FR63" s="153"/>
      <c r="FS63" s="153"/>
      <c r="FT63" s="153"/>
      <c r="FU63" s="153"/>
      <c r="FV63" s="153"/>
      <c r="FW63" s="153"/>
      <c r="FX63" s="153"/>
      <c r="FY63" s="153"/>
      <c r="FZ63" s="153"/>
    </row>
    <row r="64" spans="1:182" ht="13.5" thickBot="1" x14ac:dyDescent="0.25">
      <c r="A64" s="306" t="s">
        <v>378</v>
      </c>
      <c r="B64" s="307"/>
      <c r="C64" s="249">
        <v>1</v>
      </c>
      <c r="D64" s="292">
        <v>2</v>
      </c>
      <c r="E64" s="249">
        <v>3</v>
      </c>
      <c r="F64" s="292">
        <v>4</v>
      </c>
      <c r="G64" s="249">
        <v>5</v>
      </c>
      <c r="H64" s="249">
        <v>6</v>
      </c>
      <c r="I64" s="292">
        <v>7</v>
      </c>
      <c r="J64" s="249">
        <v>8</v>
      </c>
      <c r="K64" s="292">
        <v>9</v>
      </c>
      <c r="L64" s="249">
        <v>10</v>
      </c>
      <c r="M64" s="249">
        <v>11</v>
      </c>
      <c r="N64" s="292">
        <v>12</v>
      </c>
      <c r="O64" s="249">
        <v>13</v>
      </c>
      <c r="P64" s="292">
        <v>14</v>
      </c>
      <c r="Q64" s="249">
        <v>15</v>
      </c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3"/>
      <c r="BN64" s="153"/>
      <c r="BO64" s="153"/>
      <c r="BP64" s="153"/>
      <c r="BQ64" s="153"/>
      <c r="BR64" s="153"/>
      <c r="BS64" s="153"/>
      <c r="BT64" s="153"/>
      <c r="BU64" s="153"/>
      <c r="BV64" s="153"/>
      <c r="BW64" s="153"/>
      <c r="BX64" s="153"/>
      <c r="BY64" s="153"/>
      <c r="BZ64" s="153"/>
      <c r="CA64" s="153"/>
      <c r="CB64" s="153"/>
      <c r="CC64" s="153"/>
      <c r="CD64" s="153"/>
      <c r="CE64" s="153"/>
      <c r="CF64" s="153"/>
      <c r="CG64" s="153"/>
      <c r="CH64" s="153"/>
      <c r="CI64" s="153"/>
      <c r="CJ64" s="153"/>
      <c r="CK64" s="153"/>
      <c r="CL64" s="153"/>
      <c r="CM64" s="153"/>
      <c r="CN64" s="153"/>
      <c r="CO64" s="153"/>
      <c r="CP64" s="153"/>
      <c r="CQ64" s="153"/>
      <c r="CR64" s="153"/>
      <c r="CS64" s="153"/>
      <c r="CT64" s="153"/>
      <c r="CU64" s="153"/>
      <c r="CV64" s="153"/>
      <c r="CW64" s="153"/>
      <c r="CX64" s="153"/>
      <c r="CY64" s="153"/>
      <c r="CZ64" s="153"/>
      <c r="DA64" s="153"/>
      <c r="DB64" s="153"/>
      <c r="DC64" s="153"/>
      <c r="DD64" s="153"/>
      <c r="DE64" s="153"/>
      <c r="DF64" s="153"/>
      <c r="DG64" s="153"/>
      <c r="DH64" s="153"/>
      <c r="DI64" s="153"/>
      <c r="DJ64" s="153"/>
      <c r="DK64" s="153"/>
      <c r="DL64" s="153"/>
      <c r="DM64" s="153"/>
      <c r="DN64" s="153"/>
      <c r="DO64" s="153"/>
      <c r="DP64" s="153"/>
      <c r="DQ64" s="153"/>
      <c r="DR64" s="153"/>
      <c r="DS64" s="153"/>
      <c r="DT64" s="153"/>
      <c r="DU64" s="153"/>
      <c r="DV64" s="153"/>
      <c r="DW64" s="153"/>
      <c r="DX64" s="153"/>
      <c r="DY64" s="153"/>
      <c r="DZ64" s="153"/>
      <c r="EA64" s="153"/>
      <c r="EB64" s="153"/>
      <c r="EC64" s="153"/>
      <c r="ED64" s="153"/>
      <c r="EE64" s="153"/>
      <c r="EF64" s="153"/>
      <c r="EG64" s="153"/>
      <c r="EH64" s="153"/>
      <c r="EI64" s="153"/>
      <c r="EJ64" s="153"/>
      <c r="EK64" s="153"/>
      <c r="EL64" s="153"/>
      <c r="EM64" s="153"/>
      <c r="EN64" s="153"/>
      <c r="EO64" s="153"/>
      <c r="EP64" s="153"/>
      <c r="EQ64" s="153"/>
      <c r="ER64" s="153"/>
      <c r="ES64" s="153"/>
      <c r="ET64" s="153"/>
      <c r="EU64" s="153"/>
      <c r="EV64" s="153"/>
      <c r="EW64" s="153"/>
      <c r="EX64" s="153"/>
      <c r="EY64" s="153"/>
      <c r="EZ64" s="153"/>
      <c r="FA64" s="153"/>
      <c r="FB64" s="153"/>
      <c r="FC64" s="153"/>
      <c r="FD64" s="153"/>
      <c r="FE64" s="153"/>
      <c r="FF64" s="153"/>
      <c r="FG64" s="153"/>
      <c r="FH64" s="153"/>
      <c r="FI64" s="153"/>
      <c r="FJ64" s="153"/>
      <c r="FK64" s="153"/>
      <c r="FL64" s="153"/>
      <c r="FM64" s="153"/>
      <c r="FN64" s="153"/>
      <c r="FO64" s="153"/>
      <c r="FP64" s="153"/>
      <c r="FQ64" s="153"/>
      <c r="FR64" s="153"/>
      <c r="FS64" s="153"/>
      <c r="FT64" s="153"/>
      <c r="FU64" s="153"/>
      <c r="FV64" s="153"/>
      <c r="FW64" s="153"/>
      <c r="FX64" s="153"/>
      <c r="FY64" s="153"/>
      <c r="FZ64" s="153"/>
    </row>
    <row r="65" spans="1:182" ht="13.5" thickBot="1" x14ac:dyDescent="0.25">
      <c r="A65" s="230"/>
      <c r="B65" s="230"/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3"/>
      <c r="BN65" s="153"/>
      <c r="BO65" s="153"/>
      <c r="BP65" s="153"/>
      <c r="BQ65" s="153"/>
      <c r="BR65" s="153"/>
      <c r="BS65" s="153"/>
      <c r="BT65" s="153"/>
      <c r="BU65" s="153"/>
      <c r="BV65" s="153"/>
      <c r="BW65" s="153"/>
      <c r="BX65" s="153"/>
      <c r="BY65" s="153"/>
      <c r="BZ65" s="153"/>
      <c r="CA65" s="153"/>
      <c r="CB65" s="153"/>
      <c r="CC65" s="153"/>
      <c r="CD65" s="153"/>
      <c r="CE65" s="153"/>
      <c r="CF65" s="153"/>
      <c r="CG65" s="153"/>
      <c r="CH65" s="153"/>
      <c r="CI65" s="153"/>
      <c r="CJ65" s="153"/>
      <c r="CK65" s="153"/>
      <c r="CL65" s="153"/>
      <c r="CM65" s="153"/>
      <c r="CN65" s="153"/>
      <c r="CO65" s="153"/>
      <c r="CP65" s="153"/>
      <c r="CQ65" s="153"/>
      <c r="CR65" s="153"/>
      <c r="CS65" s="153"/>
      <c r="CT65" s="153"/>
      <c r="CU65" s="153"/>
      <c r="CV65" s="153"/>
      <c r="CW65" s="153"/>
      <c r="CX65" s="153"/>
      <c r="CY65" s="153"/>
      <c r="CZ65" s="153"/>
      <c r="DA65" s="153"/>
      <c r="DB65" s="153"/>
      <c r="DC65" s="153"/>
      <c r="DD65" s="153"/>
      <c r="DE65" s="153"/>
      <c r="DF65" s="153"/>
      <c r="DG65" s="153"/>
      <c r="DH65" s="153"/>
      <c r="DI65" s="153"/>
      <c r="DJ65" s="153"/>
      <c r="DK65" s="153"/>
      <c r="DL65" s="153"/>
      <c r="DM65" s="153"/>
      <c r="DN65" s="153"/>
      <c r="DO65" s="153"/>
      <c r="DP65" s="153"/>
      <c r="DQ65" s="153"/>
      <c r="DR65" s="153"/>
      <c r="DS65" s="153"/>
      <c r="DT65" s="153"/>
      <c r="DU65" s="153"/>
      <c r="DV65" s="153"/>
      <c r="DW65" s="153"/>
      <c r="DX65" s="153"/>
      <c r="DY65" s="153"/>
      <c r="DZ65" s="153"/>
      <c r="EA65" s="153"/>
      <c r="EB65" s="153"/>
      <c r="EC65" s="153"/>
      <c r="ED65" s="153"/>
      <c r="EE65" s="153"/>
      <c r="EF65" s="153"/>
      <c r="EG65" s="153"/>
      <c r="EH65" s="153"/>
      <c r="EI65" s="153"/>
      <c r="EJ65" s="153"/>
      <c r="EK65" s="153"/>
      <c r="EL65" s="153"/>
      <c r="EM65" s="153"/>
      <c r="EN65" s="153"/>
      <c r="EO65" s="153"/>
      <c r="EP65" s="153"/>
      <c r="EQ65" s="153"/>
      <c r="ER65" s="153"/>
      <c r="ES65" s="153"/>
      <c r="ET65" s="153"/>
      <c r="EU65" s="153"/>
      <c r="EV65" s="153"/>
      <c r="EW65" s="153"/>
      <c r="EX65" s="153"/>
      <c r="EY65" s="153"/>
      <c r="EZ65" s="153"/>
      <c r="FA65" s="153"/>
      <c r="FB65" s="153"/>
      <c r="FC65" s="153"/>
      <c r="FD65" s="153"/>
      <c r="FE65" s="153"/>
      <c r="FF65" s="153"/>
      <c r="FG65" s="153"/>
      <c r="FH65" s="153"/>
      <c r="FI65" s="153"/>
      <c r="FJ65" s="153"/>
      <c r="FK65" s="153"/>
      <c r="FL65" s="153"/>
      <c r="FM65" s="153"/>
      <c r="FN65" s="153"/>
      <c r="FO65" s="153"/>
      <c r="FP65" s="153"/>
      <c r="FQ65" s="153"/>
      <c r="FR65" s="153"/>
      <c r="FS65" s="153"/>
      <c r="FT65" s="153"/>
      <c r="FU65" s="153"/>
      <c r="FV65" s="153"/>
      <c r="FW65" s="153"/>
      <c r="FX65" s="153"/>
      <c r="FY65" s="153"/>
      <c r="FZ65" s="153"/>
    </row>
    <row r="66" spans="1:182" x14ac:dyDescent="0.2">
      <c r="A66" s="230"/>
      <c r="B66" s="230"/>
      <c r="C66" s="243">
        <f>+B75</f>
        <v>0</v>
      </c>
      <c r="D66" s="295">
        <f t="shared" ref="D66:Q66" si="23">+C69</f>
        <v>0</v>
      </c>
      <c r="E66" s="243">
        <f t="shared" si="23"/>
        <v>0</v>
      </c>
      <c r="F66" s="243">
        <f t="shared" si="23"/>
        <v>0</v>
      </c>
      <c r="G66" s="295">
        <f t="shared" si="23"/>
        <v>0</v>
      </c>
      <c r="H66" s="243">
        <f t="shared" si="23"/>
        <v>0</v>
      </c>
      <c r="I66" s="295">
        <f t="shared" si="23"/>
        <v>0</v>
      </c>
      <c r="J66" s="243">
        <f t="shared" si="23"/>
        <v>0</v>
      </c>
      <c r="K66" s="295">
        <f t="shared" si="23"/>
        <v>0</v>
      </c>
      <c r="L66" s="243">
        <f t="shared" si="23"/>
        <v>0</v>
      </c>
      <c r="M66" s="295">
        <f t="shared" si="23"/>
        <v>0</v>
      </c>
      <c r="N66" s="243">
        <f t="shared" si="23"/>
        <v>0</v>
      </c>
      <c r="O66" s="295">
        <f t="shared" si="23"/>
        <v>0</v>
      </c>
      <c r="P66" s="243">
        <f t="shared" si="23"/>
        <v>0</v>
      </c>
      <c r="Q66" s="243">
        <f t="shared" si="23"/>
        <v>0</v>
      </c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3"/>
      <c r="BN66" s="153"/>
      <c r="BO66" s="153"/>
      <c r="BP66" s="153"/>
      <c r="BQ66" s="153"/>
      <c r="BR66" s="153"/>
      <c r="BS66" s="153"/>
      <c r="BT66" s="153"/>
      <c r="BU66" s="153"/>
      <c r="BV66" s="153"/>
      <c r="BW66" s="153"/>
      <c r="BX66" s="153"/>
      <c r="BY66" s="153"/>
      <c r="BZ66" s="153"/>
      <c r="CA66" s="153"/>
      <c r="CB66" s="153"/>
      <c r="CC66" s="153"/>
      <c r="CD66" s="153"/>
      <c r="CE66" s="153"/>
      <c r="CF66" s="153"/>
      <c r="CG66" s="153"/>
      <c r="CH66" s="153"/>
      <c r="CI66" s="153"/>
      <c r="CJ66" s="153"/>
      <c r="CK66" s="153"/>
      <c r="CL66" s="153"/>
      <c r="CM66" s="153"/>
      <c r="CN66" s="153"/>
      <c r="CO66" s="153"/>
      <c r="CP66" s="153"/>
      <c r="CQ66" s="153"/>
      <c r="CR66" s="153"/>
      <c r="CS66" s="153"/>
      <c r="CT66" s="153"/>
      <c r="CU66" s="153"/>
      <c r="CV66" s="153"/>
      <c r="CW66" s="153"/>
      <c r="CX66" s="153"/>
      <c r="CY66" s="153"/>
      <c r="CZ66" s="153"/>
      <c r="DA66" s="153"/>
      <c r="DB66" s="153"/>
      <c r="DC66" s="153"/>
      <c r="DD66" s="153"/>
      <c r="DE66" s="153"/>
      <c r="DF66" s="153"/>
      <c r="DG66" s="153"/>
      <c r="DH66" s="153"/>
      <c r="DI66" s="153"/>
      <c r="DJ66" s="153"/>
      <c r="DK66" s="153"/>
      <c r="DL66" s="153"/>
      <c r="DM66" s="153"/>
      <c r="DN66" s="153"/>
      <c r="DO66" s="153"/>
      <c r="DP66" s="153"/>
      <c r="DQ66" s="153"/>
      <c r="DR66" s="153"/>
      <c r="DS66" s="153"/>
      <c r="DT66" s="153"/>
      <c r="DU66" s="153"/>
      <c r="DV66" s="153"/>
      <c r="DW66" s="153"/>
      <c r="DX66" s="153"/>
      <c r="DY66" s="153"/>
      <c r="DZ66" s="153"/>
      <c r="EA66" s="153"/>
      <c r="EB66" s="153"/>
      <c r="EC66" s="153"/>
      <c r="ED66" s="153"/>
      <c r="EE66" s="153"/>
      <c r="EF66" s="153"/>
      <c r="EG66" s="153"/>
      <c r="EH66" s="153"/>
      <c r="EI66" s="153"/>
      <c r="EJ66" s="153"/>
      <c r="EK66" s="153"/>
      <c r="EL66" s="153"/>
      <c r="EM66" s="153"/>
      <c r="EN66" s="153"/>
      <c r="EO66" s="153"/>
      <c r="EP66" s="153"/>
      <c r="EQ66" s="153"/>
      <c r="ER66" s="153"/>
      <c r="ES66" s="153"/>
      <c r="ET66" s="153"/>
      <c r="EU66" s="153"/>
      <c r="EV66" s="153"/>
      <c r="EW66" s="153"/>
      <c r="EX66" s="153"/>
      <c r="EY66" s="153"/>
      <c r="EZ66" s="153"/>
      <c r="FA66" s="153"/>
      <c r="FB66" s="153"/>
      <c r="FC66" s="153"/>
      <c r="FD66" s="153"/>
      <c r="FE66" s="153"/>
      <c r="FF66" s="153"/>
      <c r="FG66" s="153"/>
      <c r="FH66" s="153"/>
      <c r="FI66" s="153"/>
      <c r="FJ66" s="153"/>
      <c r="FK66" s="153"/>
      <c r="FL66" s="153"/>
      <c r="FM66" s="153"/>
      <c r="FN66" s="153"/>
      <c r="FO66" s="153"/>
      <c r="FP66" s="153"/>
      <c r="FQ66" s="153"/>
      <c r="FR66" s="153"/>
      <c r="FS66" s="153"/>
      <c r="FT66" s="153"/>
      <c r="FU66" s="153"/>
      <c r="FV66" s="153"/>
      <c r="FW66" s="153"/>
      <c r="FX66" s="153"/>
      <c r="FY66" s="153"/>
      <c r="FZ66" s="153"/>
    </row>
    <row r="67" spans="1:182" x14ac:dyDescent="0.2">
      <c r="A67" s="236" t="s">
        <v>376</v>
      </c>
      <c r="B67" s="230"/>
      <c r="C67" s="239">
        <f>SUM(C76:N76)</f>
        <v>0</v>
      </c>
      <c r="D67" s="250">
        <f>SUM(O76:Z76)</f>
        <v>0</v>
      </c>
      <c r="E67" s="239">
        <f>SUM(AA76:AL76)</f>
        <v>0</v>
      </c>
      <c r="F67" s="239">
        <f>SUM(AM76:AX76)</f>
        <v>0</v>
      </c>
      <c r="G67" s="297">
        <f>SUM(AY76:BJ76)</f>
        <v>0</v>
      </c>
      <c r="H67" s="239">
        <f>SUM(BK76:BV76)</f>
        <v>0</v>
      </c>
      <c r="I67" s="297">
        <f>SUM(BW76:CH76)</f>
        <v>0</v>
      </c>
      <c r="J67" s="239">
        <f>SUM(CI76:CT76)</f>
        <v>0</v>
      </c>
      <c r="K67" s="297">
        <f>SUM(CU76:DF76)</f>
        <v>0</v>
      </c>
      <c r="L67" s="239">
        <f>SUM(DG76:DR76)</f>
        <v>0</v>
      </c>
      <c r="M67" s="297">
        <f>SUM(DS76:ED76)</f>
        <v>0</v>
      </c>
      <c r="N67" s="239">
        <f>SUM(EE76:EP76)</f>
        <v>0</v>
      </c>
      <c r="O67" s="297">
        <f>SUM(EQ76:FB76)</f>
        <v>0</v>
      </c>
      <c r="P67" s="239">
        <f>SUM(FC76:FN76)</f>
        <v>0</v>
      </c>
      <c r="Q67" s="239">
        <f>SUM(FO76:FZ76)</f>
        <v>0</v>
      </c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3"/>
      <c r="BN67" s="153"/>
      <c r="BO67" s="153"/>
      <c r="BP67" s="153"/>
      <c r="BQ67" s="153"/>
      <c r="BR67" s="153"/>
      <c r="BS67" s="153"/>
      <c r="BT67" s="153"/>
      <c r="BU67" s="153"/>
      <c r="BV67" s="153"/>
      <c r="BW67" s="153"/>
      <c r="BX67" s="153"/>
      <c r="BY67" s="153"/>
      <c r="BZ67" s="153"/>
      <c r="CA67" s="153"/>
      <c r="CB67" s="153"/>
      <c r="CC67" s="153"/>
      <c r="CD67" s="153"/>
      <c r="CE67" s="153"/>
      <c r="CF67" s="153"/>
      <c r="CG67" s="153"/>
      <c r="CH67" s="153"/>
      <c r="CI67" s="153"/>
      <c r="CJ67" s="153"/>
      <c r="CK67" s="153"/>
      <c r="CL67" s="153"/>
      <c r="CM67" s="153"/>
      <c r="CN67" s="153"/>
      <c r="CO67" s="153"/>
      <c r="CP67" s="153"/>
      <c r="CQ67" s="153"/>
      <c r="CR67" s="153"/>
      <c r="CS67" s="153"/>
      <c r="CT67" s="153"/>
      <c r="CU67" s="153"/>
      <c r="CV67" s="153"/>
      <c r="CW67" s="153"/>
      <c r="CX67" s="153"/>
      <c r="CY67" s="153"/>
      <c r="CZ67" s="153"/>
      <c r="DA67" s="153"/>
      <c r="DB67" s="153"/>
      <c r="DC67" s="153"/>
      <c r="DD67" s="153"/>
      <c r="DE67" s="153"/>
      <c r="DF67" s="153"/>
      <c r="DG67" s="153"/>
      <c r="DH67" s="153"/>
      <c r="DI67" s="153"/>
      <c r="DJ67" s="153"/>
      <c r="DK67" s="153"/>
      <c r="DL67" s="153"/>
      <c r="DM67" s="153"/>
      <c r="DN67" s="153"/>
      <c r="DO67" s="153"/>
      <c r="DP67" s="153"/>
      <c r="DQ67" s="153"/>
      <c r="DR67" s="153"/>
      <c r="DS67" s="153"/>
      <c r="DT67" s="153"/>
      <c r="DU67" s="153"/>
      <c r="DV67" s="153"/>
      <c r="DW67" s="153"/>
      <c r="DX67" s="153"/>
      <c r="DY67" s="153"/>
      <c r="DZ67" s="153"/>
      <c r="EA67" s="153"/>
      <c r="EB67" s="153"/>
      <c r="EC67" s="153"/>
      <c r="ED67" s="153"/>
      <c r="EE67" s="153"/>
      <c r="EF67" s="153"/>
      <c r="EG67" s="153"/>
      <c r="EH67" s="153"/>
      <c r="EI67" s="153"/>
      <c r="EJ67" s="153"/>
      <c r="EK67" s="153"/>
      <c r="EL67" s="153"/>
      <c r="EM67" s="153"/>
      <c r="EN67" s="153"/>
      <c r="EO67" s="153"/>
      <c r="EP67" s="153"/>
      <c r="EQ67" s="153"/>
      <c r="ER67" s="153"/>
      <c r="ES67" s="153"/>
      <c r="ET67" s="153"/>
      <c r="EU67" s="153"/>
      <c r="EV67" s="153"/>
      <c r="EW67" s="153"/>
      <c r="EX67" s="153"/>
      <c r="EY67" s="153"/>
      <c r="EZ67" s="153"/>
      <c r="FA67" s="153"/>
      <c r="FB67" s="153"/>
      <c r="FC67" s="153"/>
      <c r="FD67" s="153"/>
      <c r="FE67" s="153"/>
      <c r="FF67" s="153"/>
      <c r="FG67" s="153"/>
      <c r="FH67" s="153"/>
      <c r="FI67" s="153"/>
      <c r="FJ67" s="153"/>
      <c r="FK67" s="153"/>
      <c r="FL67" s="153"/>
      <c r="FM67" s="153"/>
      <c r="FN67" s="153"/>
      <c r="FO67" s="153"/>
      <c r="FP67" s="153"/>
      <c r="FQ67" s="153"/>
      <c r="FR67" s="153"/>
      <c r="FS67" s="153"/>
      <c r="FT67" s="153"/>
      <c r="FU67" s="153"/>
      <c r="FV67" s="153"/>
      <c r="FW67" s="153"/>
      <c r="FX67" s="153"/>
      <c r="FY67" s="153"/>
      <c r="FZ67" s="153"/>
    </row>
    <row r="68" spans="1:182" x14ac:dyDescent="0.2">
      <c r="A68" s="236" t="s">
        <v>25</v>
      </c>
      <c r="B68" s="230"/>
      <c r="C68" s="239">
        <f>SUM(C77:N77)</f>
        <v>0</v>
      </c>
      <c r="D68" s="297">
        <f>SUM(O77:Z77)</f>
        <v>0</v>
      </c>
      <c r="E68" s="239">
        <f>SUM(AA77:AL77)</f>
        <v>0</v>
      </c>
      <c r="F68" s="239">
        <f>SUM(AM77:AX77)</f>
        <v>0</v>
      </c>
      <c r="G68" s="297">
        <f>SUM(AY77:BJ77)</f>
        <v>0</v>
      </c>
      <c r="H68" s="239">
        <f>SUM(BK77:BV77)</f>
        <v>0</v>
      </c>
      <c r="I68" s="297">
        <f>SUM(BW77:CH77)</f>
        <v>0</v>
      </c>
      <c r="J68" s="239">
        <f>SUM(CI77:CT77)</f>
        <v>0</v>
      </c>
      <c r="K68" s="297">
        <f>SUM(CU77:DF77)</f>
        <v>0</v>
      </c>
      <c r="L68" s="239">
        <f>SUM(DG77:DR77)</f>
        <v>0</v>
      </c>
      <c r="M68" s="297">
        <f>SUM(DS77:ED77)</f>
        <v>0</v>
      </c>
      <c r="N68" s="239">
        <f>SUM(EE77:EP77)</f>
        <v>0</v>
      </c>
      <c r="O68" s="297">
        <f>SUM(EQ77:FB77)</f>
        <v>0</v>
      </c>
      <c r="P68" s="239">
        <f>SUM(FC77:FN77)</f>
        <v>0</v>
      </c>
      <c r="Q68" s="239">
        <f>SUM(FO77:FZ77)</f>
        <v>0</v>
      </c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3"/>
      <c r="BN68" s="153"/>
      <c r="BO68" s="153"/>
      <c r="BP68" s="153"/>
      <c r="BQ68" s="153"/>
      <c r="BR68" s="153"/>
      <c r="BS68" s="153"/>
      <c r="BT68" s="153"/>
      <c r="BU68" s="153"/>
      <c r="BV68" s="153"/>
      <c r="BW68" s="153"/>
      <c r="BX68" s="153"/>
      <c r="BY68" s="153"/>
      <c r="BZ68" s="153"/>
      <c r="CA68" s="153"/>
      <c r="CB68" s="153"/>
      <c r="CC68" s="153"/>
      <c r="CD68" s="153"/>
      <c r="CE68" s="153"/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153"/>
      <c r="CW68" s="153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53"/>
      <c r="DI68" s="153"/>
      <c r="DJ68" s="153"/>
      <c r="DK68" s="153"/>
      <c r="DL68" s="153"/>
      <c r="DM68" s="153"/>
      <c r="DN68" s="153"/>
      <c r="DO68" s="153"/>
      <c r="DP68" s="153"/>
      <c r="DQ68" s="153"/>
      <c r="DR68" s="153"/>
      <c r="DS68" s="153"/>
      <c r="DT68" s="153"/>
      <c r="DU68" s="153"/>
      <c r="DV68" s="153"/>
      <c r="DW68" s="153"/>
      <c r="DX68" s="153"/>
      <c r="DY68" s="153"/>
      <c r="DZ68" s="153"/>
      <c r="EA68" s="153"/>
      <c r="EB68" s="153"/>
      <c r="EC68" s="153"/>
      <c r="ED68" s="153"/>
      <c r="EE68" s="153"/>
      <c r="EF68" s="153"/>
      <c r="EG68" s="153"/>
      <c r="EH68" s="153"/>
      <c r="EI68" s="153"/>
      <c r="EJ68" s="153"/>
      <c r="EK68" s="153"/>
      <c r="EL68" s="153"/>
      <c r="EM68" s="153"/>
      <c r="EN68" s="153"/>
      <c r="EO68" s="153"/>
      <c r="EP68" s="153"/>
      <c r="EQ68" s="153"/>
      <c r="ER68" s="153"/>
      <c r="ES68" s="153"/>
      <c r="ET68" s="153"/>
      <c r="EU68" s="153"/>
      <c r="EV68" s="153"/>
      <c r="EW68" s="153"/>
      <c r="EX68" s="153"/>
      <c r="EY68" s="153"/>
      <c r="EZ68" s="153"/>
      <c r="FA68" s="153"/>
      <c r="FB68" s="153"/>
      <c r="FC68" s="153"/>
      <c r="FD68" s="153"/>
      <c r="FE68" s="153"/>
      <c r="FF68" s="153"/>
      <c r="FG68" s="153"/>
      <c r="FH68" s="153"/>
      <c r="FI68" s="153"/>
      <c r="FJ68" s="153"/>
      <c r="FK68" s="153"/>
      <c r="FL68" s="153"/>
      <c r="FM68" s="153"/>
      <c r="FN68" s="153"/>
      <c r="FO68" s="153"/>
      <c r="FP68" s="153"/>
      <c r="FQ68" s="153"/>
      <c r="FR68" s="153"/>
      <c r="FS68" s="153"/>
      <c r="FT68" s="153"/>
      <c r="FU68" s="153"/>
      <c r="FV68" s="153"/>
      <c r="FW68" s="153"/>
      <c r="FX68" s="153"/>
      <c r="FY68" s="153"/>
      <c r="FZ68" s="153"/>
    </row>
    <row r="69" spans="1:182" ht="13.5" thickBot="1" x14ac:dyDescent="0.25">
      <c r="A69" s="236" t="s">
        <v>26</v>
      </c>
      <c r="B69" s="230"/>
      <c r="C69" s="251">
        <f t="shared" ref="C69:Q69" si="24">+C66-C68</f>
        <v>0</v>
      </c>
      <c r="D69" s="308">
        <f t="shared" si="24"/>
        <v>0</v>
      </c>
      <c r="E69" s="251">
        <f t="shared" si="24"/>
        <v>0</v>
      </c>
      <c r="F69" s="251">
        <f t="shared" si="24"/>
        <v>0</v>
      </c>
      <c r="G69" s="299">
        <f t="shared" si="24"/>
        <v>0</v>
      </c>
      <c r="H69" s="251">
        <f t="shared" si="24"/>
        <v>0</v>
      </c>
      <c r="I69" s="299">
        <f t="shared" si="24"/>
        <v>0</v>
      </c>
      <c r="J69" s="251">
        <f t="shared" si="24"/>
        <v>0</v>
      </c>
      <c r="K69" s="299">
        <f t="shared" si="24"/>
        <v>0</v>
      </c>
      <c r="L69" s="251">
        <f t="shared" si="24"/>
        <v>0</v>
      </c>
      <c r="M69" s="299">
        <f t="shared" si="24"/>
        <v>0</v>
      </c>
      <c r="N69" s="251">
        <f t="shared" si="24"/>
        <v>0</v>
      </c>
      <c r="O69" s="299">
        <f t="shared" si="24"/>
        <v>0</v>
      </c>
      <c r="P69" s="251">
        <f t="shared" si="24"/>
        <v>0</v>
      </c>
      <c r="Q69" s="251">
        <f t="shared" si="24"/>
        <v>0</v>
      </c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  <c r="BI69" s="153"/>
      <c r="BJ69" s="153"/>
      <c r="BK69" s="153"/>
      <c r="BL69" s="153"/>
      <c r="BM69" s="153"/>
      <c r="BN69" s="153"/>
      <c r="BO69" s="153"/>
      <c r="BP69" s="153"/>
      <c r="BQ69" s="153"/>
      <c r="BR69" s="153"/>
      <c r="BS69" s="153"/>
      <c r="BT69" s="153"/>
      <c r="BU69" s="153"/>
      <c r="BV69" s="153"/>
      <c r="BW69" s="153"/>
      <c r="BX69" s="153"/>
      <c r="BY69" s="153"/>
      <c r="BZ69" s="153"/>
      <c r="CA69" s="153"/>
      <c r="CB69" s="153"/>
      <c r="CC69" s="153"/>
      <c r="CD69" s="153"/>
      <c r="CE69" s="153"/>
      <c r="CF69" s="153"/>
      <c r="CG69" s="153"/>
      <c r="CH69" s="153"/>
      <c r="CI69" s="153"/>
      <c r="CJ69" s="153"/>
      <c r="CK69" s="153"/>
      <c r="CL69" s="153"/>
      <c r="CM69" s="153"/>
      <c r="CN69" s="153"/>
      <c r="CO69" s="153"/>
      <c r="CP69" s="153"/>
      <c r="CQ69" s="153"/>
      <c r="CR69" s="153"/>
      <c r="CS69" s="153"/>
      <c r="CT69" s="153"/>
      <c r="CU69" s="153"/>
      <c r="CV69" s="153"/>
      <c r="CW69" s="153"/>
      <c r="CX69" s="153"/>
      <c r="CY69" s="153"/>
      <c r="CZ69" s="153"/>
      <c r="DA69" s="153"/>
      <c r="DB69" s="153"/>
      <c r="DC69" s="153"/>
      <c r="DD69" s="153"/>
      <c r="DE69" s="153"/>
      <c r="DF69" s="153"/>
      <c r="DG69" s="153"/>
      <c r="DH69" s="153"/>
      <c r="DI69" s="153"/>
      <c r="DJ69" s="153"/>
      <c r="DK69" s="153"/>
      <c r="DL69" s="153"/>
      <c r="DM69" s="153"/>
      <c r="DN69" s="153"/>
      <c r="DO69" s="153"/>
      <c r="DP69" s="153"/>
      <c r="DQ69" s="153"/>
      <c r="DR69" s="153"/>
      <c r="DS69" s="153"/>
      <c r="DT69" s="153"/>
      <c r="DU69" s="153"/>
      <c r="DV69" s="153"/>
      <c r="DW69" s="153"/>
      <c r="DX69" s="153"/>
      <c r="DY69" s="153"/>
      <c r="DZ69" s="153"/>
      <c r="EA69" s="153"/>
      <c r="EB69" s="153"/>
      <c r="EC69" s="153"/>
      <c r="ED69" s="153"/>
      <c r="EE69" s="153"/>
      <c r="EF69" s="153"/>
      <c r="EG69" s="153"/>
      <c r="EH69" s="153"/>
      <c r="EI69" s="153"/>
      <c r="EJ69" s="153"/>
      <c r="EK69" s="153"/>
      <c r="EL69" s="153"/>
      <c r="EM69" s="153"/>
      <c r="EN69" s="153"/>
      <c r="EO69" s="153"/>
      <c r="EP69" s="153"/>
      <c r="EQ69" s="153"/>
      <c r="ER69" s="153"/>
      <c r="ES69" s="153"/>
      <c r="ET69" s="153"/>
      <c r="EU69" s="153"/>
      <c r="EV69" s="153"/>
      <c r="EW69" s="153"/>
      <c r="EX69" s="153"/>
      <c r="EY69" s="153"/>
      <c r="EZ69" s="153"/>
      <c r="FA69" s="153"/>
      <c r="FB69" s="153"/>
      <c r="FC69" s="153"/>
      <c r="FD69" s="153"/>
      <c r="FE69" s="153"/>
      <c r="FF69" s="153"/>
      <c r="FG69" s="153"/>
      <c r="FH69" s="153"/>
      <c r="FI69" s="153"/>
      <c r="FJ69" s="153"/>
      <c r="FK69" s="153"/>
      <c r="FL69" s="153"/>
      <c r="FM69" s="153"/>
      <c r="FN69" s="153"/>
      <c r="FO69" s="153"/>
      <c r="FP69" s="153"/>
      <c r="FQ69" s="153"/>
      <c r="FR69" s="153"/>
      <c r="FS69" s="153"/>
      <c r="FT69" s="153"/>
      <c r="FU69" s="153"/>
      <c r="FV69" s="153"/>
      <c r="FW69" s="153"/>
      <c r="FX69" s="153"/>
      <c r="FY69" s="153"/>
      <c r="FZ69" s="153"/>
    </row>
    <row r="70" spans="1:182" x14ac:dyDescent="0.2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  <c r="BI70" s="153"/>
      <c r="BJ70" s="153"/>
      <c r="BK70" s="153"/>
      <c r="BL70" s="153"/>
      <c r="BM70" s="153"/>
      <c r="BN70" s="153"/>
      <c r="BO70" s="153"/>
      <c r="BP70" s="153"/>
      <c r="BQ70" s="153"/>
      <c r="BR70" s="153"/>
      <c r="BS70" s="153"/>
      <c r="BT70" s="153"/>
      <c r="BU70" s="153"/>
      <c r="BV70" s="153"/>
      <c r="BW70" s="153"/>
      <c r="BX70" s="153"/>
      <c r="BY70" s="153"/>
      <c r="BZ70" s="153"/>
      <c r="CA70" s="153"/>
      <c r="CB70" s="153"/>
      <c r="CC70" s="153"/>
      <c r="CD70" s="153"/>
      <c r="CE70" s="153"/>
      <c r="CF70" s="153"/>
      <c r="CG70" s="153"/>
      <c r="CH70" s="153"/>
      <c r="CI70" s="153"/>
      <c r="CJ70" s="153"/>
      <c r="CK70" s="153"/>
      <c r="CL70" s="153"/>
      <c r="CM70" s="153"/>
      <c r="CN70" s="153"/>
      <c r="CO70" s="153"/>
      <c r="CP70" s="153"/>
      <c r="CQ70" s="153"/>
      <c r="CR70" s="153"/>
      <c r="CS70" s="153"/>
      <c r="CT70" s="153"/>
      <c r="CU70" s="153"/>
      <c r="CV70" s="153"/>
      <c r="CW70" s="153"/>
      <c r="CX70" s="153"/>
      <c r="CY70" s="153"/>
      <c r="CZ70" s="153"/>
      <c r="DA70" s="153"/>
      <c r="DB70" s="153"/>
      <c r="DC70" s="153"/>
      <c r="DD70" s="153"/>
      <c r="DE70" s="153"/>
      <c r="DF70" s="153"/>
      <c r="DG70" s="153"/>
      <c r="DH70" s="153"/>
      <c r="DI70" s="153"/>
      <c r="DJ70" s="153"/>
      <c r="DK70" s="153"/>
      <c r="DL70" s="153"/>
      <c r="DM70" s="153"/>
      <c r="DN70" s="153"/>
      <c r="DO70" s="153"/>
      <c r="DP70" s="153"/>
      <c r="DQ70" s="153"/>
      <c r="DR70" s="153"/>
      <c r="DS70" s="153"/>
      <c r="DT70" s="153"/>
      <c r="DU70" s="153"/>
      <c r="DV70" s="153"/>
      <c r="DW70" s="153"/>
      <c r="DX70" s="153"/>
      <c r="DY70" s="153"/>
      <c r="DZ70" s="153"/>
      <c r="EA70" s="153"/>
      <c r="EB70" s="153"/>
      <c r="EC70" s="153"/>
      <c r="ED70" s="153"/>
      <c r="EE70" s="153"/>
      <c r="EF70" s="153"/>
      <c r="EG70" s="153"/>
      <c r="EH70" s="153"/>
      <c r="EI70" s="153"/>
      <c r="EJ70" s="153"/>
      <c r="EK70" s="153"/>
      <c r="EL70" s="153"/>
      <c r="EM70" s="153"/>
      <c r="EN70" s="153"/>
      <c r="EO70" s="153"/>
      <c r="EP70" s="153"/>
      <c r="EQ70" s="153"/>
      <c r="ER70" s="153"/>
      <c r="ES70" s="153"/>
      <c r="ET70" s="153"/>
      <c r="EU70" s="153"/>
      <c r="EV70" s="153"/>
      <c r="EW70" s="153"/>
      <c r="EX70" s="153"/>
      <c r="EY70" s="153"/>
      <c r="EZ70" s="153"/>
      <c r="FA70" s="153"/>
      <c r="FB70" s="153"/>
      <c r="FC70" s="153"/>
      <c r="FD70" s="153"/>
      <c r="FE70" s="153"/>
      <c r="FF70" s="153"/>
      <c r="FG70" s="153"/>
      <c r="FH70" s="153"/>
      <c r="FI70" s="153"/>
      <c r="FJ70" s="153"/>
      <c r="FK70" s="153"/>
      <c r="FL70" s="153"/>
      <c r="FM70" s="153"/>
      <c r="FN70" s="153"/>
      <c r="FO70" s="153"/>
      <c r="FP70" s="153"/>
      <c r="FQ70" s="153"/>
      <c r="FR70" s="153"/>
      <c r="FS70" s="153"/>
      <c r="FT70" s="153"/>
      <c r="FU70" s="153"/>
      <c r="FV70" s="153"/>
      <c r="FW70" s="153"/>
      <c r="FX70" s="153"/>
      <c r="FY70" s="153"/>
      <c r="FZ70" s="153"/>
    </row>
    <row r="71" spans="1:182" x14ac:dyDescent="0.2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  <c r="BI71" s="153"/>
      <c r="BJ71" s="153"/>
      <c r="BK71" s="153"/>
      <c r="BL71" s="153"/>
      <c r="BM71" s="153"/>
      <c r="BN71" s="153"/>
      <c r="BO71" s="153"/>
      <c r="BP71" s="153"/>
      <c r="BQ71" s="153"/>
      <c r="BR71" s="153"/>
      <c r="BS71" s="153"/>
      <c r="BT71" s="153"/>
      <c r="BU71" s="153"/>
      <c r="BV71" s="153"/>
      <c r="BW71" s="153"/>
      <c r="BX71" s="153"/>
      <c r="BY71" s="153"/>
      <c r="BZ71" s="153"/>
      <c r="CA71" s="153"/>
      <c r="CB71" s="153"/>
      <c r="CC71" s="153"/>
      <c r="CD71" s="153"/>
      <c r="CE71" s="153"/>
      <c r="CF71" s="153"/>
      <c r="CG71" s="153"/>
      <c r="CH71" s="153"/>
      <c r="CI71" s="153"/>
      <c r="CJ71" s="153"/>
      <c r="CK71" s="153"/>
      <c r="CL71" s="153"/>
      <c r="CM71" s="153"/>
      <c r="CN71" s="153"/>
      <c r="CO71" s="153"/>
      <c r="CP71" s="153"/>
      <c r="CQ71" s="153"/>
      <c r="CR71" s="153"/>
      <c r="CS71" s="153"/>
      <c r="CT71" s="153"/>
      <c r="CU71" s="153"/>
      <c r="CV71" s="153"/>
      <c r="CW71" s="153"/>
      <c r="CX71" s="153"/>
      <c r="CY71" s="153"/>
      <c r="CZ71" s="153"/>
      <c r="DA71" s="153"/>
      <c r="DB71" s="153"/>
      <c r="DC71" s="153"/>
      <c r="DD71" s="153"/>
      <c r="DE71" s="153"/>
      <c r="DF71" s="153"/>
      <c r="DG71" s="153"/>
      <c r="DH71" s="153"/>
      <c r="DI71" s="153"/>
      <c r="DJ71" s="153"/>
      <c r="DK71" s="153"/>
      <c r="DL71" s="153"/>
      <c r="DM71" s="153"/>
      <c r="DN71" s="153"/>
      <c r="DO71" s="153"/>
      <c r="DP71" s="153"/>
      <c r="DQ71" s="153"/>
      <c r="DR71" s="153"/>
      <c r="DS71" s="153"/>
      <c r="DT71" s="153"/>
      <c r="DU71" s="153"/>
      <c r="DV71" s="153"/>
      <c r="DW71" s="153"/>
      <c r="DX71" s="153"/>
      <c r="DY71" s="153"/>
      <c r="DZ71" s="153"/>
      <c r="EA71" s="153"/>
      <c r="EB71" s="153"/>
      <c r="EC71" s="153"/>
      <c r="ED71" s="153"/>
      <c r="EE71" s="153"/>
      <c r="EF71" s="153"/>
      <c r="EG71" s="153"/>
      <c r="EH71" s="153"/>
      <c r="EI71" s="153"/>
      <c r="EJ71" s="153"/>
      <c r="EK71" s="153"/>
      <c r="EL71" s="153"/>
      <c r="EM71" s="153"/>
      <c r="EN71" s="153"/>
      <c r="EO71" s="153"/>
      <c r="EP71" s="153"/>
      <c r="EQ71" s="153"/>
      <c r="ER71" s="153"/>
      <c r="ES71" s="153"/>
      <c r="ET71" s="153"/>
      <c r="EU71" s="153"/>
      <c r="EV71" s="153"/>
      <c r="EW71" s="153"/>
      <c r="EX71" s="153"/>
      <c r="EY71" s="153"/>
      <c r="EZ71" s="153"/>
      <c r="FA71" s="153"/>
      <c r="FB71" s="153"/>
      <c r="FC71" s="153"/>
      <c r="FD71" s="153"/>
      <c r="FE71" s="153"/>
      <c r="FF71" s="153"/>
      <c r="FG71" s="153"/>
      <c r="FH71" s="153"/>
      <c r="FI71" s="153"/>
      <c r="FJ71" s="153"/>
      <c r="FK71" s="153"/>
      <c r="FL71" s="153"/>
      <c r="FM71" s="153"/>
      <c r="FN71" s="153"/>
      <c r="FO71" s="153"/>
      <c r="FP71" s="153"/>
      <c r="FQ71" s="153"/>
      <c r="FR71" s="153"/>
      <c r="FS71" s="153"/>
      <c r="FT71" s="153"/>
      <c r="FU71" s="153"/>
      <c r="FV71" s="153"/>
      <c r="FW71" s="153"/>
      <c r="FX71" s="153"/>
      <c r="FY71" s="153"/>
      <c r="FZ71" s="153"/>
    </row>
    <row r="72" spans="1:182" ht="13.5" thickBot="1" x14ac:dyDescent="0.25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  <c r="BI72" s="153"/>
      <c r="BJ72" s="153"/>
      <c r="BK72" s="153"/>
      <c r="BL72" s="153"/>
      <c r="BM72" s="153"/>
      <c r="BN72" s="153"/>
      <c r="BO72" s="153"/>
      <c r="BP72" s="153"/>
      <c r="BQ72" s="153"/>
      <c r="BR72" s="153"/>
      <c r="BS72" s="153"/>
      <c r="BT72" s="153"/>
      <c r="BU72" s="153"/>
      <c r="BV72" s="153"/>
      <c r="BW72" s="153"/>
      <c r="BX72" s="153"/>
      <c r="BY72" s="153"/>
      <c r="BZ72" s="153"/>
      <c r="CA72" s="153"/>
      <c r="CB72" s="153"/>
      <c r="CC72" s="153"/>
      <c r="CD72" s="153"/>
      <c r="CE72" s="153"/>
      <c r="CF72" s="153"/>
      <c r="CG72" s="153"/>
      <c r="CH72" s="153"/>
      <c r="CI72" s="153"/>
      <c r="CJ72" s="153"/>
      <c r="CK72" s="153"/>
      <c r="CL72" s="153"/>
      <c r="CM72" s="153"/>
      <c r="CN72" s="153"/>
      <c r="CO72" s="153"/>
      <c r="CP72" s="153"/>
      <c r="CQ72" s="153"/>
      <c r="CR72" s="153"/>
      <c r="CS72" s="153"/>
      <c r="CT72" s="153"/>
      <c r="CU72" s="153"/>
      <c r="CV72" s="153"/>
      <c r="CW72" s="153"/>
      <c r="CX72" s="153"/>
      <c r="CY72" s="153"/>
      <c r="CZ72" s="153"/>
      <c r="DA72" s="153"/>
      <c r="DB72" s="153"/>
      <c r="DC72" s="153"/>
      <c r="DD72" s="153"/>
      <c r="DE72" s="153"/>
      <c r="DF72" s="153"/>
      <c r="DG72" s="153"/>
      <c r="DH72" s="153"/>
      <c r="DI72" s="153"/>
      <c r="DJ72" s="153"/>
      <c r="DK72" s="153"/>
      <c r="DL72" s="153"/>
      <c r="DM72" s="153"/>
      <c r="DN72" s="153"/>
      <c r="DO72" s="153"/>
      <c r="DP72" s="153"/>
      <c r="DQ72" s="153"/>
      <c r="DR72" s="153"/>
      <c r="DS72" s="153"/>
      <c r="DT72" s="153"/>
      <c r="DU72" s="153"/>
      <c r="DV72" s="153"/>
      <c r="DW72" s="153"/>
      <c r="DX72" s="153"/>
      <c r="DY72" s="153"/>
      <c r="DZ72" s="153"/>
      <c r="EA72" s="153"/>
      <c r="EB72" s="153"/>
      <c r="EC72" s="153"/>
      <c r="ED72" s="153"/>
      <c r="EE72" s="153"/>
      <c r="EF72" s="153"/>
      <c r="EG72" s="153"/>
      <c r="EH72" s="153"/>
      <c r="EI72" s="153"/>
      <c r="EJ72" s="153"/>
      <c r="EK72" s="153"/>
      <c r="EL72" s="153"/>
      <c r="EM72" s="153"/>
      <c r="EN72" s="153"/>
      <c r="EO72" s="153"/>
      <c r="EP72" s="153"/>
      <c r="EQ72" s="153"/>
      <c r="ER72" s="153"/>
      <c r="ES72" s="153"/>
      <c r="ET72" s="153"/>
      <c r="EU72" s="153"/>
      <c r="EV72" s="153"/>
      <c r="EW72" s="153"/>
      <c r="EX72" s="153"/>
      <c r="EY72" s="153"/>
      <c r="EZ72" s="153"/>
      <c r="FA72" s="153"/>
      <c r="FB72" s="153"/>
      <c r="FC72" s="153"/>
      <c r="FD72" s="153"/>
      <c r="FE72" s="153"/>
      <c r="FF72" s="153"/>
      <c r="FG72" s="153"/>
      <c r="FH72" s="153"/>
      <c r="FI72" s="153"/>
      <c r="FJ72" s="153"/>
      <c r="FK72" s="153"/>
      <c r="FL72" s="153"/>
      <c r="FM72" s="153"/>
      <c r="FN72" s="153"/>
      <c r="FO72" s="153"/>
      <c r="FP72" s="153"/>
      <c r="FQ72" s="153"/>
      <c r="FR72" s="153"/>
      <c r="FS72" s="153"/>
      <c r="FT72" s="153"/>
      <c r="FU72" s="153"/>
      <c r="FV72" s="153"/>
      <c r="FW72" s="153"/>
      <c r="FX72" s="153"/>
      <c r="FY72" s="153"/>
      <c r="FZ72" s="153"/>
    </row>
    <row r="73" spans="1:182" ht="13.5" thickBot="1" x14ac:dyDescent="0.25">
      <c r="A73" s="249" t="s">
        <v>4</v>
      </c>
      <c r="B73" s="292">
        <v>0</v>
      </c>
      <c r="C73" s="249">
        <v>1</v>
      </c>
      <c r="D73" s="292">
        <v>2</v>
      </c>
      <c r="E73" s="249">
        <v>3</v>
      </c>
      <c r="F73" s="292">
        <v>4</v>
      </c>
      <c r="G73" s="249">
        <v>5</v>
      </c>
      <c r="H73" s="249">
        <v>6</v>
      </c>
      <c r="I73" s="292">
        <v>7</v>
      </c>
      <c r="J73" s="249">
        <v>8</v>
      </c>
      <c r="K73" s="292">
        <v>9</v>
      </c>
      <c r="L73" s="249">
        <v>10</v>
      </c>
      <c r="M73" s="249">
        <v>11</v>
      </c>
      <c r="N73" s="292">
        <v>12</v>
      </c>
      <c r="O73" s="249">
        <v>13</v>
      </c>
      <c r="P73" s="292">
        <v>14</v>
      </c>
      <c r="Q73" s="249">
        <v>15</v>
      </c>
      <c r="R73" s="249">
        <f>+Q73+1</f>
        <v>16</v>
      </c>
      <c r="S73" s="249">
        <f t="shared" ref="S73:CD73" si="25">+R73+1</f>
        <v>17</v>
      </c>
      <c r="T73" s="249">
        <f t="shared" si="25"/>
        <v>18</v>
      </c>
      <c r="U73" s="249">
        <f t="shared" si="25"/>
        <v>19</v>
      </c>
      <c r="V73" s="249">
        <f t="shared" si="25"/>
        <v>20</v>
      </c>
      <c r="W73" s="249">
        <f t="shared" si="25"/>
        <v>21</v>
      </c>
      <c r="X73" s="249">
        <f t="shared" si="25"/>
        <v>22</v>
      </c>
      <c r="Y73" s="249">
        <f t="shared" si="25"/>
        <v>23</v>
      </c>
      <c r="Z73" s="249">
        <f t="shared" si="25"/>
        <v>24</v>
      </c>
      <c r="AA73" s="249">
        <f t="shared" si="25"/>
        <v>25</v>
      </c>
      <c r="AB73" s="249">
        <f t="shared" si="25"/>
        <v>26</v>
      </c>
      <c r="AC73" s="249">
        <f t="shared" si="25"/>
        <v>27</v>
      </c>
      <c r="AD73" s="249">
        <f t="shared" si="25"/>
        <v>28</v>
      </c>
      <c r="AE73" s="249">
        <f t="shared" si="25"/>
        <v>29</v>
      </c>
      <c r="AF73" s="249">
        <f t="shared" si="25"/>
        <v>30</v>
      </c>
      <c r="AG73" s="249">
        <f t="shared" si="25"/>
        <v>31</v>
      </c>
      <c r="AH73" s="249">
        <f t="shared" si="25"/>
        <v>32</v>
      </c>
      <c r="AI73" s="249">
        <f t="shared" si="25"/>
        <v>33</v>
      </c>
      <c r="AJ73" s="249">
        <f t="shared" si="25"/>
        <v>34</v>
      </c>
      <c r="AK73" s="249">
        <f t="shared" si="25"/>
        <v>35</v>
      </c>
      <c r="AL73" s="249">
        <f t="shared" si="25"/>
        <v>36</v>
      </c>
      <c r="AM73" s="249">
        <f t="shared" si="25"/>
        <v>37</v>
      </c>
      <c r="AN73" s="249">
        <f t="shared" si="25"/>
        <v>38</v>
      </c>
      <c r="AO73" s="249">
        <f t="shared" si="25"/>
        <v>39</v>
      </c>
      <c r="AP73" s="249">
        <f t="shared" si="25"/>
        <v>40</v>
      </c>
      <c r="AQ73" s="249">
        <f t="shared" si="25"/>
        <v>41</v>
      </c>
      <c r="AR73" s="249">
        <f t="shared" si="25"/>
        <v>42</v>
      </c>
      <c r="AS73" s="249">
        <f t="shared" si="25"/>
        <v>43</v>
      </c>
      <c r="AT73" s="249">
        <f t="shared" si="25"/>
        <v>44</v>
      </c>
      <c r="AU73" s="249">
        <f t="shared" si="25"/>
        <v>45</v>
      </c>
      <c r="AV73" s="249">
        <f t="shared" si="25"/>
        <v>46</v>
      </c>
      <c r="AW73" s="249">
        <f t="shared" si="25"/>
        <v>47</v>
      </c>
      <c r="AX73" s="249">
        <f t="shared" si="25"/>
        <v>48</v>
      </c>
      <c r="AY73" s="249">
        <f t="shared" si="25"/>
        <v>49</v>
      </c>
      <c r="AZ73" s="249">
        <f t="shared" si="25"/>
        <v>50</v>
      </c>
      <c r="BA73" s="249">
        <f t="shared" si="25"/>
        <v>51</v>
      </c>
      <c r="BB73" s="249">
        <f t="shared" si="25"/>
        <v>52</v>
      </c>
      <c r="BC73" s="249">
        <f t="shared" si="25"/>
        <v>53</v>
      </c>
      <c r="BD73" s="249">
        <f t="shared" si="25"/>
        <v>54</v>
      </c>
      <c r="BE73" s="249">
        <f t="shared" si="25"/>
        <v>55</v>
      </c>
      <c r="BF73" s="249">
        <f t="shared" si="25"/>
        <v>56</v>
      </c>
      <c r="BG73" s="249">
        <f t="shared" si="25"/>
        <v>57</v>
      </c>
      <c r="BH73" s="249">
        <f t="shared" si="25"/>
        <v>58</v>
      </c>
      <c r="BI73" s="249">
        <f t="shared" si="25"/>
        <v>59</v>
      </c>
      <c r="BJ73" s="249">
        <f t="shared" si="25"/>
        <v>60</v>
      </c>
      <c r="BK73" s="249">
        <f t="shared" si="25"/>
        <v>61</v>
      </c>
      <c r="BL73" s="249">
        <f t="shared" si="25"/>
        <v>62</v>
      </c>
      <c r="BM73" s="249">
        <f t="shared" si="25"/>
        <v>63</v>
      </c>
      <c r="BN73" s="249">
        <f t="shared" si="25"/>
        <v>64</v>
      </c>
      <c r="BO73" s="249">
        <f t="shared" si="25"/>
        <v>65</v>
      </c>
      <c r="BP73" s="249">
        <f t="shared" si="25"/>
        <v>66</v>
      </c>
      <c r="BQ73" s="249">
        <f t="shared" si="25"/>
        <v>67</v>
      </c>
      <c r="BR73" s="249">
        <f t="shared" si="25"/>
        <v>68</v>
      </c>
      <c r="BS73" s="249">
        <f t="shared" si="25"/>
        <v>69</v>
      </c>
      <c r="BT73" s="249">
        <f t="shared" si="25"/>
        <v>70</v>
      </c>
      <c r="BU73" s="249">
        <f t="shared" si="25"/>
        <v>71</v>
      </c>
      <c r="BV73" s="249">
        <f t="shared" si="25"/>
        <v>72</v>
      </c>
      <c r="BW73" s="249">
        <f t="shared" si="25"/>
        <v>73</v>
      </c>
      <c r="BX73" s="249">
        <f t="shared" si="25"/>
        <v>74</v>
      </c>
      <c r="BY73" s="249">
        <f t="shared" si="25"/>
        <v>75</v>
      </c>
      <c r="BZ73" s="249">
        <f t="shared" si="25"/>
        <v>76</v>
      </c>
      <c r="CA73" s="249">
        <f t="shared" si="25"/>
        <v>77</v>
      </c>
      <c r="CB73" s="249">
        <f t="shared" si="25"/>
        <v>78</v>
      </c>
      <c r="CC73" s="249">
        <f t="shared" si="25"/>
        <v>79</v>
      </c>
      <c r="CD73" s="249">
        <f t="shared" si="25"/>
        <v>80</v>
      </c>
      <c r="CE73" s="249">
        <f t="shared" ref="CE73:EP73" si="26">+CD73+1</f>
        <v>81</v>
      </c>
      <c r="CF73" s="249">
        <f t="shared" si="26"/>
        <v>82</v>
      </c>
      <c r="CG73" s="249">
        <f t="shared" si="26"/>
        <v>83</v>
      </c>
      <c r="CH73" s="249">
        <f t="shared" si="26"/>
        <v>84</v>
      </c>
      <c r="CI73" s="249">
        <f t="shared" si="26"/>
        <v>85</v>
      </c>
      <c r="CJ73" s="249">
        <f t="shared" si="26"/>
        <v>86</v>
      </c>
      <c r="CK73" s="249">
        <f t="shared" si="26"/>
        <v>87</v>
      </c>
      <c r="CL73" s="249">
        <f t="shared" si="26"/>
        <v>88</v>
      </c>
      <c r="CM73" s="249">
        <f t="shared" si="26"/>
        <v>89</v>
      </c>
      <c r="CN73" s="249">
        <f t="shared" si="26"/>
        <v>90</v>
      </c>
      <c r="CO73" s="249">
        <f t="shared" si="26"/>
        <v>91</v>
      </c>
      <c r="CP73" s="249">
        <f t="shared" si="26"/>
        <v>92</v>
      </c>
      <c r="CQ73" s="249">
        <f t="shared" si="26"/>
        <v>93</v>
      </c>
      <c r="CR73" s="249">
        <f t="shared" si="26"/>
        <v>94</v>
      </c>
      <c r="CS73" s="249">
        <f t="shared" si="26"/>
        <v>95</v>
      </c>
      <c r="CT73" s="249">
        <f t="shared" si="26"/>
        <v>96</v>
      </c>
      <c r="CU73" s="249">
        <f t="shared" si="26"/>
        <v>97</v>
      </c>
      <c r="CV73" s="249">
        <f t="shared" si="26"/>
        <v>98</v>
      </c>
      <c r="CW73" s="249">
        <f t="shared" si="26"/>
        <v>99</v>
      </c>
      <c r="CX73" s="249">
        <f t="shared" si="26"/>
        <v>100</v>
      </c>
      <c r="CY73" s="249">
        <f t="shared" si="26"/>
        <v>101</v>
      </c>
      <c r="CZ73" s="249">
        <f t="shared" si="26"/>
        <v>102</v>
      </c>
      <c r="DA73" s="249">
        <f t="shared" si="26"/>
        <v>103</v>
      </c>
      <c r="DB73" s="249">
        <f t="shared" si="26"/>
        <v>104</v>
      </c>
      <c r="DC73" s="249">
        <f t="shared" si="26"/>
        <v>105</v>
      </c>
      <c r="DD73" s="249">
        <f t="shared" si="26"/>
        <v>106</v>
      </c>
      <c r="DE73" s="249">
        <f t="shared" si="26"/>
        <v>107</v>
      </c>
      <c r="DF73" s="249">
        <f t="shared" si="26"/>
        <v>108</v>
      </c>
      <c r="DG73" s="249">
        <f t="shared" si="26"/>
        <v>109</v>
      </c>
      <c r="DH73" s="249">
        <f t="shared" si="26"/>
        <v>110</v>
      </c>
      <c r="DI73" s="249">
        <f t="shared" si="26"/>
        <v>111</v>
      </c>
      <c r="DJ73" s="249">
        <f t="shared" si="26"/>
        <v>112</v>
      </c>
      <c r="DK73" s="249">
        <f t="shared" si="26"/>
        <v>113</v>
      </c>
      <c r="DL73" s="249">
        <f t="shared" si="26"/>
        <v>114</v>
      </c>
      <c r="DM73" s="249">
        <f t="shared" si="26"/>
        <v>115</v>
      </c>
      <c r="DN73" s="249">
        <f t="shared" si="26"/>
        <v>116</v>
      </c>
      <c r="DO73" s="249">
        <f t="shared" si="26"/>
        <v>117</v>
      </c>
      <c r="DP73" s="249">
        <f t="shared" si="26"/>
        <v>118</v>
      </c>
      <c r="DQ73" s="249">
        <f t="shared" si="26"/>
        <v>119</v>
      </c>
      <c r="DR73" s="249">
        <f t="shared" si="26"/>
        <v>120</v>
      </c>
      <c r="DS73" s="249">
        <f t="shared" si="26"/>
        <v>121</v>
      </c>
      <c r="DT73" s="249">
        <f t="shared" si="26"/>
        <v>122</v>
      </c>
      <c r="DU73" s="249">
        <f t="shared" si="26"/>
        <v>123</v>
      </c>
      <c r="DV73" s="249">
        <f t="shared" si="26"/>
        <v>124</v>
      </c>
      <c r="DW73" s="249">
        <f t="shared" si="26"/>
        <v>125</v>
      </c>
      <c r="DX73" s="249">
        <f t="shared" si="26"/>
        <v>126</v>
      </c>
      <c r="DY73" s="249">
        <f t="shared" si="26"/>
        <v>127</v>
      </c>
      <c r="DZ73" s="249">
        <f t="shared" si="26"/>
        <v>128</v>
      </c>
      <c r="EA73" s="249">
        <f t="shared" si="26"/>
        <v>129</v>
      </c>
      <c r="EB73" s="249">
        <f t="shared" si="26"/>
        <v>130</v>
      </c>
      <c r="EC73" s="249">
        <f t="shared" si="26"/>
        <v>131</v>
      </c>
      <c r="ED73" s="249">
        <f t="shared" si="26"/>
        <v>132</v>
      </c>
      <c r="EE73" s="249">
        <f t="shared" si="26"/>
        <v>133</v>
      </c>
      <c r="EF73" s="249">
        <f t="shared" si="26"/>
        <v>134</v>
      </c>
      <c r="EG73" s="249">
        <f t="shared" si="26"/>
        <v>135</v>
      </c>
      <c r="EH73" s="249">
        <f t="shared" si="26"/>
        <v>136</v>
      </c>
      <c r="EI73" s="249">
        <f t="shared" si="26"/>
        <v>137</v>
      </c>
      <c r="EJ73" s="249">
        <f t="shared" si="26"/>
        <v>138</v>
      </c>
      <c r="EK73" s="249">
        <f t="shared" si="26"/>
        <v>139</v>
      </c>
      <c r="EL73" s="249">
        <f t="shared" si="26"/>
        <v>140</v>
      </c>
      <c r="EM73" s="249">
        <f t="shared" si="26"/>
        <v>141</v>
      </c>
      <c r="EN73" s="249">
        <f t="shared" si="26"/>
        <v>142</v>
      </c>
      <c r="EO73" s="249">
        <f t="shared" si="26"/>
        <v>143</v>
      </c>
      <c r="EP73" s="249">
        <f t="shared" si="26"/>
        <v>144</v>
      </c>
      <c r="EQ73" s="249">
        <f t="shared" ref="EQ73:FZ73" si="27">+EP73+1</f>
        <v>145</v>
      </c>
      <c r="ER73" s="249">
        <f t="shared" si="27"/>
        <v>146</v>
      </c>
      <c r="ES73" s="249">
        <f t="shared" si="27"/>
        <v>147</v>
      </c>
      <c r="ET73" s="249">
        <f t="shared" si="27"/>
        <v>148</v>
      </c>
      <c r="EU73" s="249">
        <f t="shared" si="27"/>
        <v>149</v>
      </c>
      <c r="EV73" s="249">
        <f t="shared" si="27"/>
        <v>150</v>
      </c>
      <c r="EW73" s="249">
        <f t="shared" si="27"/>
        <v>151</v>
      </c>
      <c r="EX73" s="249">
        <f t="shared" si="27"/>
        <v>152</v>
      </c>
      <c r="EY73" s="249">
        <f t="shared" si="27"/>
        <v>153</v>
      </c>
      <c r="EZ73" s="249">
        <f t="shared" si="27"/>
        <v>154</v>
      </c>
      <c r="FA73" s="249">
        <f t="shared" si="27"/>
        <v>155</v>
      </c>
      <c r="FB73" s="249">
        <f t="shared" si="27"/>
        <v>156</v>
      </c>
      <c r="FC73" s="249">
        <f t="shared" si="27"/>
        <v>157</v>
      </c>
      <c r="FD73" s="249">
        <f t="shared" si="27"/>
        <v>158</v>
      </c>
      <c r="FE73" s="249">
        <f t="shared" si="27"/>
        <v>159</v>
      </c>
      <c r="FF73" s="249">
        <f t="shared" si="27"/>
        <v>160</v>
      </c>
      <c r="FG73" s="249">
        <f t="shared" si="27"/>
        <v>161</v>
      </c>
      <c r="FH73" s="249">
        <f t="shared" si="27"/>
        <v>162</v>
      </c>
      <c r="FI73" s="249">
        <f t="shared" si="27"/>
        <v>163</v>
      </c>
      <c r="FJ73" s="249">
        <f t="shared" si="27"/>
        <v>164</v>
      </c>
      <c r="FK73" s="249">
        <f t="shared" si="27"/>
        <v>165</v>
      </c>
      <c r="FL73" s="249">
        <f t="shared" si="27"/>
        <v>166</v>
      </c>
      <c r="FM73" s="249">
        <f t="shared" si="27"/>
        <v>167</v>
      </c>
      <c r="FN73" s="249">
        <f t="shared" si="27"/>
        <v>168</v>
      </c>
      <c r="FO73" s="249">
        <f t="shared" si="27"/>
        <v>169</v>
      </c>
      <c r="FP73" s="249">
        <f t="shared" si="27"/>
        <v>170</v>
      </c>
      <c r="FQ73" s="249">
        <f t="shared" si="27"/>
        <v>171</v>
      </c>
      <c r="FR73" s="249">
        <f t="shared" si="27"/>
        <v>172</v>
      </c>
      <c r="FS73" s="249">
        <f t="shared" si="27"/>
        <v>173</v>
      </c>
      <c r="FT73" s="249">
        <f t="shared" si="27"/>
        <v>174</v>
      </c>
      <c r="FU73" s="249">
        <f t="shared" si="27"/>
        <v>175</v>
      </c>
      <c r="FV73" s="249">
        <f t="shared" si="27"/>
        <v>176</v>
      </c>
      <c r="FW73" s="249">
        <f t="shared" si="27"/>
        <v>177</v>
      </c>
      <c r="FX73" s="249">
        <f t="shared" si="27"/>
        <v>178</v>
      </c>
      <c r="FY73" s="249">
        <f t="shared" si="27"/>
        <v>179</v>
      </c>
      <c r="FZ73" s="249">
        <f t="shared" si="27"/>
        <v>180</v>
      </c>
    </row>
    <row r="74" spans="1:182" ht="13.5" thickBot="1" x14ac:dyDescent="0.25">
      <c r="A74" s="230"/>
      <c r="B74" s="230"/>
      <c r="C74" s="230"/>
      <c r="D74" s="230"/>
      <c r="E74" s="230"/>
      <c r="F74" s="230"/>
      <c r="G74" s="230"/>
      <c r="H74" s="230"/>
      <c r="I74" s="230"/>
      <c r="J74" s="230"/>
      <c r="K74" s="230"/>
      <c r="L74" s="230"/>
      <c r="M74" s="230"/>
      <c r="N74" s="230"/>
      <c r="O74" s="230"/>
      <c r="P74" s="230"/>
      <c r="Q74" s="230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  <c r="BJ74" s="153"/>
      <c r="BK74" s="153"/>
      <c r="BL74" s="153"/>
      <c r="BM74" s="153"/>
      <c r="BN74" s="153"/>
      <c r="BO74" s="153"/>
      <c r="BP74" s="153"/>
      <c r="BQ74" s="153"/>
      <c r="BR74" s="153"/>
      <c r="BS74" s="153"/>
      <c r="BT74" s="153"/>
      <c r="BU74" s="153"/>
      <c r="BV74" s="153"/>
      <c r="BW74" s="153"/>
      <c r="BX74" s="153"/>
      <c r="BY74" s="153"/>
      <c r="BZ74" s="153"/>
      <c r="CA74" s="153"/>
      <c r="CB74" s="153"/>
      <c r="CC74" s="153"/>
      <c r="CD74" s="153"/>
      <c r="CE74" s="153"/>
      <c r="CF74" s="153"/>
      <c r="CG74" s="153"/>
      <c r="CH74" s="153"/>
      <c r="CI74" s="153"/>
      <c r="CJ74" s="153"/>
      <c r="CK74" s="153"/>
      <c r="CL74" s="153"/>
      <c r="CM74" s="153"/>
      <c r="CN74" s="153"/>
      <c r="CO74" s="153"/>
      <c r="CP74" s="153"/>
      <c r="CQ74" s="153"/>
      <c r="CR74" s="153"/>
      <c r="CS74" s="153"/>
      <c r="CT74" s="153"/>
      <c r="CU74" s="153"/>
      <c r="CV74" s="153"/>
      <c r="CW74" s="153"/>
      <c r="CX74" s="153"/>
      <c r="CY74" s="153"/>
      <c r="CZ74" s="153"/>
      <c r="DA74" s="153"/>
      <c r="DB74" s="153"/>
      <c r="DC74" s="153"/>
      <c r="DD74" s="153"/>
      <c r="DE74" s="153"/>
      <c r="DF74" s="153"/>
      <c r="DG74" s="153"/>
      <c r="DH74" s="153"/>
      <c r="DI74" s="153"/>
      <c r="DJ74" s="153"/>
      <c r="DK74" s="153"/>
      <c r="DL74" s="153"/>
      <c r="DM74" s="153"/>
      <c r="DN74" s="153"/>
      <c r="DO74" s="153"/>
      <c r="DP74" s="153"/>
      <c r="DQ74" s="153"/>
      <c r="DR74" s="153"/>
      <c r="DS74" s="153"/>
      <c r="DT74" s="153"/>
      <c r="DU74" s="153"/>
      <c r="DV74" s="153"/>
      <c r="DW74" s="153"/>
      <c r="DX74" s="153"/>
      <c r="DY74" s="153"/>
      <c r="DZ74" s="153"/>
      <c r="EA74" s="153"/>
      <c r="EB74" s="153"/>
      <c r="EC74" s="153"/>
      <c r="ED74" s="153"/>
      <c r="EE74" s="153"/>
      <c r="EF74" s="153"/>
      <c r="EG74" s="153"/>
      <c r="EH74" s="153"/>
      <c r="EI74" s="153"/>
      <c r="EJ74" s="153"/>
      <c r="EK74" s="153"/>
      <c r="EL74" s="153"/>
      <c r="EM74" s="153"/>
      <c r="EN74" s="153"/>
      <c r="EO74" s="153"/>
      <c r="EP74" s="153"/>
      <c r="EQ74" s="153"/>
      <c r="ER74" s="153"/>
      <c r="ES74" s="153"/>
      <c r="ET74" s="153"/>
      <c r="EU74" s="153"/>
      <c r="EV74" s="153"/>
      <c r="EW74" s="153"/>
      <c r="EX74" s="153"/>
      <c r="EY74" s="153"/>
      <c r="EZ74" s="153"/>
      <c r="FA74" s="153"/>
      <c r="FB74" s="153"/>
      <c r="FC74" s="153"/>
      <c r="FD74" s="153"/>
      <c r="FE74" s="153"/>
      <c r="FF74" s="153"/>
      <c r="FG74" s="153"/>
      <c r="FH74" s="153"/>
      <c r="FI74" s="153"/>
      <c r="FJ74" s="153"/>
      <c r="FK74" s="153"/>
      <c r="FL74" s="153"/>
      <c r="FM74" s="153"/>
      <c r="FN74" s="153"/>
      <c r="FO74" s="153"/>
      <c r="FP74" s="153"/>
      <c r="FQ74" s="153"/>
      <c r="FR74" s="153"/>
      <c r="FS74" s="153"/>
      <c r="FT74" s="153"/>
      <c r="FU74" s="153"/>
      <c r="FV74" s="153"/>
      <c r="FW74" s="153"/>
      <c r="FX74" s="153"/>
      <c r="FY74" s="153"/>
      <c r="FZ74" s="153"/>
    </row>
    <row r="75" spans="1:182" x14ac:dyDescent="0.2">
      <c r="A75" s="293" t="str">
        <f>Inicio!C246</f>
        <v>Préstamo 2</v>
      </c>
      <c r="B75" s="309">
        <f>IF(Inicio!$C$229=1,+'inversión inicial'!C30,Inicio!F233)</f>
        <v>0</v>
      </c>
      <c r="C75" s="310"/>
      <c r="D75" s="311"/>
      <c r="E75" s="311"/>
      <c r="F75" s="311"/>
      <c r="G75" s="311"/>
      <c r="H75" s="311"/>
      <c r="I75" s="311"/>
      <c r="J75" s="311"/>
      <c r="K75" s="311"/>
      <c r="L75" s="311"/>
      <c r="M75" s="311"/>
      <c r="N75" s="311"/>
      <c r="O75" s="311"/>
      <c r="P75" s="311"/>
      <c r="Q75" s="311"/>
      <c r="R75" s="311"/>
      <c r="S75" s="311"/>
      <c r="T75" s="311"/>
      <c r="U75" s="311"/>
      <c r="V75" s="311"/>
      <c r="W75" s="311"/>
      <c r="X75" s="311"/>
      <c r="Y75" s="311"/>
      <c r="Z75" s="311"/>
      <c r="AA75" s="311"/>
      <c r="AB75" s="311"/>
      <c r="AC75" s="311"/>
      <c r="AD75" s="311"/>
      <c r="AE75" s="311"/>
      <c r="AF75" s="311"/>
      <c r="AG75" s="311"/>
      <c r="AH75" s="311"/>
      <c r="AI75" s="311"/>
      <c r="AJ75" s="311"/>
      <c r="AK75" s="311"/>
      <c r="AL75" s="311"/>
      <c r="AM75" s="311"/>
      <c r="AN75" s="311"/>
      <c r="AO75" s="311"/>
      <c r="AP75" s="311"/>
      <c r="AQ75" s="311"/>
      <c r="AR75" s="311"/>
      <c r="AS75" s="311"/>
      <c r="AT75" s="311"/>
      <c r="AU75" s="311"/>
      <c r="AV75" s="311"/>
      <c r="AW75" s="311"/>
      <c r="AX75" s="311"/>
      <c r="AY75" s="311"/>
      <c r="AZ75" s="311"/>
      <c r="BA75" s="311"/>
      <c r="BB75" s="311"/>
      <c r="BC75" s="311"/>
      <c r="BD75" s="311"/>
      <c r="BE75" s="311"/>
      <c r="BF75" s="311"/>
      <c r="BG75" s="311"/>
      <c r="BH75" s="311"/>
      <c r="BI75" s="311"/>
      <c r="BJ75" s="311"/>
      <c r="BK75" s="311"/>
      <c r="BL75" s="311"/>
      <c r="BM75" s="311"/>
      <c r="BN75" s="311"/>
      <c r="BO75" s="311"/>
      <c r="BP75" s="311"/>
      <c r="BQ75" s="311"/>
      <c r="BR75" s="311"/>
      <c r="BS75" s="311"/>
      <c r="BT75" s="311"/>
      <c r="BU75" s="311"/>
      <c r="BV75" s="311"/>
      <c r="BW75" s="311"/>
      <c r="BX75" s="311"/>
      <c r="BY75" s="311"/>
      <c r="BZ75" s="311"/>
      <c r="CA75" s="311"/>
      <c r="CB75" s="311"/>
      <c r="CC75" s="311"/>
      <c r="CD75" s="311"/>
      <c r="CE75" s="311"/>
      <c r="CF75" s="311"/>
      <c r="CG75" s="311"/>
      <c r="CH75" s="311"/>
      <c r="CI75" s="311"/>
      <c r="CJ75" s="311"/>
      <c r="CK75" s="311"/>
      <c r="CL75" s="311"/>
      <c r="CM75" s="311"/>
      <c r="CN75" s="311"/>
      <c r="CO75" s="311"/>
      <c r="CP75" s="311"/>
      <c r="CQ75" s="311"/>
      <c r="CR75" s="311"/>
      <c r="CS75" s="311"/>
      <c r="CT75" s="311"/>
      <c r="CU75" s="311"/>
      <c r="CV75" s="311"/>
      <c r="CW75" s="311"/>
      <c r="CX75" s="311"/>
      <c r="CY75" s="311"/>
      <c r="CZ75" s="311"/>
      <c r="DA75" s="311"/>
      <c r="DB75" s="311"/>
      <c r="DC75" s="311"/>
      <c r="DD75" s="311"/>
      <c r="DE75" s="311"/>
      <c r="DF75" s="311"/>
      <c r="DG75" s="311"/>
      <c r="DH75" s="311"/>
      <c r="DI75" s="311"/>
      <c r="DJ75" s="311"/>
      <c r="DK75" s="311"/>
      <c r="DL75" s="311"/>
      <c r="DM75" s="311"/>
      <c r="DN75" s="311"/>
      <c r="DO75" s="311"/>
      <c r="DP75" s="311"/>
      <c r="DQ75" s="311"/>
      <c r="DR75" s="311"/>
      <c r="DS75" s="311"/>
      <c r="DT75" s="311"/>
      <c r="DU75" s="311"/>
      <c r="DV75" s="311"/>
      <c r="DW75" s="311"/>
      <c r="DX75" s="311"/>
      <c r="DY75" s="311"/>
      <c r="DZ75" s="311"/>
      <c r="EA75" s="311"/>
      <c r="EB75" s="311"/>
      <c r="EC75" s="311"/>
      <c r="ED75" s="311"/>
      <c r="EE75" s="311"/>
      <c r="EF75" s="311"/>
      <c r="EG75" s="311"/>
      <c r="EH75" s="311"/>
      <c r="EI75" s="311"/>
      <c r="EJ75" s="311"/>
      <c r="EK75" s="311"/>
      <c r="EL75" s="311"/>
      <c r="EM75" s="311"/>
      <c r="EN75" s="311"/>
      <c r="EO75" s="311"/>
      <c r="EP75" s="311"/>
      <c r="EQ75" s="311"/>
      <c r="ER75" s="311"/>
      <c r="ES75" s="311"/>
      <c r="ET75" s="311"/>
      <c r="EU75" s="311"/>
      <c r="EV75" s="311"/>
      <c r="EW75" s="311"/>
      <c r="EX75" s="311"/>
      <c r="EY75" s="311"/>
      <c r="EZ75" s="311"/>
      <c r="FA75" s="311"/>
      <c r="FB75" s="311"/>
      <c r="FC75" s="311"/>
      <c r="FD75" s="311"/>
      <c r="FE75" s="311"/>
      <c r="FF75" s="311"/>
      <c r="FG75" s="311"/>
      <c r="FH75" s="311"/>
      <c r="FI75" s="311"/>
      <c r="FJ75" s="311"/>
      <c r="FK75" s="311"/>
      <c r="FL75" s="311"/>
      <c r="FM75" s="311"/>
      <c r="FN75" s="311"/>
      <c r="FO75" s="311"/>
      <c r="FP75" s="311"/>
      <c r="FQ75" s="311"/>
      <c r="FR75" s="311"/>
      <c r="FS75" s="311"/>
      <c r="FT75" s="311"/>
      <c r="FU75" s="311"/>
      <c r="FV75" s="311"/>
      <c r="FW75" s="311"/>
      <c r="FX75" s="311"/>
      <c r="FY75" s="311"/>
      <c r="FZ75" s="232"/>
    </row>
    <row r="76" spans="1:182" x14ac:dyDescent="0.2">
      <c r="A76" s="236" t="s">
        <v>376</v>
      </c>
      <c r="B76" s="312">
        <f>IF(Inicio!$E$51="Años",(POWER(Inicio!D246+1,1/12)-1),(POWER(Inicio!D246+1,1/12)-1))</f>
        <v>0</v>
      </c>
      <c r="C76" s="250">
        <f>IF($B$78=1,IF(C$5&lt;=$B$79,+B75*B76,0),0)</f>
        <v>0</v>
      </c>
      <c r="D76" s="297">
        <f>IF(D$73&lt;=$B$79,+C78*$B76,0)</f>
        <v>0</v>
      </c>
      <c r="E76" s="297">
        <f t="shared" ref="E76:BP76" si="28">IF(E$73&lt;=$B$79,+D78*$B76,0)</f>
        <v>0</v>
      </c>
      <c r="F76" s="297">
        <f t="shared" si="28"/>
        <v>0</v>
      </c>
      <c r="G76" s="297">
        <f t="shared" si="28"/>
        <v>0</v>
      </c>
      <c r="H76" s="297">
        <f t="shared" si="28"/>
        <v>0</v>
      </c>
      <c r="I76" s="297">
        <f t="shared" si="28"/>
        <v>0</v>
      </c>
      <c r="J76" s="297">
        <f t="shared" si="28"/>
        <v>0</v>
      </c>
      <c r="K76" s="297">
        <f t="shared" si="28"/>
        <v>0</v>
      </c>
      <c r="L76" s="297">
        <f t="shared" si="28"/>
        <v>0</v>
      </c>
      <c r="M76" s="297">
        <f t="shared" si="28"/>
        <v>0</v>
      </c>
      <c r="N76" s="297">
        <f t="shared" si="28"/>
        <v>0</v>
      </c>
      <c r="O76" s="297">
        <f t="shared" si="28"/>
        <v>0</v>
      </c>
      <c r="P76" s="297">
        <f t="shared" si="28"/>
        <v>0</v>
      </c>
      <c r="Q76" s="297">
        <f t="shared" si="28"/>
        <v>0</v>
      </c>
      <c r="R76" s="297">
        <f t="shared" si="28"/>
        <v>0</v>
      </c>
      <c r="S76" s="297">
        <f t="shared" si="28"/>
        <v>0</v>
      </c>
      <c r="T76" s="297">
        <f t="shared" si="28"/>
        <v>0</v>
      </c>
      <c r="U76" s="297">
        <f t="shared" si="28"/>
        <v>0</v>
      </c>
      <c r="V76" s="297">
        <f t="shared" si="28"/>
        <v>0</v>
      </c>
      <c r="W76" s="297">
        <f t="shared" si="28"/>
        <v>0</v>
      </c>
      <c r="X76" s="297">
        <f t="shared" si="28"/>
        <v>0</v>
      </c>
      <c r="Y76" s="297">
        <f t="shared" si="28"/>
        <v>0</v>
      </c>
      <c r="Z76" s="297">
        <f t="shared" si="28"/>
        <v>0</v>
      </c>
      <c r="AA76" s="297">
        <f t="shared" si="28"/>
        <v>0</v>
      </c>
      <c r="AB76" s="297">
        <f t="shared" si="28"/>
        <v>0</v>
      </c>
      <c r="AC76" s="297">
        <f t="shared" si="28"/>
        <v>0</v>
      </c>
      <c r="AD76" s="297">
        <f t="shared" si="28"/>
        <v>0</v>
      </c>
      <c r="AE76" s="297">
        <f t="shared" si="28"/>
        <v>0</v>
      </c>
      <c r="AF76" s="297">
        <f t="shared" si="28"/>
        <v>0</v>
      </c>
      <c r="AG76" s="297">
        <f t="shared" si="28"/>
        <v>0</v>
      </c>
      <c r="AH76" s="297">
        <f t="shared" si="28"/>
        <v>0</v>
      </c>
      <c r="AI76" s="297">
        <f t="shared" si="28"/>
        <v>0</v>
      </c>
      <c r="AJ76" s="297">
        <f t="shared" si="28"/>
        <v>0</v>
      </c>
      <c r="AK76" s="297">
        <f t="shared" si="28"/>
        <v>0</v>
      </c>
      <c r="AL76" s="297">
        <f t="shared" si="28"/>
        <v>0</v>
      </c>
      <c r="AM76" s="297">
        <f t="shared" si="28"/>
        <v>0</v>
      </c>
      <c r="AN76" s="297">
        <f t="shared" si="28"/>
        <v>0</v>
      </c>
      <c r="AO76" s="297">
        <f t="shared" si="28"/>
        <v>0</v>
      </c>
      <c r="AP76" s="297">
        <f t="shared" si="28"/>
        <v>0</v>
      </c>
      <c r="AQ76" s="297">
        <f t="shared" si="28"/>
        <v>0</v>
      </c>
      <c r="AR76" s="297">
        <f t="shared" si="28"/>
        <v>0</v>
      </c>
      <c r="AS76" s="297">
        <f t="shared" si="28"/>
        <v>0</v>
      </c>
      <c r="AT76" s="297">
        <f t="shared" si="28"/>
        <v>0</v>
      </c>
      <c r="AU76" s="297">
        <f t="shared" si="28"/>
        <v>0</v>
      </c>
      <c r="AV76" s="297">
        <f t="shared" si="28"/>
        <v>0</v>
      </c>
      <c r="AW76" s="297">
        <f t="shared" si="28"/>
        <v>0</v>
      </c>
      <c r="AX76" s="297">
        <f t="shared" si="28"/>
        <v>0</v>
      </c>
      <c r="AY76" s="297">
        <f t="shared" si="28"/>
        <v>0</v>
      </c>
      <c r="AZ76" s="297">
        <f t="shared" si="28"/>
        <v>0</v>
      </c>
      <c r="BA76" s="297">
        <f t="shared" si="28"/>
        <v>0</v>
      </c>
      <c r="BB76" s="297">
        <f t="shared" si="28"/>
        <v>0</v>
      </c>
      <c r="BC76" s="297">
        <f t="shared" si="28"/>
        <v>0</v>
      </c>
      <c r="BD76" s="297">
        <f t="shared" si="28"/>
        <v>0</v>
      </c>
      <c r="BE76" s="297">
        <f t="shared" si="28"/>
        <v>0</v>
      </c>
      <c r="BF76" s="297">
        <f t="shared" si="28"/>
        <v>0</v>
      </c>
      <c r="BG76" s="297">
        <f t="shared" si="28"/>
        <v>0</v>
      </c>
      <c r="BH76" s="297">
        <f t="shared" si="28"/>
        <v>0</v>
      </c>
      <c r="BI76" s="297">
        <f t="shared" si="28"/>
        <v>0</v>
      </c>
      <c r="BJ76" s="297">
        <f t="shared" si="28"/>
        <v>0</v>
      </c>
      <c r="BK76" s="297">
        <f t="shared" si="28"/>
        <v>0</v>
      </c>
      <c r="BL76" s="297">
        <f t="shared" si="28"/>
        <v>0</v>
      </c>
      <c r="BM76" s="297">
        <f t="shared" si="28"/>
        <v>0</v>
      </c>
      <c r="BN76" s="297">
        <f t="shared" si="28"/>
        <v>0</v>
      </c>
      <c r="BO76" s="297">
        <f t="shared" si="28"/>
        <v>0</v>
      </c>
      <c r="BP76" s="297">
        <f t="shared" si="28"/>
        <v>0</v>
      </c>
      <c r="BQ76" s="297">
        <f t="shared" ref="BQ76:EB76" si="29">IF(BQ$73&lt;=$B$79,+BP78*$B76,0)</f>
        <v>0</v>
      </c>
      <c r="BR76" s="297">
        <f t="shared" si="29"/>
        <v>0</v>
      </c>
      <c r="BS76" s="297">
        <f t="shared" si="29"/>
        <v>0</v>
      </c>
      <c r="BT76" s="297">
        <f t="shared" si="29"/>
        <v>0</v>
      </c>
      <c r="BU76" s="297">
        <f t="shared" si="29"/>
        <v>0</v>
      </c>
      <c r="BV76" s="297">
        <f t="shared" si="29"/>
        <v>0</v>
      </c>
      <c r="BW76" s="297">
        <f t="shared" si="29"/>
        <v>0</v>
      </c>
      <c r="BX76" s="297">
        <f t="shared" si="29"/>
        <v>0</v>
      </c>
      <c r="BY76" s="297">
        <f t="shared" si="29"/>
        <v>0</v>
      </c>
      <c r="BZ76" s="297">
        <f t="shared" si="29"/>
        <v>0</v>
      </c>
      <c r="CA76" s="297">
        <f t="shared" si="29"/>
        <v>0</v>
      </c>
      <c r="CB76" s="297">
        <f t="shared" si="29"/>
        <v>0</v>
      </c>
      <c r="CC76" s="297">
        <f t="shared" si="29"/>
        <v>0</v>
      </c>
      <c r="CD76" s="297">
        <f t="shared" si="29"/>
        <v>0</v>
      </c>
      <c r="CE76" s="297">
        <f t="shared" si="29"/>
        <v>0</v>
      </c>
      <c r="CF76" s="297">
        <f t="shared" si="29"/>
        <v>0</v>
      </c>
      <c r="CG76" s="297">
        <f t="shared" si="29"/>
        <v>0</v>
      </c>
      <c r="CH76" s="297">
        <f t="shared" si="29"/>
        <v>0</v>
      </c>
      <c r="CI76" s="297">
        <f t="shared" si="29"/>
        <v>0</v>
      </c>
      <c r="CJ76" s="297">
        <f t="shared" si="29"/>
        <v>0</v>
      </c>
      <c r="CK76" s="297">
        <f t="shared" si="29"/>
        <v>0</v>
      </c>
      <c r="CL76" s="297">
        <f t="shared" si="29"/>
        <v>0</v>
      </c>
      <c r="CM76" s="297">
        <f t="shared" si="29"/>
        <v>0</v>
      </c>
      <c r="CN76" s="297">
        <f t="shared" si="29"/>
        <v>0</v>
      </c>
      <c r="CO76" s="297">
        <f t="shared" si="29"/>
        <v>0</v>
      </c>
      <c r="CP76" s="297">
        <f t="shared" si="29"/>
        <v>0</v>
      </c>
      <c r="CQ76" s="297">
        <f t="shared" si="29"/>
        <v>0</v>
      </c>
      <c r="CR76" s="297">
        <f t="shared" si="29"/>
        <v>0</v>
      </c>
      <c r="CS76" s="297">
        <f t="shared" si="29"/>
        <v>0</v>
      </c>
      <c r="CT76" s="297">
        <f t="shared" si="29"/>
        <v>0</v>
      </c>
      <c r="CU76" s="297">
        <f t="shared" si="29"/>
        <v>0</v>
      </c>
      <c r="CV76" s="297">
        <f t="shared" si="29"/>
        <v>0</v>
      </c>
      <c r="CW76" s="297">
        <f t="shared" si="29"/>
        <v>0</v>
      </c>
      <c r="CX76" s="297">
        <f t="shared" si="29"/>
        <v>0</v>
      </c>
      <c r="CY76" s="297">
        <f t="shared" si="29"/>
        <v>0</v>
      </c>
      <c r="CZ76" s="297">
        <f t="shared" si="29"/>
        <v>0</v>
      </c>
      <c r="DA76" s="297">
        <f t="shared" si="29"/>
        <v>0</v>
      </c>
      <c r="DB76" s="297">
        <f t="shared" si="29"/>
        <v>0</v>
      </c>
      <c r="DC76" s="297">
        <f t="shared" si="29"/>
        <v>0</v>
      </c>
      <c r="DD76" s="297">
        <f t="shared" si="29"/>
        <v>0</v>
      </c>
      <c r="DE76" s="297">
        <f t="shared" si="29"/>
        <v>0</v>
      </c>
      <c r="DF76" s="297">
        <f t="shared" si="29"/>
        <v>0</v>
      </c>
      <c r="DG76" s="297">
        <f t="shared" si="29"/>
        <v>0</v>
      </c>
      <c r="DH76" s="297">
        <f t="shared" si="29"/>
        <v>0</v>
      </c>
      <c r="DI76" s="297">
        <f t="shared" si="29"/>
        <v>0</v>
      </c>
      <c r="DJ76" s="297">
        <f t="shared" si="29"/>
        <v>0</v>
      </c>
      <c r="DK76" s="297">
        <f t="shared" si="29"/>
        <v>0</v>
      </c>
      <c r="DL76" s="297">
        <f t="shared" si="29"/>
        <v>0</v>
      </c>
      <c r="DM76" s="297">
        <f t="shared" si="29"/>
        <v>0</v>
      </c>
      <c r="DN76" s="297">
        <f t="shared" si="29"/>
        <v>0</v>
      </c>
      <c r="DO76" s="297">
        <f t="shared" si="29"/>
        <v>0</v>
      </c>
      <c r="DP76" s="297">
        <f t="shared" si="29"/>
        <v>0</v>
      </c>
      <c r="DQ76" s="297">
        <f t="shared" si="29"/>
        <v>0</v>
      </c>
      <c r="DR76" s="297">
        <f t="shared" si="29"/>
        <v>0</v>
      </c>
      <c r="DS76" s="297">
        <f t="shared" si="29"/>
        <v>0</v>
      </c>
      <c r="DT76" s="297">
        <f t="shared" si="29"/>
        <v>0</v>
      </c>
      <c r="DU76" s="297">
        <f t="shared" si="29"/>
        <v>0</v>
      </c>
      <c r="DV76" s="297">
        <f t="shared" si="29"/>
        <v>0</v>
      </c>
      <c r="DW76" s="297">
        <f t="shared" si="29"/>
        <v>0</v>
      </c>
      <c r="DX76" s="297">
        <f t="shared" si="29"/>
        <v>0</v>
      </c>
      <c r="DY76" s="297">
        <f t="shared" si="29"/>
        <v>0</v>
      </c>
      <c r="DZ76" s="297">
        <f t="shared" si="29"/>
        <v>0</v>
      </c>
      <c r="EA76" s="297">
        <f t="shared" si="29"/>
        <v>0</v>
      </c>
      <c r="EB76" s="297">
        <f t="shared" si="29"/>
        <v>0</v>
      </c>
      <c r="EC76" s="297">
        <f t="shared" ref="EC76:FZ76" si="30">IF(EC$73&lt;=$B$79,+EB78*$B76,0)</f>
        <v>0</v>
      </c>
      <c r="ED76" s="297">
        <f t="shared" si="30"/>
        <v>0</v>
      </c>
      <c r="EE76" s="297">
        <f t="shared" si="30"/>
        <v>0</v>
      </c>
      <c r="EF76" s="297">
        <f t="shared" si="30"/>
        <v>0</v>
      </c>
      <c r="EG76" s="297">
        <f t="shared" si="30"/>
        <v>0</v>
      </c>
      <c r="EH76" s="297">
        <f t="shared" si="30"/>
        <v>0</v>
      </c>
      <c r="EI76" s="297">
        <f t="shared" si="30"/>
        <v>0</v>
      </c>
      <c r="EJ76" s="297">
        <f t="shared" si="30"/>
        <v>0</v>
      </c>
      <c r="EK76" s="297">
        <f t="shared" si="30"/>
        <v>0</v>
      </c>
      <c r="EL76" s="297">
        <f t="shared" si="30"/>
        <v>0</v>
      </c>
      <c r="EM76" s="297">
        <f t="shared" si="30"/>
        <v>0</v>
      </c>
      <c r="EN76" s="297">
        <f t="shared" si="30"/>
        <v>0</v>
      </c>
      <c r="EO76" s="297">
        <f t="shared" si="30"/>
        <v>0</v>
      </c>
      <c r="EP76" s="297">
        <f t="shared" si="30"/>
        <v>0</v>
      </c>
      <c r="EQ76" s="297">
        <f t="shared" si="30"/>
        <v>0</v>
      </c>
      <c r="ER76" s="297">
        <f t="shared" si="30"/>
        <v>0</v>
      </c>
      <c r="ES76" s="297">
        <f t="shared" si="30"/>
        <v>0</v>
      </c>
      <c r="ET76" s="297">
        <f t="shared" si="30"/>
        <v>0</v>
      </c>
      <c r="EU76" s="297">
        <f t="shared" si="30"/>
        <v>0</v>
      </c>
      <c r="EV76" s="297">
        <f t="shared" si="30"/>
        <v>0</v>
      </c>
      <c r="EW76" s="297">
        <f t="shared" si="30"/>
        <v>0</v>
      </c>
      <c r="EX76" s="297">
        <f t="shared" si="30"/>
        <v>0</v>
      </c>
      <c r="EY76" s="297">
        <f t="shared" si="30"/>
        <v>0</v>
      </c>
      <c r="EZ76" s="297">
        <f t="shared" si="30"/>
        <v>0</v>
      </c>
      <c r="FA76" s="297">
        <f t="shared" si="30"/>
        <v>0</v>
      </c>
      <c r="FB76" s="297">
        <f t="shared" si="30"/>
        <v>0</v>
      </c>
      <c r="FC76" s="297">
        <f t="shared" si="30"/>
        <v>0</v>
      </c>
      <c r="FD76" s="297">
        <f t="shared" si="30"/>
        <v>0</v>
      </c>
      <c r="FE76" s="297">
        <f t="shared" si="30"/>
        <v>0</v>
      </c>
      <c r="FF76" s="297">
        <f t="shared" si="30"/>
        <v>0</v>
      </c>
      <c r="FG76" s="297">
        <f t="shared" si="30"/>
        <v>0</v>
      </c>
      <c r="FH76" s="297">
        <f t="shared" si="30"/>
        <v>0</v>
      </c>
      <c r="FI76" s="297">
        <f t="shared" si="30"/>
        <v>0</v>
      </c>
      <c r="FJ76" s="297">
        <f t="shared" si="30"/>
        <v>0</v>
      </c>
      <c r="FK76" s="297">
        <f t="shared" si="30"/>
        <v>0</v>
      </c>
      <c r="FL76" s="297">
        <f t="shared" si="30"/>
        <v>0</v>
      </c>
      <c r="FM76" s="297">
        <f t="shared" si="30"/>
        <v>0</v>
      </c>
      <c r="FN76" s="297">
        <f t="shared" si="30"/>
        <v>0</v>
      </c>
      <c r="FO76" s="297">
        <f t="shared" si="30"/>
        <v>0</v>
      </c>
      <c r="FP76" s="297">
        <f t="shared" si="30"/>
        <v>0</v>
      </c>
      <c r="FQ76" s="297">
        <f t="shared" si="30"/>
        <v>0</v>
      </c>
      <c r="FR76" s="297">
        <f t="shared" si="30"/>
        <v>0</v>
      </c>
      <c r="FS76" s="297">
        <f t="shared" si="30"/>
        <v>0</v>
      </c>
      <c r="FT76" s="297">
        <f t="shared" si="30"/>
        <v>0</v>
      </c>
      <c r="FU76" s="297">
        <f t="shared" si="30"/>
        <v>0</v>
      </c>
      <c r="FV76" s="297">
        <f t="shared" si="30"/>
        <v>0</v>
      </c>
      <c r="FW76" s="297">
        <f t="shared" si="30"/>
        <v>0</v>
      </c>
      <c r="FX76" s="297">
        <f t="shared" si="30"/>
        <v>0</v>
      </c>
      <c r="FY76" s="297">
        <f t="shared" si="30"/>
        <v>0</v>
      </c>
      <c r="FZ76" s="313">
        <f t="shared" si="30"/>
        <v>0</v>
      </c>
    </row>
    <row r="77" spans="1:182" x14ac:dyDescent="0.2">
      <c r="A77" s="236" t="s">
        <v>25</v>
      </c>
      <c r="B77" s="314"/>
      <c r="C77" s="250">
        <f>IF($B$78=1,IF(C$73&lt;=$B$79,IF(C$73&lt;=$B$79,+$B$81-C76,0),0),IF(C$73&lt;=$B$79,IF(C$73&lt;=$B$79,+$B$80-C76,0),0))</f>
        <v>0</v>
      </c>
      <c r="D77" s="297">
        <f>IF($B$78=1,IF(D$73&lt;=$B$79,IF(D$73&lt;=$B$79,+$B$81-D76,0),0),IF(D$73&lt;=$B$79,IF(D$73&lt;=$B$79,+$B$80-D76,0),0))</f>
        <v>0</v>
      </c>
      <c r="E77" s="297">
        <f t="shared" ref="E77:BP77" si="31">IF($B$78=1,IF(E$73&lt;=$B$79,IF(E$73&lt;=$B$79,+$B$81-E76,0),0),IF(E$73&lt;=$B$79,IF(E$73&lt;=$B$79,+$B$80-E76,0),0))</f>
        <v>0</v>
      </c>
      <c r="F77" s="297">
        <f t="shared" si="31"/>
        <v>0</v>
      </c>
      <c r="G77" s="297">
        <f t="shared" si="31"/>
        <v>0</v>
      </c>
      <c r="H77" s="297">
        <f t="shared" si="31"/>
        <v>0</v>
      </c>
      <c r="I77" s="297">
        <f t="shared" si="31"/>
        <v>0</v>
      </c>
      <c r="J77" s="297">
        <f t="shared" si="31"/>
        <v>0</v>
      </c>
      <c r="K77" s="297">
        <f t="shared" si="31"/>
        <v>0</v>
      </c>
      <c r="L77" s="297">
        <f t="shared" si="31"/>
        <v>0</v>
      </c>
      <c r="M77" s="297">
        <f t="shared" si="31"/>
        <v>0</v>
      </c>
      <c r="N77" s="297">
        <f t="shared" si="31"/>
        <v>0</v>
      </c>
      <c r="O77" s="297">
        <f t="shared" si="31"/>
        <v>0</v>
      </c>
      <c r="P77" s="297">
        <f t="shared" si="31"/>
        <v>0</v>
      </c>
      <c r="Q77" s="297">
        <f t="shared" si="31"/>
        <v>0</v>
      </c>
      <c r="R77" s="297">
        <f t="shared" si="31"/>
        <v>0</v>
      </c>
      <c r="S77" s="297">
        <f t="shared" si="31"/>
        <v>0</v>
      </c>
      <c r="T77" s="297">
        <f t="shared" si="31"/>
        <v>0</v>
      </c>
      <c r="U77" s="297">
        <f t="shared" si="31"/>
        <v>0</v>
      </c>
      <c r="V77" s="297">
        <f t="shared" si="31"/>
        <v>0</v>
      </c>
      <c r="W77" s="297">
        <f t="shared" si="31"/>
        <v>0</v>
      </c>
      <c r="X77" s="297">
        <f t="shared" si="31"/>
        <v>0</v>
      </c>
      <c r="Y77" s="297">
        <f t="shared" si="31"/>
        <v>0</v>
      </c>
      <c r="Z77" s="297">
        <f t="shared" si="31"/>
        <v>0</v>
      </c>
      <c r="AA77" s="297">
        <f t="shared" si="31"/>
        <v>0</v>
      </c>
      <c r="AB77" s="297">
        <f t="shared" si="31"/>
        <v>0</v>
      </c>
      <c r="AC77" s="297">
        <f t="shared" si="31"/>
        <v>0</v>
      </c>
      <c r="AD77" s="297">
        <f t="shared" si="31"/>
        <v>0</v>
      </c>
      <c r="AE77" s="297">
        <f t="shared" si="31"/>
        <v>0</v>
      </c>
      <c r="AF77" s="297">
        <f t="shared" si="31"/>
        <v>0</v>
      </c>
      <c r="AG77" s="297">
        <f t="shared" si="31"/>
        <v>0</v>
      </c>
      <c r="AH77" s="297">
        <f t="shared" si="31"/>
        <v>0</v>
      </c>
      <c r="AI77" s="297">
        <f t="shared" si="31"/>
        <v>0</v>
      </c>
      <c r="AJ77" s="297">
        <f t="shared" si="31"/>
        <v>0</v>
      </c>
      <c r="AK77" s="297">
        <f t="shared" si="31"/>
        <v>0</v>
      </c>
      <c r="AL77" s="297">
        <f t="shared" si="31"/>
        <v>0</v>
      </c>
      <c r="AM77" s="297">
        <f t="shared" si="31"/>
        <v>0</v>
      </c>
      <c r="AN77" s="297">
        <f t="shared" si="31"/>
        <v>0</v>
      </c>
      <c r="AO77" s="297">
        <f t="shared" si="31"/>
        <v>0</v>
      </c>
      <c r="AP77" s="297">
        <f t="shared" si="31"/>
        <v>0</v>
      </c>
      <c r="AQ77" s="297">
        <f t="shared" si="31"/>
        <v>0</v>
      </c>
      <c r="AR77" s="297">
        <f t="shared" si="31"/>
        <v>0</v>
      </c>
      <c r="AS77" s="297">
        <f t="shared" si="31"/>
        <v>0</v>
      </c>
      <c r="AT77" s="297">
        <f t="shared" si="31"/>
        <v>0</v>
      </c>
      <c r="AU77" s="297">
        <f t="shared" si="31"/>
        <v>0</v>
      </c>
      <c r="AV77" s="297">
        <f t="shared" si="31"/>
        <v>0</v>
      </c>
      <c r="AW77" s="297">
        <f t="shared" si="31"/>
        <v>0</v>
      </c>
      <c r="AX77" s="297">
        <f t="shared" si="31"/>
        <v>0</v>
      </c>
      <c r="AY77" s="297">
        <f t="shared" si="31"/>
        <v>0</v>
      </c>
      <c r="AZ77" s="297">
        <f t="shared" si="31"/>
        <v>0</v>
      </c>
      <c r="BA77" s="297">
        <f t="shared" si="31"/>
        <v>0</v>
      </c>
      <c r="BB77" s="297">
        <f t="shared" si="31"/>
        <v>0</v>
      </c>
      <c r="BC77" s="297">
        <f t="shared" si="31"/>
        <v>0</v>
      </c>
      <c r="BD77" s="297">
        <f t="shared" si="31"/>
        <v>0</v>
      </c>
      <c r="BE77" s="297">
        <f t="shared" si="31"/>
        <v>0</v>
      </c>
      <c r="BF77" s="297">
        <f t="shared" si="31"/>
        <v>0</v>
      </c>
      <c r="BG77" s="297">
        <f t="shared" si="31"/>
        <v>0</v>
      </c>
      <c r="BH77" s="297">
        <f t="shared" si="31"/>
        <v>0</v>
      </c>
      <c r="BI77" s="297">
        <f t="shared" si="31"/>
        <v>0</v>
      </c>
      <c r="BJ77" s="297">
        <f t="shared" si="31"/>
        <v>0</v>
      </c>
      <c r="BK77" s="297">
        <f t="shared" si="31"/>
        <v>0</v>
      </c>
      <c r="BL77" s="297">
        <f t="shared" si="31"/>
        <v>0</v>
      </c>
      <c r="BM77" s="297">
        <f t="shared" si="31"/>
        <v>0</v>
      </c>
      <c r="BN77" s="297">
        <f t="shared" si="31"/>
        <v>0</v>
      </c>
      <c r="BO77" s="297">
        <f t="shared" si="31"/>
        <v>0</v>
      </c>
      <c r="BP77" s="297">
        <f t="shared" si="31"/>
        <v>0</v>
      </c>
      <c r="BQ77" s="297">
        <f t="shared" ref="BQ77:EB77" si="32">IF($B$78=1,IF(BQ$73&lt;=$B$79,IF(BQ$73&lt;=$B$79,+$B$81-BQ76,0),0),IF(BQ$73&lt;=$B$79,IF(BQ$73&lt;=$B$79,+$B$80-BQ76,0),0))</f>
        <v>0</v>
      </c>
      <c r="BR77" s="297">
        <f t="shared" si="32"/>
        <v>0</v>
      </c>
      <c r="BS77" s="297">
        <f t="shared" si="32"/>
        <v>0</v>
      </c>
      <c r="BT77" s="297">
        <f t="shared" si="32"/>
        <v>0</v>
      </c>
      <c r="BU77" s="297">
        <f t="shared" si="32"/>
        <v>0</v>
      </c>
      <c r="BV77" s="297">
        <f t="shared" si="32"/>
        <v>0</v>
      </c>
      <c r="BW77" s="297">
        <f t="shared" si="32"/>
        <v>0</v>
      </c>
      <c r="BX77" s="297">
        <f t="shared" si="32"/>
        <v>0</v>
      </c>
      <c r="BY77" s="297">
        <f t="shared" si="32"/>
        <v>0</v>
      </c>
      <c r="BZ77" s="297">
        <f t="shared" si="32"/>
        <v>0</v>
      </c>
      <c r="CA77" s="297">
        <f t="shared" si="32"/>
        <v>0</v>
      </c>
      <c r="CB77" s="297">
        <f t="shared" si="32"/>
        <v>0</v>
      </c>
      <c r="CC77" s="297">
        <f t="shared" si="32"/>
        <v>0</v>
      </c>
      <c r="CD77" s="297">
        <f t="shared" si="32"/>
        <v>0</v>
      </c>
      <c r="CE77" s="297">
        <f t="shared" si="32"/>
        <v>0</v>
      </c>
      <c r="CF77" s="297">
        <f t="shared" si="32"/>
        <v>0</v>
      </c>
      <c r="CG77" s="297">
        <f t="shared" si="32"/>
        <v>0</v>
      </c>
      <c r="CH77" s="297">
        <f t="shared" si="32"/>
        <v>0</v>
      </c>
      <c r="CI77" s="297">
        <f t="shared" si="32"/>
        <v>0</v>
      </c>
      <c r="CJ77" s="297">
        <f t="shared" si="32"/>
        <v>0</v>
      </c>
      <c r="CK77" s="297">
        <f t="shared" si="32"/>
        <v>0</v>
      </c>
      <c r="CL77" s="297">
        <f t="shared" si="32"/>
        <v>0</v>
      </c>
      <c r="CM77" s="297">
        <f t="shared" si="32"/>
        <v>0</v>
      </c>
      <c r="CN77" s="297">
        <f t="shared" si="32"/>
        <v>0</v>
      </c>
      <c r="CO77" s="297">
        <f t="shared" si="32"/>
        <v>0</v>
      </c>
      <c r="CP77" s="297">
        <f t="shared" si="32"/>
        <v>0</v>
      </c>
      <c r="CQ77" s="297">
        <f t="shared" si="32"/>
        <v>0</v>
      </c>
      <c r="CR77" s="297">
        <f t="shared" si="32"/>
        <v>0</v>
      </c>
      <c r="CS77" s="297">
        <f t="shared" si="32"/>
        <v>0</v>
      </c>
      <c r="CT77" s="297">
        <f t="shared" si="32"/>
        <v>0</v>
      </c>
      <c r="CU77" s="297">
        <f t="shared" si="32"/>
        <v>0</v>
      </c>
      <c r="CV77" s="297">
        <f t="shared" si="32"/>
        <v>0</v>
      </c>
      <c r="CW77" s="297">
        <f t="shared" si="32"/>
        <v>0</v>
      </c>
      <c r="CX77" s="297">
        <f t="shared" si="32"/>
        <v>0</v>
      </c>
      <c r="CY77" s="297">
        <f t="shared" si="32"/>
        <v>0</v>
      </c>
      <c r="CZ77" s="297">
        <f t="shared" si="32"/>
        <v>0</v>
      </c>
      <c r="DA77" s="297">
        <f t="shared" si="32"/>
        <v>0</v>
      </c>
      <c r="DB77" s="297">
        <f t="shared" si="32"/>
        <v>0</v>
      </c>
      <c r="DC77" s="297">
        <f t="shared" si="32"/>
        <v>0</v>
      </c>
      <c r="DD77" s="297">
        <f t="shared" si="32"/>
        <v>0</v>
      </c>
      <c r="DE77" s="297">
        <f t="shared" si="32"/>
        <v>0</v>
      </c>
      <c r="DF77" s="297">
        <f t="shared" si="32"/>
        <v>0</v>
      </c>
      <c r="DG77" s="297">
        <f t="shared" si="32"/>
        <v>0</v>
      </c>
      <c r="DH77" s="297">
        <f t="shared" si="32"/>
        <v>0</v>
      </c>
      <c r="DI77" s="297">
        <f t="shared" si="32"/>
        <v>0</v>
      </c>
      <c r="DJ77" s="297">
        <f t="shared" si="32"/>
        <v>0</v>
      </c>
      <c r="DK77" s="297">
        <f t="shared" si="32"/>
        <v>0</v>
      </c>
      <c r="DL77" s="297">
        <f t="shared" si="32"/>
        <v>0</v>
      </c>
      <c r="DM77" s="297">
        <f t="shared" si="32"/>
        <v>0</v>
      </c>
      <c r="DN77" s="297">
        <f t="shared" si="32"/>
        <v>0</v>
      </c>
      <c r="DO77" s="297">
        <f t="shared" si="32"/>
        <v>0</v>
      </c>
      <c r="DP77" s="297">
        <f t="shared" si="32"/>
        <v>0</v>
      </c>
      <c r="DQ77" s="297">
        <f t="shared" si="32"/>
        <v>0</v>
      </c>
      <c r="DR77" s="297">
        <f t="shared" si="32"/>
        <v>0</v>
      </c>
      <c r="DS77" s="297">
        <f t="shared" si="32"/>
        <v>0</v>
      </c>
      <c r="DT77" s="297">
        <f t="shared" si="32"/>
        <v>0</v>
      </c>
      <c r="DU77" s="297">
        <f t="shared" si="32"/>
        <v>0</v>
      </c>
      <c r="DV77" s="297">
        <f t="shared" si="32"/>
        <v>0</v>
      </c>
      <c r="DW77" s="297">
        <f t="shared" si="32"/>
        <v>0</v>
      </c>
      <c r="DX77" s="297">
        <f t="shared" si="32"/>
        <v>0</v>
      </c>
      <c r="DY77" s="297">
        <f t="shared" si="32"/>
        <v>0</v>
      </c>
      <c r="DZ77" s="297">
        <f t="shared" si="32"/>
        <v>0</v>
      </c>
      <c r="EA77" s="297">
        <f t="shared" si="32"/>
        <v>0</v>
      </c>
      <c r="EB77" s="297">
        <f t="shared" si="32"/>
        <v>0</v>
      </c>
      <c r="EC77" s="297">
        <f t="shared" ref="EC77:FZ77" si="33">IF($B$78=1,IF(EC$73&lt;=$B$79,IF(EC$73&lt;=$B$79,+$B$81-EC76,0),0),IF(EC$73&lt;=$B$79,IF(EC$73&lt;=$B$79,+$B$80-EC76,0),0))</f>
        <v>0</v>
      </c>
      <c r="ED77" s="297">
        <f t="shared" si="33"/>
        <v>0</v>
      </c>
      <c r="EE77" s="297">
        <f t="shared" si="33"/>
        <v>0</v>
      </c>
      <c r="EF77" s="297">
        <f t="shared" si="33"/>
        <v>0</v>
      </c>
      <c r="EG77" s="297">
        <f t="shared" si="33"/>
        <v>0</v>
      </c>
      <c r="EH77" s="297">
        <f t="shared" si="33"/>
        <v>0</v>
      </c>
      <c r="EI77" s="297">
        <f t="shared" si="33"/>
        <v>0</v>
      </c>
      <c r="EJ77" s="297">
        <f t="shared" si="33"/>
        <v>0</v>
      </c>
      <c r="EK77" s="297">
        <f t="shared" si="33"/>
        <v>0</v>
      </c>
      <c r="EL77" s="297">
        <f t="shared" si="33"/>
        <v>0</v>
      </c>
      <c r="EM77" s="297">
        <f t="shared" si="33"/>
        <v>0</v>
      </c>
      <c r="EN77" s="297">
        <f t="shared" si="33"/>
        <v>0</v>
      </c>
      <c r="EO77" s="297">
        <f t="shared" si="33"/>
        <v>0</v>
      </c>
      <c r="EP77" s="297">
        <f t="shared" si="33"/>
        <v>0</v>
      </c>
      <c r="EQ77" s="297">
        <f t="shared" si="33"/>
        <v>0</v>
      </c>
      <c r="ER77" s="297">
        <f t="shared" si="33"/>
        <v>0</v>
      </c>
      <c r="ES77" s="297">
        <f t="shared" si="33"/>
        <v>0</v>
      </c>
      <c r="ET77" s="297">
        <f t="shared" si="33"/>
        <v>0</v>
      </c>
      <c r="EU77" s="297">
        <f t="shared" si="33"/>
        <v>0</v>
      </c>
      <c r="EV77" s="297">
        <f t="shared" si="33"/>
        <v>0</v>
      </c>
      <c r="EW77" s="297">
        <f t="shared" si="33"/>
        <v>0</v>
      </c>
      <c r="EX77" s="297">
        <f t="shared" si="33"/>
        <v>0</v>
      </c>
      <c r="EY77" s="297">
        <f t="shared" si="33"/>
        <v>0</v>
      </c>
      <c r="EZ77" s="297">
        <f t="shared" si="33"/>
        <v>0</v>
      </c>
      <c r="FA77" s="297">
        <f t="shared" si="33"/>
        <v>0</v>
      </c>
      <c r="FB77" s="297">
        <f t="shared" si="33"/>
        <v>0</v>
      </c>
      <c r="FC77" s="297">
        <f t="shared" si="33"/>
        <v>0</v>
      </c>
      <c r="FD77" s="297">
        <f t="shared" si="33"/>
        <v>0</v>
      </c>
      <c r="FE77" s="297">
        <f t="shared" si="33"/>
        <v>0</v>
      </c>
      <c r="FF77" s="297">
        <f t="shared" si="33"/>
        <v>0</v>
      </c>
      <c r="FG77" s="297">
        <f t="shared" si="33"/>
        <v>0</v>
      </c>
      <c r="FH77" s="297">
        <f t="shared" si="33"/>
        <v>0</v>
      </c>
      <c r="FI77" s="297">
        <f t="shared" si="33"/>
        <v>0</v>
      </c>
      <c r="FJ77" s="297">
        <f t="shared" si="33"/>
        <v>0</v>
      </c>
      <c r="FK77" s="297">
        <f t="shared" si="33"/>
        <v>0</v>
      </c>
      <c r="FL77" s="297">
        <f t="shared" si="33"/>
        <v>0</v>
      </c>
      <c r="FM77" s="297">
        <f t="shared" si="33"/>
        <v>0</v>
      </c>
      <c r="FN77" s="297">
        <f t="shared" si="33"/>
        <v>0</v>
      </c>
      <c r="FO77" s="297">
        <f t="shared" si="33"/>
        <v>0</v>
      </c>
      <c r="FP77" s="297">
        <f t="shared" si="33"/>
        <v>0</v>
      </c>
      <c r="FQ77" s="297">
        <f t="shared" si="33"/>
        <v>0</v>
      </c>
      <c r="FR77" s="297">
        <f t="shared" si="33"/>
        <v>0</v>
      </c>
      <c r="FS77" s="297">
        <f t="shared" si="33"/>
        <v>0</v>
      </c>
      <c r="FT77" s="297">
        <f t="shared" si="33"/>
        <v>0</v>
      </c>
      <c r="FU77" s="297">
        <f t="shared" si="33"/>
        <v>0</v>
      </c>
      <c r="FV77" s="297">
        <f t="shared" si="33"/>
        <v>0</v>
      </c>
      <c r="FW77" s="297">
        <f t="shared" si="33"/>
        <v>0</v>
      </c>
      <c r="FX77" s="297">
        <f t="shared" si="33"/>
        <v>0</v>
      </c>
      <c r="FY77" s="297">
        <f t="shared" si="33"/>
        <v>0</v>
      </c>
      <c r="FZ77" s="313">
        <f t="shared" si="33"/>
        <v>0</v>
      </c>
    </row>
    <row r="78" spans="1:182" ht="13.5" thickBot="1" x14ac:dyDescent="0.25">
      <c r="A78" s="236" t="s">
        <v>26</v>
      </c>
      <c r="B78" s="314">
        <f>+Inicio!F246</f>
        <v>0</v>
      </c>
      <c r="C78" s="308">
        <f>IF(C$73&lt;=$B$79,IF(C$73&lt;=$B$79,+B75-C77,0),0)</f>
        <v>0</v>
      </c>
      <c r="D78" s="299">
        <f>IF(D$73&lt;=$B$79,IF(D$73&lt;=$B$79,+C78-D77,0),0)</f>
        <v>0</v>
      </c>
      <c r="E78" s="299">
        <f t="shared" ref="E78:BP78" si="34">IF(E$73&lt;=$B$79,IF(E$73&lt;=$B$79,+D78-E77,0),0)</f>
        <v>0</v>
      </c>
      <c r="F78" s="299">
        <f t="shared" si="34"/>
        <v>0</v>
      </c>
      <c r="G78" s="299">
        <f t="shared" si="34"/>
        <v>0</v>
      </c>
      <c r="H78" s="299">
        <f t="shared" si="34"/>
        <v>0</v>
      </c>
      <c r="I78" s="299">
        <f t="shared" si="34"/>
        <v>0</v>
      </c>
      <c r="J78" s="299">
        <f t="shared" si="34"/>
        <v>0</v>
      </c>
      <c r="K78" s="299">
        <f t="shared" si="34"/>
        <v>0</v>
      </c>
      <c r="L78" s="299">
        <f t="shared" si="34"/>
        <v>0</v>
      </c>
      <c r="M78" s="299">
        <f t="shared" si="34"/>
        <v>0</v>
      </c>
      <c r="N78" s="299">
        <f t="shared" si="34"/>
        <v>0</v>
      </c>
      <c r="O78" s="299">
        <f t="shared" si="34"/>
        <v>0</v>
      </c>
      <c r="P78" s="299">
        <f t="shared" si="34"/>
        <v>0</v>
      </c>
      <c r="Q78" s="299">
        <f t="shared" si="34"/>
        <v>0</v>
      </c>
      <c r="R78" s="299">
        <f t="shared" si="34"/>
        <v>0</v>
      </c>
      <c r="S78" s="299">
        <f t="shared" si="34"/>
        <v>0</v>
      </c>
      <c r="T78" s="299">
        <f t="shared" si="34"/>
        <v>0</v>
      </c>
      <c r="U78" s="299">
        <f t="shared" si="34"/>
        <v>0</v>
      </c>
      <c r="V78" s="299">
        <f t="shared" si="34"/>
        <v>0</v>
      </c>
      <c r="W78" s="299">
        <f t="shared" si="34"/>
        <v>0</v>
      </c>
      <c r="X78" s="299">
        <f t="shared" si="34"/>
        <v>0</v>
      </c>
      <c r="Y78" s="299">
        <f t="shared" si="34"/>
        <v>0</v>
      </c>
      <c r="Z78" s="299">
        <f t="shared" si="34"/>
        <v>0</v>
      </c>
      <c r="AA78" s="299">
        <f t="shared" si="34"/>
        <v>0</v>
      </c>
      <c r="AB78" s="299">
        <f t="shared" si="34"/>
        <v>0</v>
      </c>
      <c r="AC78" s="299">
        <f t="shared" si="34"/>
        <v>0</v>
      </c>
      <c r="AD78" s="299">
        <f t="shared" si="34"/>
        <v>0</v>
      </c>
      <c r="AE78" s="299">
        <f t="shared" si="34"/>
        <v>0</v>
      </c>
      <c r="AF78" s="299">
        <f t="shared" si="34"/>
        <v>0</v>
      </c>
      <c r="AG78" s="299">
        <f t="shared" si="34"/>
        <v>0</v>
      </c>
      <c r="AH78" s="299">
        <f t="shared" si="34"/>
        <v>0</v>
      </c>
      <c r="AI78" s="299">
        <f t="shared" si="34"/>
        <v>0</v>
      </c>
      <c r="AJ78" s="299">
        <f t="shared" si="34"/>
        <v>0</v>
      </c>
      <c r="AK78" s="299">
        <f t="shared" si="34"/>
        <v>0</v>
      </c>
      <c r="AL78" s="299">
        <f t="shared" si="34"/>
        <v>0</v>
      </c>
      <c r="AM78" s="299">
        <f t="shared" si="34"/>
        <v>0</v>
      </c>
      <c r="AN78" s="299">
        <f t="shared" si="34"/>
        <v>0</v>
      </c>
      <c r="AO78" s="299">
        <f t="shared" si="34"/>
        <v>0</v>
      </c>
      <c r="AP78" s="299">
        <f t="shared" si="34"/>
        <v>0</v>
      </c>
      <c r="AQ78" s="299">
        <f t="shared" si="34"/>
        <v>0</v>
      </c>
      <c r="AR78" s="299">
        <f t="shared" si="34"/>
        <v>0</v>
      </c>
      <c r="AS78" s="299">
        <f t="shared" si="34"/>
        <v>0</v>
      </c>
      <c r="AT78" s="299">
        <f t="shared" si="34"/>
        <v>0</v>
      </c>
      <c r="AU78" s="299">
        <f t="shared" si="34"/>
        <v>0</v>
      </c>
      <c r="AV78" s="299">
        <f t="shared" si="34"/>
        <v>0</v>
      </c>
      <c r="AW78" s="299">
        <f t="shared" si="34"/>
        <v>0</v>
      </c>
      <c r="AX78" s="299">
        <f t="shared" si="34"/>
        <v>0</v>
      </c>
      <c r="AY78" s="299">
        <f t="shared" si="34"/>
        <v>0</v>
      </c>
      <c r="AZ78" s="299">
        <f t="shared" si="34"/>
        <v>0</v>
      </c>
      <c r="BA78" s="299">
        <f t="shared" si="34"/>
        <v>0</v>
      </c>
      <c r="BB78" s="299">
        <f t="shared" si="34"/>
        <v>0</v>
      </c>
      <c r="BC78" s="299">
        <f t="shared" si="34"/>
        <v>0</v>
      </c>
      <c r="BD78" s="299">
        <f t="shared" si="34"/>
        <v>0</v>
      </c>
      <c r="BE78" s="299">
        <f t="shared" si="34"/>
        <v>0</v>
      </c>
      <c r="BF78" s="299">
        <f t="shared" si="34"/>
        <v>0</v>
      </c>
      <c r="BG78" s="299">
        <f t="shared" si="34"/>
        <v>0</v>
      </c>
      <c r="BH78" s="299">
        <f t="shared" si="34"/>
        <v>0</v>
      </c>
      <c r="BI78" s="299">
        <f t="shared" si="34"/>
        <v>0</v>
      </c>
      <c r="BJ78" s="299">
        <f t="shared" si="34"/>
        <v>0</v>
      </c>
      <c r="BK78" s="299">
        <f t="shared" si="34"/>
        <v>0</v>
      </c>
      <c r="BL78" s="299">
        <f t="shared" si="34"/>
        <v>0</v>
      </c>
      <c r="BM78" s="299">
        <f t="shared" si="34"/>
        <v>0</v>
      </c>
      <c r="BN78" s="299">
        <f t="shared" si="34"/>
        <v>0</v>
      </c>
      <c r="BO78" s="299">
        <f t="shared" si="34"/>
        <v>0</v>
      </c>
      <c r="BP78" s="299">
        <f t="shared" si="34"/>
        <v>0</v>
      </c>
      <c r="BQ78" s="299">
        <f t="shared" ref="BQ78:EB78" si="35">IF(BQ$73&lt;=$B$79,IF(BQ$73&lt;=$B$79,+BP78-BQ77,0),0)</f>
        <v>0</v>
      </c>
      <c r="BR78" s="299">
        <f t="shared" si="35"/>
        <v>0</v>
      </c>
      <c r="BS78" s="299">
        <f t="shared" si="35"/>
        <v>0</v>
      </c>
      <c r="BT78" s="299">
        <f t="shared" si="35"/>
        <v>0</v>
      </c>
      <c r="BU78" s="299">
        <f t="shared" si="35"/>
        <v>0</v>
      </c>
      <c r="BV78" s="299">
        <f t="shared" si="35"/>
        <v>0</v>
      </c>
      <c r="BW78" s="299">
        <f t="shared" si="35"/>
        <v>0</v>
      </c>
      <c r="BX78" s="299">
        <f t="shared" si="35"/>
        <v>0</v>
      </c>
      <c r="BY78" s="299">
        <f t="shared" si="35"/>
        <v>0</v>
      </c>
      <c r="BZ78" s="299">
        <f t="shared" si="35"/>
        <v>0</v>
      </c>
      <c r="CA78" s="299">
        <f t="shared" si="35"/>
        <v>0</v>
      </c>
      <c r="CB78" s="299">
        <f t="shared" si="35"/>
        <v>0</v>
      </c>
      <c r="CC78" s="299">
        <f t="shared" si="35"/>
        <v>0</v>
      </c>
      <c r="CD78" s="299">
        <f t="shared" si="35"/>
        <v>0</v>
      </c>
      <c r="CE78" s="299">
        <f t="shared" si="35"/>
        <v>0</v>
      </c>
      <c r="CF78" s="299">
        <f t="shared" si="35"/>
        <v>0</v>
      </c>
      <c r="CG78" s="299">
        <f t="shared" si="35"/>
        <v>0</v>
      </c>
      <c r="CH78" s="299">
        <f t="shared" si="35"/>
        <v>0</v>
      </c>
      <c r="CI78" s="299">
        <f t="shared" si="35"/>
        <v>0</v>
      </c>
      <c r="CJ78" s="299">
        <f t="shared" si="35"/>
        <v>0</v>
      </c>
      <c r="CK78" s="299">
        <f t="shared" si="35"/>
        <v>0</v>
      </c>
      <c r="CL78" s="299">
        <f t="shared" si="35"/>
        <v>0</v>
      </c>
      <c r="CM78" s="299">
        <f t="shared" si="35"/>
        <v>0</v>
      </c>
      <c r="CN78" s="299">
        <f t="shared" si="35"/>
        <v>0</v>
      </c>
      <c r="CO78" s="299">
        <f t="shared" si="35"/>
        <v>0</v>
      </c>
      <c r="CP78" s="299">
        <f t="shared" si="35"/>
        <v>0</v>
      </c>
      <c r="CQ78" s="299">
        <f t="shared" si="35"/>
        <v>0</v>
      </c>
      <c r="CR78" s="299">
        <f t="shared" si="35"/>
        <v>0</v>
      </c>
      <c r="CS78" s="299">
        <f t="shared" si="35"/>
        <v>0</v>
      </c>
      <c r="CT78" s="299">
        <f t="shared" si="35"/>
        <v>0</v>
      </c>
      <c r="CU78" s="299">
        <f t="shared" si="35"/>
        <v>0</v>
      </c>
      <c r="CV78" s="299">
        <f t="shared" si="35"/>
        <v>0</v>
      </c>
      <c r="CW78" s="299">
        <f t="shared" si="35"/>
        <v>0</v>
      </c>
      <c r="CX78" s="299">
        <f t="shared" si="35"/>
        <v>0</v>
      </c>
      <c r="CY78" s="299">
        <f t="shared" si="35"/>
        <v>0</v>
      </c>
      <c r="CZ78" s="299">
        <f t="shared" si="35"/>
        <v>0</v>
      </c>
      <c r="DA78" s="299">
        <f t="shared" si="35"/>
        <v>0</v>
      </c>
      <c r="DB78" s="299">
        <f t="shared" si="35"/>
        <v>0</v>
      </c>
      <c r="DC78" s="299">
        <f t="shared" si="35"/>
        <v>0</v>
      </c>
      <c r="DD78" s="299">
        <f t="shared" si="35"/>
        <v>0</v>
      </c>
      <c r="DE78" s="299">
        <f t="shared" si="35"/>
        <v>0</v>
      </c>
      <c r="DF78" s="299">
        <f t="shared" si="35"/>
        <v>0</v>
      </c>
      <c r="DG78" s="299">
        <f t="shared" si="35"/>
        <v>0</v>
      </c>
      <c r="DH78" s="299">
        <f t="shared" si="35"/>
        <v>0</v>
      </c>
      <c r="DI78" s="299">
        <f t="shared" si="35"/>
        <v>0</v>
      </c>
      <c r="DJ78" s="299">
        <f t="shared" si="35"/>
        <v>0</v>
      </c>
      <c r="DK78" s="299">
        <f t="shared" si="35"/>
        <v>0</v>
      </c>
      <c r="DL78" s="299">
        <f t="shared" si="35"/>
        <v>0</v>
      </c>
      <c r="DM78" s="299">
        <f t="shared" si="35"/>
        <v>0</v>
      </c>
      <c r="DN78" s="299">
        <f t="shared" si="35"/>
        <v>0</v>
      </c>
      <c r="DO78" s="299">
        <f t="shared" si="35"/>
        <v>0</v>
      </c>
      <c r="DP78" s="299">
        <f t="shared" si="35"/>
        <v>0</v>
      </c>
      <c r="DQ78" s="299">
        <f t="shared" si="35"/>
        <v>0</v>
      </c>
      <c r="DR78" s="299">
        <f t="shared" si="35"/>
        <v>0</v>
      </c>
      <c r="DS78" s="299">
        <f t="shared" si="35"/>
        <v>0</v>
      </c>
      <c r="DT78" s="299">
        <f t="shared" si="35"/>
        <v>0</v>
      </c>
      <c r="DU78" s="299">
        <f t="shared" si="35"/>
        <v>0</v>
      </c>
      <c r="DV78" s="299">
        <f t="shared" si="35"/>
        <v>0</v>
      </c>
      <c r="DW78" s="299">
        <f t="shared" si="35"/>
        <v>0</v>
      </c>
      <c r="DX78" s="299">
        <f t="shared" si="35"/>
        <v>0</v>
      </c>
      <c r="DY78" s="299">
        <f t="shared" si="35"/>
        <v>0</v>
      </c>
      <c r="DZ78" s="299">
        <f t="shared" si="35"/>
        <v>0</v>
      </c>
      <c r="EA78" s="299">
        <f t="shared" si="35"/>
        <v>0</v>
      </c>
      <c r="EB78" s="299">
        <f t="shared" si="35"/>
        <v>0</v>
      </c>
      <c r="EC78" s="299">
        <f t="shared" ref="EC78:FZ78" si="36">IF(EC$73&lt;=$B$79,IF(EC$73&lt;=$B$79,+EB78-EC77,0),0)</f>
        <v>0</v>
      </c>
      <c r="ED78" s="299">
        <f t="shared" si="36"/>
        <v>0</v>
      </c>
      <c r="EE78" s="299">
        <f t="shared" si="36"/>
        <v>0</v>
      </c>
      <c r="EF78" s="299">
        <f t="shared" si="36"/>
        <v>0</v>
      </c>
      <c r="EG78" s="299">
        <f t="shared" si="36"/>
        <v>0</v>
      </c>
      <c r="EH78" s="299">
        <f t="shared" si="36"/>
        <v>0</v>
      </c>
      <c r="EI78" s="299">
        <f t="shared" si="36"/>
        <v>0</v>
      </c>
      <c r="EJ78" s="299">
        <f t="shared" si="36"/>
        <v>0</v>
      </c>
      <c r="EK78" s="299">
        <f t="shared" si="36"/>
        <v>0</v>
      </c>
      <c r="EL78" s="299">
        <f t="shared" si="36"/>
        <v>0</v>
      </c>
      <c r="EM78" s="299">
        <f t="shared" si="36"/>
        <v>0</v>
      </c>
      <c r="EN78" s="299">
        <f t="shared" si="36"/>
        <v>0</v>
      </c>
      <c r="EO78" s="299">
        <f t="shared" si="36"/>
        <v>0</v>
      </c>
      <c r="EP78" s="299">
        <f t="shared" si="36"/>
        <v>0</v>
      </c>
      <c r="EQ78" s="299">
        <f t="shared" si="36"/>
        <v>0</v>
      </c>
      <c r="ER78" s="299">
        <f t="shared" si="36"/>
        <v>0</v>
      </c>
      <c r="ES78" s="299">
        <f t="shared" si="36"/>
        <v>0</v>
      </c>
      <c r="ET78" s="299">
        <f t="shared" si="36"/>
        <v>0</v>
      </c>
      <c r="EU78" s="299">
        <f t="shared" si="36"/>
        <v>0</v>
      </c>
      <c r="EV78" s="299">
        <f t="shared" si="36"/>
        <v>0</v>
      </c>
      <c r="EW78" s="299">
        <f t="shared" si="36"/>
        <v>0</v>
      </c>
      <c r="EX78" s="299">
        <f t="shared" si="36"/>
        <v>0</v>
      </c>
      <c r="EY78" s="299">
        <f t="shared" si="36"/>
        <v>0</v>
      </c>
      <c r="EZ78" s="299">
        <f t="shared" si="36"/>
        <v>0</v>
      </c>
      <c r="FA78" s="299">
        <f t="shared" si="36"/>
        <v>0</v>
      </c>
      <c r="FB78" s="299">
        <f t="shared" si="36"/>
        <v>0</v>
      </c>
      <c r="FC78" s="299">
        <f t="shared" si="36"/>
        <v>0</v>
      </c>
      <c r="FD78" s="299">
        <f t="shared" si="36"/>
        <v>0</v>
      </c>
      <c r="FE78" s="299">
        <f t="shared" si="36"/>
        <v>0</v>
      </c>
      <c r="FF78" s="299">
        <f t="shared" si="36"/>
        <v>0</v>
      </c>
      <c r="FG78" s="299">
        <f t="shared" si="36"/>
        <v>0</v>
      </c>
      <c r="FH78" s="299">
        <f t="shared" si="36"/>
        <v>0</v>
      </c>
      <c r="FI78" s="299">
        <f t="shared" si="36"/>
        <v>0</v>
      </c>
      <c r="FJ78" s="299">
        <f t="shared" si="36"/>
        <v>0</v>
      </c>
      <c r="FK78" s="299">
        <f t="shared" si="36"/>
        <v>0</v>
      </c>
      <c r="FL78" s="299">
        <f t="shared" si="36"/>
        <v>0</v>
      </c>
      <c r="FM78" s="299">
        <f t="shared" si="36"/>
        <v>0</v>
      </c>
      <c r="FN78" s="299">
        <f t="shared" si="36"/>
        <v>0</v>
      </c>
      <c r="FO78" s="299">
        <f t="shared" si="36"/>
        <v>0</v>
      </c>
      <c r="FP78" s="299">
        <f t="shared" si="36"/>
        <v>0</v>
      </c>
      <c r="FQ78" s="299">
        <f t="shared" si="36"/>
        <v>0</v>
      </c>
      <c r="FR78" s="299">
        <f t="shared" si="36"/>
        <v>0</v>
      </c>
      <c r="FS78" s="299">
        <f t="shared" si="36"/>
        <v>0</v>
      </c>
      <c r="FT78" s="299">
        <f t="shared" si="36"/>
        <v>0</v>
      </c>
      <c r="FU78" s="299">
        <f t="shared" si="36"/>
        <v>0</v>
      </c>
      <c r="FV78" s="299">
        <f t="shared" si="36"/>
        <v>0</v>
      </c>
      <c r="FW78" s="299">
        <f t="shared" si="36"/>
        <v>0</v>
      </c>
      <c r="FX78" s="299">
        <f t="shared" si="36"/>
        <v>0</v>
      </c>
      <c r="FY78" s="299">
        <f t="shared" si="36"/>
        <v>0</v>
      </c>
      <c r="FZ78" s="305">
        <f t="shared" si="36"/>
        <v>0</v>
      </c>
    </row>
    <row r="79" spans="1:182" x14ac:dyDescent="0.2">
      <c r="A79" s="236" t="s">
        <v>61</v>
      </c>
      <c r="B79" s="298">
        <f>IF(Inicio!$E$51="Años",Inicio!E246*12,Inicio!E246*12)</f>
        <v>0</v>
      </c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3"/>
      <c r="BN79" s="153"/>
      <c r="BO79" s="153"/>
      <c r="BP79" s="153"/>
      <c r="BQ79" s="153"/>
      <c r="BR79" s="153"/>
      <c r="BS79" s="153"/>
      <c r="BT79" s="153"/>
      <c r="BU79" s="153"/>
      <c r="BV79" s="153"/>
      <c r="BW79" s="153"/>
      <c r="BX79" s="153"/>
      <c r="BY79" s="153"/>
      <c r="BZ79" s="153"/>
      <c r="CA79" s="153"/>
      <c r="CB79" s="153"/>
      <c r="CC79" s="153"/>
      <c r="CD79" s="153"/>
      <c r="CE79" s="153"/>
      <c r="CF79" s="153"/>
      <c r="CG79" s="153"/>
      <c r="CH79" s="153"/>
      <c r="CI79" s="153"/>
      <c r="CJ79" s="153"/>
      <c r="CK79" s="153"/>
      <c r="CL79" s="153"/>
      <c r="CM79" s="153"/>
      <c r="CN79" s="153"/>
      <c r="CO79" s="153"/>
      <c r="CP79" s="153"/>
      <c r="CQ79" s="153"/>
      <c r="CR79" s="153"/>
      <c r="CS79" s="153"/>
      <c r="CT79" s="153"/>
      <c r="CU79" s="153"/>
      <c r="CV79" s="153"/>
      <c r="CW79" s="153"/>
      <c r="CX79" s="153"/>
      <c r="CY79" s="153"/>
      <c r="CZ79" s="153"/>
      <c r="DA79" s="153"/>
      <c r="DB79" s="153"/>
      <c r="DC79" s="153"/>
      <c r="DD79" s="153"/>
      <c r="DE79" s="153"/>
      <c r="DF79" s="153"/>
      <c r="DG79" s="153"/>
      <c r="DH79" s="153"/>
      <c r="DI79" s="153"/>
      <c r="DJ79" s="153"/>
      <c r="DK79" s="153"/>
      <c r="DL79" s="153"/>
      <c r="DM79" s="153"/>
      <c r="DN79" s="153"/>
      <c r="DO79" s="153"/>
      <c r="DP79" s="153"/>
      <c r="DQ79" s="153"/>
      <c r="DR79" s="153"/>
      <c r="DS79" s="153"/>
      <c r="DT79" s="153"/>
      <c r="DU79" s="153"/>
      <c r="DV79" s="153"/>
      <c r="DW79" s="153"/>
      <c r="DX79" s="153"/>
      <c r="DY79" s="153"/>
      <c r="DZ79" s="153"/>
      <c r="EA79" s="153"/>
      <c r="EB79" s="153"/>
      <c r="EC79" s="153"/>
      <c r="ED79" s="153"/>
      <c r="EE79" s="153"/>
      <c r="EF79" s="153"/>
      <c r="EG79" s="153"/>
      <c r="EH79" s="153"/>
      <c r="EI79" s="153"/>
      <c r="EJ79" s="153"/>
      <c r="EK79" s="153"/>
      <c r="EL79" s="153"/>
      <c r="EM79" s="153"/>
      <c r="EN79" s="153"/>
      <c r="EO79" s="153"/>
      <c r="EP79" s="153"/>
      <c r="EQ79" s="153"/>
      <c r="ER79" s="153"/>
      <c r="ES79" s="153"/>
      <c r="ET79" s="153"/>
      <c r="EU79" s="153"/>
      <c r="EV79" s="153"/>
      <c r="EW79" s="153"/>
      <c r="EX79" s="153"/>
      <c r="EY79" s="153"/>
      <c r="EZ79" s="153"/>
      <c r="FA79" s="153"/>
      <c r="FB79" s="153"/>
      <c r="FC79" s="153"/>
      <c r="FD79" s="153"/>
      <c r="FE79" s="153"/>
      <c r="FF79" s="153"/>
      <c r="FG79" s="153"/>
      <c r="FH79" s="153"/>
      <c r="FI79" s="153"/>
      <c r="FJ79" s="153"/>
      <c r="FK79" s="153"/>
      <c r="FL79" s="153"/>
      <c r="FM79" s="153"/>
      <c r="FN79" s="153"/>
      <c r="FO79" s="153"/>
      <c r="FP79" s="153"/>
      <c r="FQ79" s="153"/>
      <c r="FR79" s="153"/>
      <c r="FS79" s="153"/>
      <c r="FT79" s="153"/>
      <c r="FU79" s="153"/>
      <c r="FV79" s="153"/>
      <c r="FW79" s="153"/>
      <c r="FX79" s="153"/>
      <c r="FY79" s="153"/>
      <c r="FZ79" s="153"/>
    </row>
    <row r="80" spans="1:182" x14ac:dyDescent="0.2">
      <c r="A80" s="236" t="s">
        <v>256</v>
      </c>
      <c r="B80" s="300" t="e">
        <f>(B75*(B76/(1-(+POWER((1+B76),-B79)))))/(1+B76)</f>
        <v>#DIV/0!</v>
      </c>
      <c r="C80" s="301" t="s">
        <v>1</v>
      </c>
      <c r="D80" s="301" t="s">
        <v>1</v>
      </c>
      <c r="E80" s="301" t="s">
        <v>1</v>
      </c>
      <c r="F80" s="301" t="s">
        <v>1</v>
      </c>
      <c r="G80" s="301" t="s">
        <v>1</v>
      </c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3"/>
      <c r="BN80" s="153"/>
      <c r="BO80" s="153"/>
      <c r="BP80" s="153"/>
      <c r="BQ80" s="153"/>
      <c r="BR80" s="153"/>
      <c r="BS80" s="153"/>
      <c r="BT80" s="153"/>
      <c r="BU80" s="153"/>
      <c r="BV80" s="153"/>
      <c r="BW80" s="153"/>
      <c r="BX80" s="153"/>
      <c r="BY80" s="153"/>
      <c r="BZ80" s="153"/>
      <c r="CA80" s="153"/>
      <c r="CB80" s="153"/>
      <c r="CC80" s="153"/>
      <c r="CD80" s="153"/>
      <c r="CE80" s="153"/>
      <c r="CF80" s="153"/>
      <c r="CG80" s="153"/>
      <c r="CH80" s="153"/>
      <c r="CI80" s="153"/>
      <c r="CJ80" s="153"/>
      <c r="CK80" s="153"/>
      <c r="CL80" s="153"/>
      <c r="CM80" s="153"/>
      <c r="CN80" s="153"/>
      <c r="CO80" s="153"/>
      <c r="CP80" s="153"/>
      <c r="CQ80" s="153"/>
      <c r="CR80" s="153"/>
      <c r="CS80" s="153"/>
      <c r="CT80" s="153"/>
      <c r="CU80" s="153"/>
      <c r="CV80" s="153"/>
      <c r="CW80" s="153"/>
      <c r="CX80" s="153"/>
      <c r="CY80" s="153"/>
      <c r="CZ80" s="153"/>
      <c r="DA80" s="153"/>
      <c r="DB80" s="153"/>
      <c r="DC80" s="153"/>
      <c r="DD80" s="153"/>
      <c r="DE80" s="153"/>
      <c r="DF80" s="153"/>
      <c r="DG80" s="153"/>
      <c r="DH80" s="153"/>
      <c r="DI80" s="153"/>
      <c r="DJ80" s="153"/>
      <c r="DK80" s="153"/>
      <c r="DL80" s="153"/>
      <c r="DM80" s="153"/>
      <c r="DN80" s="153"/>
      <c r="DO80" s="153"/>
      <c r="DP80" s="153"/>
      <c r="DQ80" s="153"/>
      <c r="DR80" s="153"/>
      <c r="DS80" s="153"/>
      <c r="DT80" s="153"/>
      <c r="DU80" s="153"/>
      <c r="DV80" s="153"/>
      <c r="DW80" s="153"/>
      <c r="DX80" s="153"/>
      <c r="DY80" s="153"/>
      <c r="DZ80" s="153"/>
      <c r="EA80" s="153"/>
      <c r="EB80" s="153"/>
      <c r="EC80" s="153"/>
      <c r="ED80" s="153"/>
      <c r="EE80" s="153"/>
      <c r="EF80" s="153"/>
      <c r="EG80" s="153"/>
      <c r="EH80" s="153"/>
      <c r="EI80" s="153"/>
      <c r="EJ80" s="153"/>
      <c r="EK80" s="153"/>
      <c r="EL80" s="153"/>
      <c r="EM80" s="153"/>
      <c r="EN80" s="153"/>
      <c r="EO80" s="153"/>
      <c r="EP80" s="153"/>
      <c r="EQ80" s="153"/>
      <c r="ER80" s="153"/>
      <c r="ES80" s="153"/>
      <c r="ET80" s="153"/>
      <c r="EU80" s="153"/>
      <c r="EV80" s="153"/>
      <c r="EW80" s="153"/>
      <c r="EX80" s="153"/>
      <c r="EY80" s="153"/>
      <c r="EZ80" s="153"/>
      <c r="FA80" s="153"/>
      <c r="FB80" s="153"/>
      <c r="FC80" s="153"/>
      <c r="FD80" s="153"/>
      <c r="FE80" s="153"/>
      <c r="FF80" s="153"/>
      <c r="FG80" s="153"/>
      <c r="FH80" s="153"/>
      <c r="FI80" s="153"/>
      <c r="FJ80" s="153"/>
      <c r="FK80" s="153"/>
      <c r="FL80" s="153"/>
      <c r="FM80" s="153"/>
      <c r="FN80" s="153"/>
      <c r="FO80" s="153"/>
      <c r="FP80" s="153"/>
      <c r="FQ80" s="153"/>
      <c r="FR80" s="153"/>
      <c r="FS80" s="153"/>
      <c r="FT80" s="153"/>
      <c r="FU80" s="153"/>
      <c r="FV80" s="153"/>
      <c r="FW80" s="153"/>
      <c r="FX80" s="153"/>
      <c r="FY80" s="153"/>
      <c r="FZ80" s="153"/>
    </row>
    <row r="81" spans="1:182" ht="13.5" thickBot="1" x14ac:dyDescent="0.25">
      <c r="A81" s="302" t="s">
        <v>257</v>
      </c>
      <c r="B81" s="303" t="e">
        <f>B75*(B76/(1-(+POWER((1+B76),-B79))))</f>
        <v>#DIV/0!</v>
      </c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3"/>
      <c r="BN81" s="153"/>
      <c r="BO81" s="153"/>
      <c r="BP81" s="153"/>
      <c r="BQ81" s="153"/>
      <c r="BR81" s="153"/>
      <c r="BS81" s="153"/>
      <c r="BT81" s="153"/>
      <c r="BU81" s="153"/>
      <c r="BV81" s="153"/>
      <c r="BW81" s="153"/>
      <c r="BX81" s="153"/>
      <c r="BY81" s="153"/>
      <c r="BZ81" s="153"/>
      <c r="CA81" s="153"/>
      <c r="CB81" s="153"/>
      <c r="CC81" s="153"/>
      <c r="CD81" s="153"/>
      <c r="CE81" s="153"/>
      <c r="CF81" s="153"/>
      <c r="CG81" s="153"/>
      <c r="CH81" s="153"/>
      <c r="CI81" s="153"/>
      <c r="CJ81" s="153"/>
      <c r="CK81" s="153"/>
      <c r="CL81" s="153"/>
      <c r="CM81" s="153"/>
      <c r="CN81" s="153"/>
      <c r="CO81" s="153"/>
      <c r="CP81" s="153"/>
      <c r="CQ81" s="153"/>
      <c r="CR81" s="153"/>
      <c r="CS81" s="153"/>
      <c r="CT81" s="153"/>
      <c r="CU81" s="153"/>
      <c r="CV81" s="153"/>
      <c r="CW81" s="153"/>
      <c r="CX81" s="153"/>
      <c r="CY81" s="153"/>
      <c r="CZ81" s="153"/>
      <c r="DA81" s="153"/>
      <c r="DB81" s="153"/>
      <c r="DC81" s="153"/>
      <c r="DD81" s="153"/>
      <c r="DE81" s="153"/>
      <c r="DF81" s="153"/>
      <c r="DG81" s="153"/>
      <c r="DH81" s="153"/>
      <c r="DI81" s="153"/>
      <c r="DJ81" s="153"/>
      <c r="DK81" s="153"/>
      <c r="DL81" s="153"/>
      <c r="DM81" s="153"/>
      <c r="DN81" s="153"/>
      <c r="DO81" s="153"/>
      <c r="DP81" s="153"/>
      <c r="DQ81" s="153"/>
      <c r="DR81" s="153"/>
      <c r="DS81" s="153"/>
      <c r="DT81" s="153"/>
      <c r="DU81" s="153"/>
      <c r="DV81" s="153"/>
      <c r="DW81" s="153"/>
      <c r="DX81" s="153"/>
      <c r="DY81" s="153"/>
      <c r="DZ81" s="153"/>
      <c r="EA81" s="153"/>
      <c r="EB81" s="153"/>
      <c r="EC81" s="153"/>
      <c r="ED81" s="153"/>
      <c r="EE81" s="153"/>
      <c r="EF81" s="153"/>
      <c r="EG81" s="153"/>
      <c r="EH81" s="153"/>
      <c r="EI81" s="153"/>
      <c r="EJ81" s="153"/>
      <c r="EK81" s="153"/>
      <c r="EL81" s="153"/>
      <c r="EM81" s="153"/>
      <c r="EN81" s="153"/>
      <c r="EO81" s="153"/>
      <c r="EP81" s="153"/>
      <c r="EQ81" s="153"/>
      <c r="ER81" s="153"/>
      <c r="ES81" s="153"/>
      <c r="ET81" s="153"/>
      <c r="EU81" s="153"/>
      <c r="EV81" s="153"/>
      <c r="EW81" s="153"/>
      <c r="EX81" s="153"/>
      <c r="EY81" s="153"/>
      <c r="EZ81" s="153"/>
      <c r="FA81" s="153"/>
      <c r="FB81" s="153"/>
      <c r="FC81" s="153"/>
      <c r="FD81" s="153"/>
      <c r="FE81" s="153"/>
      <c r="FF81" s="153"/>
      <c r="FG81" s="153"/>
      <c r="FH81" s="153"/>
      <c r="FI81" s="153"/>
      <c r="FJ81" s="153"/>
      <c r="FK81" s="153"/>
      <c r="FL81" s="153"/>
      <c r="FM81" s="153"/>
      <c r="FN81" s="153"/>
      <c r="FO81" s="153"/>
      <c r="FP81" s="153"/>
      <c r="FQ81" s="153"/>
      <c r="FR81" s="153"/>
      <c r="FS81" s="153"/>
      <c r="FT81" s="153"/>
      <c r="FU81" s="153"/>
      <c r="FV81" s="153"/>
      <c r="FW81" s="153"/>
      <c r="FX81" s="153"/>
      <c r="FY81" s="153"/>
      <c r="FZ81" s="153"/>
    </row>
    <row r="82" spans="1:182" x14ac:dyDescent="0.2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3"/>
      <c r="BN82" s="153"/>
      <c r="BO82" s="153"/>
      <c r="BP82" s="153"/>
      <c r="BQ82" s="153"/>
      <c r="BR82" s="153"/>
      <c r="BS82" s="153"/>
      <c r="BT82" s="153"/>
      <c r="BU82" s="153"/>
      <c r="BV82" s="153"/>
      <c r="BW82" s="153"/>
      <c r="BX82" s="153"/>
      <c r="BY82" s="153"/>
      <c r="BZ82" s="153"/>
      <c r="CA82" s="153"/>
      <c r="CB82" s="153"/>
      <c r="CC82" s="153"/>
      <c r="CD82" s="153"/>
      <c r="CE82" s="153"/>
      <c r="CF82" s="153"/>
      <c r="CG82" s="153"/>
      <c r="CH82" s="153"/>
      <c r="CI82" s="153"/>
      <c r="CJ82" s="153"/>
      <c r="CK82" s="153"/>
      <c r="CL82" s="153"/>
      <c r="CM82" s="153"/>
      <c r="CN82" s="153"/>
      <c r="CO82" s="153"/>
      <c r="CP82" s="153"/>
      <c r="CQ82" s="153"/>
      <c r="CR82" s="153"/>
      <c r="CS82" s="153"/>
      <c r="CT82" s="153"/>
      <c r="CU82" s="153"/>
      <c r="CV82" s="153"/>
      <c r="CW82" s="153"/>
      <c r="CX82" s="153"/>
      <c r="CY82" s="153"/>
      <c r="CZ82" s="153"/>
      <c r="DA82" s="153"/>
      <c r="DB82" s="153"/>
      <c r="DC82" s="153"/>
      <c r="DD82" s="153"/>
      <c r="DE82" s="153"/>
      <c r="DF82" s="153"/>
      <c r="DG82" s="153"/>
      <c r="DH82" s="153"/>
      <c r="DI82" s="153"/>
      <c r="DJ82" s="153"/>
      <c r="DK82" s="153"/>
      <c r="DL82" s="153"/>
      <c r="DM82" s="153"/>
      <c r="DN82" s="153"/>
      <c r="DO82" s="153"/>
      <c r="DP82" s="153"/>
      <c r="DQ82" s="153"/>
      <c r="DR82" s="153"/>
      <c r="DS82" s="153"/>
      <c r="DT82" s="153"/>
      <c r="DU82" s="153"/>
      <c r="DV82" s="153"/>
      <c r="DW82" s="153"/>
      <c r="DX82" s="153"/>
      <c r="DY82" s="153"/>
      <c r="DZ82" s="153"/>
      <c r="EA82" s="153"/>
      <c r="EB82" s="153"/>
      <c r="EC82" s="153"/>
      <c r="ED82" s="153"/>
      <c r="EE82" s="153"/>
      <c r="EF82" s="153"/>
      <c r="EG82" s="153"/>
      <c r="EH82" s="153"/>
      <c r="EI82" s="153"/>
      <c r="EJ82" s="153"/>
      <c r="EK82" s="153"/>
      <c r="EL82" s="153"/>
      <c r="EM82" s="153"/>
      <c r="EN82" s="153"/>
      <c r="EO82" s="153"/>
      <c r="EP82" s="153"/>
      <c r="EQ82" s="153"/>
      <c r="ER82" s="153"/>
      <c r="ES82" s="153"/>
      <c r="ET82" s="153"/>
      <c r="EU82" s="153"/>
      <c r="EV82" s="153"/>
      <c r="EW82" s="153"/>
      <c r="EX82" s="153"/>
      <c r="EY82" s="153"/>
      <c r="EZ82" s="153"/>
      <c r="FA82" s="153"/>
      <c r="FB82" s="153"/>
      <c r="FC82" s="153"/>
      <c r="FD82" s="153"/>
      <c r="FE82" s="153"/>
      <c r="FF82" s="153"/>
      <c r="FG82" s="153"/>
      <c r="FH82" s="153"/>
      <c r="FI82" s="153"/>
      <c r="FJ82" s="153"/>
      <c r="FK82" s="153"/>
      <c r="FL82" s="153"/>
      <c r="FM82" s="153"/>
      <c r="FN82" s="153"/>
      <c r="FO82" s="153"/>
      <c r="FP82" s="153"/>
      <c r="FQ82" s="153"/>
      <c r="FR82" s="153"/>
      <c r="FS82" s="153"/>
      <c r="FT82" s="153"/>
      <c r="FU82" s="153"/>
      <c r="FV82" s="153"/>
      <c r="FW82" s="153"/>
      <c r="FX82" s="153"/>
      <c r="FY82" s="153"/>
      <c r="FZ82" s="153"/>
    </row>
    <row r="83" spans="1:182" x14ac:dyDescent="0.2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3"/>
      <c r="BN83" s="153"/>
      <c r="BO83" s="153"/>
      <c r="BP83" s="153"/>
      <c r="BQ83" s="153"/>
      <c r="BR83" s="153"/>
      <c r="BS83" s="153"/>
      <c r="BT83" s="153"/>
      <c r="BU83" s="153"/>
      <c r="BV83" s="153"/>
      <c r="BW83" s="153"/>
      <c r="BX83" s="153"/>
      <c r="BY83" s="153"/>
      <c r="BZ83" s="153"/>
      <c r="CA83" s="153"/>
      <c r="CB83" s="153"/>
      <c r="CC83" s="153"/>
      <c r="CD83" s="153"/>
      <c r="CE83" s="153"/>
      <c r="CF83" s="153"/>
      <c r="CG83" s="153"/>
      <c r="CH83" s="153"/>
      <c r="CI83" s="153"/>
      <c r="CJ83" s="153"/>
      <c r="CK83" s="153"/>
      <c r="CL83" s="153"/>
      <c r="CM83" s="153"/>
      <c r="CN83" s="153"/>
      <c r="CO83" s="153"/>
      <c r="CP83" s="153"/>
      <c r="CQ83" s="153"/>
      <c r="CR83" s="153"/>
      <c r="CS83" s="153"/>
      <c r="CT83" s="153"/>
      <c r="CU83" s="153"/>
      <c r="CV83" s="153"/>
      <c r="CW83" s="153"/>
      <c r="CX83" s="153"/>
      <c r="CY83" s="153"/>
      <c r="CZ83" s="153"/>
      <c r="DA83" s="153"/>
      <c r="DB83" s="153"/>
      <c r="DC83" s="153"/>
      <c r="DD83" s="153"/>
      <c r="DE83" s="153"/>
      <c r="DF83" s="153"/>
      <c r="DG83" s="153"/>
      <c r="DH83" s="153"/>
      <c r="DI83" s="153"/>
      <c r="DJ83" s="153"/>
      <c r="DK83" s="153"/>
      <c r="DL83" s="153"/>
      <c r="DM83" s="153"/>
      <c r="DN83" s="153"/>
      <c r="DO83" s="153"/>
      <c r="DP83" s="153"/>
      <c r="DQ83" s="153"/>
      <c r="DR83" s="153"/>
      <c r="DS83" s="153"/>
      <c r="DT83" s="153"/>
      <c r="DU83" s="153"/>
      <c r="DV83" s="153"/>
      <c r="DW83" s="153"/>
      <c r="DX83" s="153"/>
      <c r="DY83" s="153"/>
      <c r="DZ83" s="153"/>
      <c r="EA83" s="153"/>
      <c r="EB83" s="153"/>
      <c r="EC83" s="153"/>
      <c r="ED83" s="153"/>
      <c r="EE83" s="153"/>
      <c r="EF83" s="153"/>
      <c r="EG83" s="153"/>
      <c r="EH83" s="153"/>
      <c r="EI83" s="153"/>
      <c r="EJ83" s="153"/>
      <c r="EK83" s="153"/>
      <c r="EL83" s="153"/>
      <c r="EM83" s="153"/>
      <c r="EN83" s="153"/>
      <c r="EO83" s="153"/>
      <c r="EP83" s="153"/>
      <c r="EQ83" s="153"/>
      <c r="ER83" s="153"/>
      <c r="ES83" s="153"/>
      <c r="ET83" s="153"/>
      <c r="EU83" s="153"/>
      <c r="EV83" s="153"/>
      <c r="EW83" s="153"/>
      <c r="EX83" s="153"/>
      <c r="EY83" s="153"/>
      <c r="EZ83" s="153"/>
      <c r="FA83" s="153"/>
      <c r="FB83" s="153"/>
      <c r="FC83" s="153"/>
      <c r="FD83" s="153"/>
      <c r="FE83" s="153"/>
      <c r="FF83" s="153"/>
      <c r="FG83" s="153"/>
      <c r="FH83" s="153"/>
      <c r="FI83" s="153"/>
      <c r="FJ83" s="153"/>
      <c r="FK83" s="153"/>
      <c r="FL83" s="153"/>
      <c r="FM83" s="153"/>
      <c r="FN83" s="153"/>
      <c r="FO83" s="153"/>
      <c r="FP83" s="153"/>
      <c r="FQ83" s="153"/>
      <c r="FR83" s="153"/>
      <c r="FS83" s="153"/>
      <c r="FT83" s="153"/>
      <c r="FU83" s="153"/>
      <c r="FV83" s="153"/>
      <c r="FW83" s="153"/>
      <c r="FX83" s="153"/>
      <c r="FY83" s="153"/>
      <c r="FZ83" s="153"/>
    </row>
    <row r="84" spans="1:182" x14ac:dyDescent="0.2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3"/>
      <c r="BN84" s="153"/>
      <c r="BO84" s="153"/>
      <c r="BP84" s="153"/>
      <c r="BQ84" s="153"/>
      <c r="BR84" s="153"/>
      <c r="BS84" s="153"/>
      <c r="BT84" s="153"/>
      <c r="BU84" s="153"/>
      <c r="BV84" s="153"/>
      <c r="BW84" s="153"/>
      <c r="BX84" s="153"/>
      <c r="BY84" s="153"/>
      <c r="BZ84" s="153"/>
      <c r="CA84" s="153"/>
      <c r="CB84" s="153"/>
      <c r="CC84" s="153"/>
      <c r="CD84" s="153"/>
      <c r="CE84" s="153"/>
      <c r="CF84" s="153"/>
      <c r="CG84" s="153"/>
      <c r="CH84" s="153"/>
      <c r="CI84" s="153"/>
      <c r="CJ84" s="153"/>
      <c r="CK84" s="153"/>
      <c r="CL84" s="153"/>
      <c r="CM84" s="153"/>
      <c r="CN84" s="153"/>
      <c r="CO84" s="153"/>
      <c r="CP84" s="153"/>
      <c r="CQ84" s="153"/>
      <c r="CR84" s="153"/>
      <c r="CS84" s="153"/>
      <c r="CT84" s="153"/>
      <c r="CU84" s="153"/>
      <c r="CV84" s="153"/>
      <c r="CW84" s="153"/>
      <c r="CX84" s="153"/>
      <c r="CY84" s="153"/>
      <c r="CZ84" s="153"/>
      <c r="DA84" s="153"/>
      <c r="DB84" s="153"/>
      <c r="DC84" s="153"/>
      <c r="DD84" s="153"/>
      <c r="DE84" s="153"/>
      <c r="DF84" s="153"/>
      <c r="DG84" s="153"/>
      <c r="DH84" s="153"/>
      <c r="DI84" s="153"/>
      <c r="DJ84" s="153"/>
      <c r="DK84" s="153"/>
      <c r="DL84" s="153"/>
      <c r="DM84" s="153"/>
      <c r="DN84" s="153"/>
      <c r="DO84" s="153"/>
      <c r="DP84" s="153"/>
      <c r="DQ84" s="153"/>
      <c r="DR84" s="153"/>
      <c r="DS84" s="153"/>
      <c r="DT84" s="153"/>
      <c r="DU84" s="153"/>
      <c r="DV84" s="153"/>
      <c r="DW84" s="153"/>
      <c r="DX84" s="153"/>
      <c r="DY84" s="153"/>
      <c r="DZ84" s="153"/>
      <c r="EA84" s="153"/>
      <c r="EB84" s="153"/>
      <c r="EC84" s="153"/>
      <c r="ED84" s="153"/>
      <c r="EE84" s="153"/>
      <c r="EF84" s="153"/>
      <c r="EG84" s="153"/>
      <c r="EH84" s="153"/>
      <c r="EI84" s="153"/>
      <c r="EJ84" s="153"/>
      <c r="EK84" s="153"/>
      <c r="EL84" s="153"/>
      <c r="EM84" s="153"/>
      <c r="EN84" s="153"/>
      <c r="EO84" s="153"/>
      <c r="EP84" s="153"/>
      <c r="EQ84" s="153"/>
      <c r="ER84" s="153"/>
      <c r="ES84" s="153"/>
      <c r="ET84" s="153"/>
      <c r="EU84" s="153"/>
      <c r="EV84" s="153"/>
      <c r="EW84" s="153"/>
      <c r="EX84" s="153"/>
      <c r="EY84" s="153"/>
      <c r="EZ84" s="153"/>
      <c r="FA84" s="153"/>
      <c r="FB84" s="153"/>
      <c r="FC84" s="153"/>
      <c r="FD84" s="153"/>
      <c r="FE84" s="153"/>
      <c r="FF84" s="153"/>
      <c r="FG84" s="153"/>
      <c r="FH84" s="153"/>
      <c r="FI84" s="153"/>
      <c r="FJ84" s="153"/>
      <c r="FK84" s="153"/>
      <c r="FL84" s="153"/>
      <c r="FM84" s="153"/>
      <c r="FN84" s="153"/>
      <c r="FO84" s="153"/>
      <c r="FP84" s="153"/>
      <c r="FQ84" s="153"/>
      <c r="FR84" s="153"/>
      <c r="FS84" s="153"/>
      <c r="FT84" s="153"/>
      <c r="FU84" s="153"/>
      <c r="FV84" s="153"/>
      <c r="FW84" s="153"/>
      <c r="FX84" s="153"/>
      <c r="FY84" s="153"/>
      <c r="FZ84" s="153"/>
    </row>
    <row r="85" spans="1:182" ht="13.5" thickBot="1" x14ac:dyDescent="0.25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3"/>
      <c r="BN85" s="153"/>
      <c r="BO85" s="153"/>
      <c r="BP85" s="153"/>
      <c r="BQ85" s="153"/>
      <c r="BR85" s="153"/>
      <c r="BS85" s="153"/>
      <c r="BT85" s="153"/>
      <c r="BU85" s="153"/>
      <c r="BV85" s="153"/>
      <c r="BW85" s="153"/>
      <c r="BX85" s="153"/>
      <c r="BY85" s="153"/>
      <c r="BZ85" s="153"/>
      <c r="CA85" s="153"/>
      <c r="CB85" s="153"/>
      <c r="CC85" s="153"/>
      <c r="CD85" s="153"/>
      <c r="CE85" s="153"/>
      <c r="CF85" s="153"/>
      <c r="CG85" s="153"/>
      <c r="CH85" s="153"/>
      <c r="CI85" s="153"/>
      <c r="CJ85" s="153"/>
      <c r="CK85" s="153"/>
      <c r="CL85" s="153"/>
      <c r="CM85" s="153"/>
      <c r="CN85" s="153"/>
      <c r="CO85" s="153"/>
      <c r="CP85" s="153"/>
      <c r="CQ85" s="153"/>
      <c r="CR85" s="153"/>
      <c r="CS85" s="153"/>
      <c r="CT85" s="153"/>
      <c r="CU85" s="153"/>
      <c r="CV85" s="153"/>
      <c r="CW85" s="153"/>
      <c r="CX85" s="153"/>
      <c r="CY85" s="153"/>
      <c r="CZ85" s="153"/>
      <c r="DA85" s="153"/>
      <c r="DB85" s="153"/>
      <c r="DC85" s="153"/>
      <c r="DD85" s="153"/>
      <c r="DE85" s="153"/>
      <c r="DF85" s="153"/>
      <c r="DG85" s="153"/>
      <c r="DH85" s="153"/>
      <c r="DI85" s="153"/>
      <c r="DJ85" s="153"/>
      <c r="DK85" s="153"/>
      <c r="DL85" s="153"/>
      <c r="DM85" s="153"/>
      <c r="DN85" s="153"/>
      <c r="DO85" s="153"/>
      <c r="DP85" s="153"/>
      <c r="DQ85" s="153"/>
      <c r="DR85" s="153"/>
      <c r="DS85" s="153"/>
      <c r="DT85" s="153"/>
      <c r="DU85" s="153"/>
      <c r="DV85" s="153"/>
      <c r="DW85" s="153"/>
      <c r="DX85" s="153"/>
      <c r="DY85" s="153"/>
      <c r="DZ85" s="153"/>
      <c r="EA85" s="153"/>
      <c r="EB85" s="153"/>
      <c r="EC85" s="153"/>
      <c r="ED85" s="153"/>
      <c r="EE85" s="153"/>
      <c r="EF85" s="153"/>
      <c r="EG85" s="153"/>
      <c r="EH85" s="153"/>
      <c r="EI85" s="153"/>
      <c r="EJ85" s="153"/>
      <c r="EK85" s="153"/>
      <c r="EL85" s="153"/>
      <c r="EM85" s="153"/>
      <c r="EN85" s="153"/>
      <c r="EO85" s="153"/>
      <c r="EP85" s="153"/>
      <c r="EQ85" s="153"/>
      <c r="ER85" s="153"/>
      <c r="ES85" s="153"/>
      <c r="ET85" s="153"/>
      <c r="EU85" s="153"/>
      <c r="EV85" s="153"/>
      <c r="EW85" s="153"/>
      <c r="EX85" s="153"/>
      <c r="EY85" s="153"/>
      <c r="EZ85" s="153"/>
      <c r="FA85" s="153"/>
      <c r="FB85" s="153"/>
      <c r="FC85" s="153"/>
      <c r="FD85" s="153"/>
      <c r="FE85" s="153"/>
      <c r="FF85" s="153"/>
      <c r="FG85" s="153"/>
      <c r="FH85" s="153"/>
      <c r="FI85" s="153"/>
      <c r="FJ85" s="153"/>
      <c r="FK85" s="153"/>
      <c r="FL85" s="153"/>
      <c r="FM85" s="153"/>
      <c r="FN85" s="153"/>
      <c r="FO85" s="153"/>
      <c r="FP85" s="153"/>
      <c r="FQ85" s="153"/>
      <c r="FR85" s="153"/>
      <c r="FS85" s="153"/>
      <c r="FT85" s="153"/>
      <c r="FU85" s="153"/>
      <c r="FV85" s="153"/>
      <c r="FW85" s="153"/>
      <c r="FX85" s="153"/>
      <c r="FY85" s="153"/>
      <c r="FZ85" s="153"/>
    </row>
    <row r="86" spans="1:182" ht="13.5" thickBot="1" x14ac:dyDescent="0.25">
      <c r="A86" s="306" t="s">
        <v>379</v>
      </c>
      <c r="B86" s="307"/>
      <c r="C86" s="249">
        <v>1</v>
      </c>
      <c r="D86" s="292">
        <v>2</v>
      </c>
      <c r="E86" s="249">
        <v>3</v>
      </c>
      <c r="F86" s="292">
        <v>4</v>
      </c>
      <c r="G86" s="249">
        <v>5</v>
      </c>
      <c r="H86" s="249">
        <v>6</v>
      </c>
      <c r="I86" s="292">
        <v>7</v>
      </c>
      <c r="J86" s="249">
        <v>8</v>
      </c>
      <c r="K86" s="292">
        <v>9</v>
      </c>
      <c r="L86" s="249">
        <v>10</v>
      </c>
      <c r="M86" s="249">
        <v>11</v>
      </c>
      <c r="N86" s="292">
        <v>12</v>
      </c>
      <c r="O86" s="249">
        <v>13</v>
      </c>
      <c r="P86" s="292">
        <v>14</v>
      </c>
      <c r="Q86" s="249">
        <v>15</v>
      </c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3"/>
      <c r="BN86" s="153"/>
      <c r="BO86" s="153"/>
      <c r="BP86" s="153"/>
      <c r="BQ86" s="153"/>
      <c r="BR86" s="153"/>
      <c r="BS86" s="153"/>
      <c r="BT86" s="153"/>
      <c r="BU86" s="153"/>
      <c r="BV86" s="153"/>
      <c r="BW86" s="153"/>
      <c r="BX86" s="153"/>
      <c r="BY86" s="153"/>
      <c r="BZ86" s="153"/>
      <c r="CA86" s="153"/>
      <c r="CB86" s="153"/>
      <c r="CC86" s="153"/>
      <c r="CD86" s="153"/>
      <c r="CE86" s="153"/>
      <c r="CF86" s="153"/>
      <c r="CG86" s="153"/>
      <c r="CH86" s="153"/>
      <c r="CI86" s="153"/>
      <c r="CJ86" s="153"/>
      <c r="CK86" s="153"/>
      <c r="CL86" s="153"/>
      <c r="CM86" s="153"/>
      <c r="CN86" s="153"/>
      <c r="CO86" s="153"/>
      <c r="CP86" s="153"/>
      <c r="CQ86" s="153"/>
      <c r="CR86" s="153"/>
      <c r="CS86" s="153"/>
      <c r="CT86" s="153"/>
      <c r="CU86" s="153"/>
      <c r="CV86" s="153"/>
      <c r="CW86" s="153"/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53"/>
      <c r="DI86" s="153"/>
      <c r="DJ86" s="153"/>
      <c r="DK86" s="153"/>
      <c r="DL86" s="153"/>
      <c r="DM86" s="153"/>
      <c r="DN86" s="153"/>
      <c r="DO86" s="153"/>
      <c r="DP86" s="153"/>
      <c r="DQ86" s="153"/>
      <c r="DR86" s="153"/>
      <c r="DS86" s="153"/>
      <c r="DT86" s="153"/>
      <c r="DU86" s="153"/>
      <c r="DV86" s="153"/>
      <c r="DW86" s="153"/>
      <c r="DX86" s="153"/>
      <c r="DY86" s="153"/>
      <c r="DZ86" s="153"/>
      <c r="EA86" s="153"/>
      <c r="EB86" s="153"/>
      <c r="EC86" s="153"/>
      <c r="ED86" s="153"/>
      <c r="EE86" s="153"/>
      <c r="EF86" s="153"/>
      <c r="EG86" s="153"/>
      <c r="EH86" s="153"/>
      <c r="EI86" s="153"/>
      <c r="EJ86" s="153"/>
      <c r="EK86" s="153"/>
      <c r="EL86" s="153"/>
      <c r="EM86" s="153"/>
      <c r="EN86" s="153"/>
      <c r="EO86" s="153"/>
      <c r="EP86" s="153"/>
      <c r="EQ86" s="153"/>
      <c r="ER86" s="153"/>
      <c r="ES86" s="153"/>
      <c r="ET86" s="153"/>
      <c r="EU86" s="153"/>
      <c r="EV86" s="153"/>
      <c r="EW86" s="153"/>
      <c r="EX86" s="153"/>
      <c r="EY86" s="153"/>
      <c r="EZ86" s="153"/>
      <c r="FA86" s="153"/>
      <c r="FB86" s="153"/>
      <c r="FC86" s="153"/>
      <c r="FD86" s="153"/>
      <c r="FE86" s="153"/>
      <c r="FF86" s="153"/>
      <c r="FG86" s="153"/>
      <c r="FH86" s="153"/>
      <c r="FI86" s="153"/>
      <c r="FJ86" s="153"/>
      <c r="FK86" s="153"/>
      <c r="FL86" s="153"/>
      <c r="FM86" s="153"/>
      <c r="FN86" s="153"/>
      <c r="FO86" s="153"/>
      <c r="FP86" s="153"/>
      <c r="FQ86" s="153"/>
      <c r="FR86" s="153"/>
      <c r="FS86" s="153"/>
      <c r="FT86" s="153"/>
      <c r="FU86" s="153"/>
      <c r="FV86" s="153"/>
      <c r="FW86" s="153"/>
      <c r="FX86" s="153"/>
      <c r="FY86" s="153"/>
      <c r="FZ86" s="153"/>
    </row>
    <row r="87" spans="1:182" ht="13.5" thickBot="1" x14ac:dyDescent="0.25">
      <c r="A87" s="230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  <c r="BJ87" s="153"/>
      <c r="BK87" s="153"/>
      <c r="BL87" s="153"/>
      <c r="BM87" s="153"/>
      <c r="BN87" s="153"/>
      <c r="BO87" s="153"/>
      <c r="BP87" s="153"/>
      <c r="BQ87" s="153"/>
      <c r="BR87" s="153"/>
      <c r="BS87" s="153"/>
      <c r="BT87" s="153"/>
      <c r="BU87" s="153"/>
      <c r="BV87" s="153"/>
      <c r="BW87" s="153"/>
      <c r="BX87" s="153"/>
      <c r="BY87" s="153"/>
      <c r="BZ87" s="153"/>
      <c r="CA87" s="153"/>
      <c r="CB87" s="153"/>
      <c r="CC87" s="153"/>
      <c r="CD87" s="153"/>
      <c r="CE87" s="153"/>
      <c r="CF87" s="153"/>
      <c r="CG87" s="153"/>
      <c r="CH87" s="153"/>
      <c r="CI87" s="153"/>
      <c r="CJ87" s="153"/>
      <c r="CK87" s="153"/>
      <c r="CL87" s="153"/>
      <c r="CM87" s="153"/>
      <c r="CN87" s="153"/>
      <c r="CO87" s="153"/>
      <c r="CP87" s="153"/>
      <c r="CQ87" s="153"/>
      <c r="CR87" s="153"/>
      <c r="CS87" s="153"/>
      <c r="CT87" s="153"/>
      <c r="CU87" s="153"/>
      <c r="CV87" s="153"/>
      <c r="CW87" s="153"/>
      <c r="CX87" s="153"/>
      <c r="CY87" s="153"/>
      <c r="CZ87" s="153"/>
      <c r="DA87" s="153"/>
      <c r="DB87" s="153"/>
      <c r="DC87" s="153"/>
      <c r="DD87" s="153"/>
      <c r="DE87" s="153"/>
      <c r="DF87" s="153"/>
      <c r="DG87" s="153"/>
      <c r="DH87" s="153"/>
      <c r="DI87" s="153"/>
      <c r="DJ87" s="153"/>
      <c r="DK87" s="153"/>
      <c r="DL87" s="153"/>
      <c r="DM87" s="153"/>
      <c r="DN87" s="153"/>
      <c r="DO87" s="153"/>
      <c r="DP87" s="153"/>
      <c r="DQ87" s="153"/>
      <c r="DR87" s="153"/>
      <c r="DS87" s="153"/>
      <c r="DT87" s="153"/>
      <c r="DU87" s="153"/>
      <c r="DV87" s="153"/>
      <c r="DW87" s="153"/>
      <c r="DX87" s="153"/>
      <c r="DY87" s="153"/>
      <c r="DZ87" s="153"/>
      <c r="EA87" s="153"/>
      <c r="EB87" s="153"/>
      <c r="EC87" s="153"/>
      <c r="ED87" s="153"/>
      <c r="EE87" s="153"/>
      <c r="EF87" s="153"/>
      <c r="EG87" s="153"/>
      <c r="EH87" s="153"/>
      <c r="EI87" s="153"/>
      <c r="EJ87" s="153"/>
      <c r="EK87" s="153"/>
      <c r="EL87" s="153"/>
      <c r="EM87" s="153"/>
      <c r="EN87" s="153"/>
      <c r="EO87" s="153"/>
      <c r="EP87" s="153"/>
      <c r="EQ87" s="153"/>
      <c r="ER87" s="153"/>
      <c r="ES87" s="153"/>
      <c r="ET87" s="153"/>
      <c r="EU87" s="153"/>
      <c r="EV87" s="153"/>
      <c r="EW87" s="153"/>
      <c r="EX87" s="153"/>
      <c r="EY87" s="153"/>
      <c r="EZ87" s="153"/>
      <c r="FA87" s="153"/>
      <c r="FB87" s="153"/>
      <c r="FC87" s="153"/>
      <c r="FD87" s="153"/>
      <c r="FE87" s="153"/>
      <c r="FF87" s="153"/>
      <c r="FG87" s="153"/>
      <c r="FH87" s="153"/>
      <c r="FI87" s="153"/>
      <c r="FJ87" s="153"/>
      <c r="FK87" s="153"/>
      <c r="FL87" s="153"/>
      <c r="FM87" s="153"/>
      <c r="FN87" s="153"/>
      <c r="FO87" s="153"/>
      <c r="FP87" s="153"/>
      <c r="FQ87" s="153"/>
      <c r="FR87" s="153"/>
      <c r="FS87" s="153"/>
      <c r="FT87" s="153"/>
      <c r="FU87" s="153"/>
      <c r="FV87" s="153"/>
      <c r="FW87" s="153"/>
      <c r="FX87" s="153"/>
      <c r="FY87" s="153"/>
      <c r="FZ87" s="153"/>
    </row>
    <row r="88" spans="1:182" x14ac:dyDescent="0.2">
      <c r="A88" s="230"/>
      <c r="B88" s="230"/>
      <c r="C88" s="243">
        <f>+B97</f>
        <v>0</v>
      </c>
      <c r="D88" s="295">
        <f t="shared" ref="D88:Q88" si="37">+C91</f>
        <v>0</v>
      </c>
      <c r="E88" s="243">
        <f t="shared" si="37"/>
        <v>0</v>
      </c>
      <c r="F88" s="243">
        <f t="shared" si="37"/>
        <v>0</v>
      </c>
      <c r="G88" s="295">
        <f t="shared" si="37"/>
        <v>0</v>
      </c>
      <c r="H88" s="243">
        <f t="shared" si="37"/>
        <v>0</v>
      </c>
      <c r="I88" s="295">
        <f t="shared" si="37"/>
        <v>0</v>
      </c>
      <c r="J88" s="243">
        <f t="shared" si="37"/>
        <v>0</v>
      </c>
      <c r="K88" s="295">
        <f t="shared" si="37"/>
        <v>0</v>
      </c>
      <c r="L88" s="243">
        <f t="shared" si="37"/>
        <v>0</v>
      </c>
      <c r="M88" s="295">
        <f t="shared" si="37"/>
        <v>0</v>
      </c>
      <c r="N88" s="243">
        <f t="shared" si="37"/>
        <v>0</v>
      </c>
      <c r="O88" s="295">
        <f t="shared" si="37"/>
        <v>0</v>
      </c>
      <c r="P88" s="243">
        <f t="shared" si="37"/>
        <v>0</v>
      </c>
      <c r="Q88" s="243">
        <f t="shared" si="37"/>
        <v>0</v>
      </c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3"/>
      <c r="BL88" s="153"/>
      <c r="BM88" s="153"/>
      <c r="BN88" s="153"/>
      <c r="BO88" s="153"/>
      <c r="BP88" s="153"/>
      <c r="BQ88" s="153"/>
      <c r="BR88" s="153"/>
      <c r="BS88" s="153"/>
      <c r="BT88" s="153"/>
      <c r="BU88" s="153"/>
      <c r="BV88" s="153"/>
      <c r="BW88" s="153"/>
      <c r="BX88" s="153"/>
      <c r="BY88" s="153"/>
      <c r="BZ88" s="153"/>
      <c r="CA88" s="153"/>
      <c r="CB88" s="153"/>
      <c r="CC88" s="153"/>
      <c r="CD88" s="153"/>
      <c r="CE88" s="153"/>
      <c r="CF88" s="153"/>
      <c r="CG88" s="153"/>
      <c r="CH88" s="153"/>
      <c r="CI88" s="153"/>
      <c r="CJ88" s="153"/>
      <c r="CK88" s="153"/>
      <c r="CL88" s="153"/>
      <c r="CM88" s="153"/>
      <c r="CN88" s="153"/>
      <c r="CO88" s="153"/>
      <c r="CP88" s="153"/>
      <c r="CQ88" s="153"/>
      <c r="CR88" s="153"/>
      <c r="CS88" s="153"/>
      <c r="CT88" s="153"/>
      <c r="CU88" s="153"/>
      <c r="CV88" s="153"/>
      <c r="CW88" s="153"/>
      <c r="CX88" s="153"/>
      <c r="CY88" s="153"/>
      <c r="CZ88" s="153"/>
      <c r="DA88" s="153"/>
      <c r="DB88" s="153"/>
      <c r="DC88" s="153"/>
      <c r="DD88" s="153"/>
      <c r="DE88" s="153"/>
      <c r="DF88" s="153"/>
      <c r="DG88" s="153"/>
      <c r="DH88" s="153"/>
      <c r="DI88" s="153"/>
      <c r="DJ88" s="153"/>
      <c r="DK88" s="153"/>
      <c r="DL88" s="153"/>
      <c r="DM88" s="153"/>
      <c r="DN88" s="153"/>
      <c r="DO88" s="153"/>
      <c r="DP88" s="153"/>
      <c r="DQ88" s="153"/>
      <c r="DR88" s="153"/>
      <c r="DS88" s="153"/>
      <c r="DT88" s="153"/>
      <c r="DU88" s="153"/>
      <c r="DV88" s="153"/>
      <c r="DW88" s="153"/>
      <c r="DX88" s="153"/>
      <c r="DY88" s="153"/>
      <c r="DZ88" s="153"/>
      <c r="EA88" s="153"/>
      <c r="EB88" s="153"/>
      <c r="EC88" s="153"/>
      <c r="ED88" s="153"/>
      <c r="EE88" s="153"/>
      <c r="EF88" s="153"/>
      <c r="EG88" s="153"/>
      <c r="EH88" s="153"/>
      <c r="EI88" s="153"/>
      <c r="EJ88" s="153"/>
      <c r="EK88" s="153"/>
      <c r="EL88" s="153"/>
      <c r="EM88" s="153"/>
      <c r="EN88" s="153"/>
      <c r="EO88" s="153"/>
      <c r="EP88" s="153"/>
      <c r="EQ88" s="153"/>
      <c r="ER88" s="153"/>
      <c r="ES88" s="153"/>
      <c r="ET88" s="153"/>
      <c r="EU88" s="153"/>
      <c r="EV88" s="153"/>
      <c r="EW88" s="153"/>
      <c r="EX88" s="153"/>
      <c r="EY88" s="153"/>
      <c r="EZ88" s="153"/>
      <c r="FA88" s="153"/>
      <c r="FB88" s="153"/>
      <c r="FC88" s="153"/>
      <c r="FD88" s="153"/>
      <c r="FE88" s="153"/>
      <c r="FF88" s="153"/>
      <c r="FG88" s="153"/>
      <c r="FH88" s="153"/>
      <c r="FI88" s="153"/>
      <c r="FJ88" s="153"/>
      <c r="FK88" s="153"/>
      <c r="FL88" s="153"/>
      <c r="FM88" s="153"/>
      <c r="FN88" s="153"/>
      <c r="FO88" s="153"/>
      <c r="FP88" s="153"/>
      <c r="FQ88" s="153"/>
      <c r="FR88" s="153"/>
      <c r="FS88" s="153"/>
      <c r="FT88" s="153"/>
      <c r="FU88" s="153"/>
      <c r="FV88" s="153"/>
      <c r="FW88" s="153"/>
      <c r="FX88" s="153"/>
      <c r="FY88" s="153"/>
      <c r="FZ88" s="153"/>
    </row>
    <row r="89" spans="1:182" x14ac:dyDescent="0.2">
      <c r="A89" s="236" t="s">
        <v>376</v>
      </c>
      <c r="B89" s="230"/>
      <c r="C89" s="239">
        <f>SUM(C98:N98)</f>
        <v>0</v>
      </c>
      <c r="D89" s="250">
        <f>SUM(O98:Z98)</f>
        <v>0</v>
      </c>
      <c r="E89" s="239">
        <f>SUM(AA98:AL98)</f>
        <v>0</v>
      </c>
      <c r="F89" s="239">
        <f>SUM(AM98:AX98)</f>
        <v>0</v>
      </c>
      <c r="G89" s="297">
        <f>SUM(AY98:BJ98)</f>
        <v>0</v>
      </c>
      <c r="H89" s="239">
        <f>SUM(BK98:BV98)</f>
        <v>0</v>
      </c>
      <c r="I89" s="297">
        <f>SUM(BW98:CH98)</f>
        <v>0</v>
      </c>
      <c r="J89" s="239">
        <f>SUM(CI98:CT98)</f>
        <v>0</v>
      </c>
      <c r="K89" s="297">
        <f>SUM(CU98:DF98)</f>
        <v>0</v>
      </c>
      <c r="L89" s="239">
        <f>SUM(DG98:DR98)</f>
        <v>0</v>
      </c>
      <c r="M89" s="297">
        <f>SUM(DS98:ED98)</f>
        <v>0</v>
      </c>
      <c r="N89" s="239">
        <f>SUM(EE98:EP98)</f>
        <v>0</v>
      </c>
      <c r="O89" s="297">
        <f>SUM(EQ98:FB98)</f>
        <v>0</v>
      </c>
      <c r="P89" s="239">
        <f>SUM(FC98:FN98)</f>
        <v>0</v>
      </c>
      <c r="Q89" s="239">
        <f>SUM(FO98:FZ98)</f>
        <v>0</v>
      </c>
      <c r="R89" s="153"/>
      <c r="S89" s="153"/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  <c r="BI89" s="153"/>
      <c r="BJ89" s="153"/>
      <c r="BK89" s="153"/>
      <c r="BL89" s="153"/>
      <c r="BM89" s="153"/>
      <c r="BN89" s="153"/>
      <c r="BO89" s="153"/>
      <c r="BP89" s="153"/>
      <c r="BQ89" s="153"/>
      <c r="BR89" s="153"/>
      <c r="BS89" s="153"/>
      <c r="BT89" s="153"/>
      <c r="BU89" s="153"/>
      <c r="BV89" s="153"/>
      <c r="BW89" s="153"/>
      <c r="BX89" s="153"/>
      <c r="BY89" s="153"/>
      <c r="BZ89" s="153"/>
      <c r="CA89" s="153"/>
      <c r="CB89" s="153"/>
      <c r="CC89" s="153"/>
      <c r="CD89" s="153"/>
      <c r="CE89" s="153"/>
      <c r="CF89" s="153"/>
      <c r="CG89" s="153"/>
      <c r="CH89" s="153"/>
      <c r="CI89" s="153"/>
      <c r="CJ89" s="153"/>
      <c r="CK89" s="153"/>
      <c r="CL89" s="153"/>
      <c r="CM89" s="153"/>
      <c r="CN89" s="153"/>
      <c r="CO89" s="153"/>
      <c r="CP89" s="153"/>
      <c r="CQ89" s="153"/>
      <c r="CR89" s="153"/>
      <c r="CS89" s="153"/>
      <c r="CT89" s="153"/>
      <c r="CU89" s="153"/>
      <c r="CV89" s="153"/>
      <c r="CW89" s="153"/>
      <c r="CX89" s="153"/>
      <c r="CY89" s="153"/>
      <c r="CZ89" s="153"/>
      <c r="DA89" s="153"/>
      <c r="DB89" s="153"/>
      <c r="DC89" s="153"/>
      <c r="DD89" s="153"/>
      <c r="DE89" s="153"/>
      <c r="DF89" s="153"/>
      <c r="DG89" s="153"/>
      <c r="DH89" s="153"/>
      <c r="DI89" s="153"/>
      <c r="DJ89" s="153"/>
      <c r="DK89" s="153"/>
      <c r="DL89" s="153"/>
      <c r="DM89" s="153"/>
      <c r="DN89" s="153"/>
      <c r="DO89" s="153"/>
      <c r="DP89" s="153"/>
      <c r="DQ89" s="153"/>
      <c r="DR89" s="153"/>
      <c r="DS89" s="153"/>
      <c r="DT89" s="153"/>
      <c r="DU89" s="153"/>
      <c r="DV89" s="153"/>
      <c r="DW89" s="153"/>
      <c r="DX89" s="153"/>
      <c r="DY89" s="153"/>
      <c r="DZ89" s="153"/>
      <c r="EA89" s="153"/>
      <c r="EB89" s="153"/>
      <c r="EC89" s="153"/>
      <c r="ED89" s="153"/>
      <c r="EE89" s="153"/>
      <c r="EF89" s="153"/>
      <c r="EG89" s="153"/>
      <c r="EH89" s="153"/>
      <c r="EI89" s="153"/>
      <c r="EJ89" s="153"/>
      <c r="EK89" s="153"/>
      <c r="EL89" s="153"/>
      <c r="EM89" s="153"/>
      <c r="EN89" s="153"/>
      <c r="EO89" s="153"/>
      <c r="EP89" s="153"/>
      <c r="EQ89" s="153"/>
      <c r="ER89" s="153"/>
      <c r="ES89" s="153"/>
      <c r="ET89" s="153"/>
      <c r="EU89" s="153"/>
      <c r="EV89" s="153"/>
      <c r="EW89" s="153"/>
      <c r="EX89" s="153"/>
      <c r="EY89" s="153"/>
      <c r="EZ89" s="153"/>
      <c r="FA89" s="153"/>
      <c r="FB89" s="153"/>
      <c r="FC89" s="153"/>
      <c r="FD89" s="153"/>
      <c r="FE89" s="153"/>
      <c r="FF89" s="153"/>
      <c r="FG89" s="153"/>
      <c r="FH89" s="153"/>
      <c r="FI89" s="153"/>
      <c r="FJ89" s="153"/>
      <c r="FK89" s="153"/>
      <c r="FL89" s="153"/>
      <c r="FM89" s="153"/>
      <c r="FN89" s="153"/>
      <c r="FO89" s="153"/>
      <c r="FP89" s="153"/>
      <c r="FQ89" s="153"/>
      <c r="FR89" s="153"/>
      <c r="FS89" s="153"/>
      <c r="FT89" s="153"/>
      <c r="FU89" s="153"/>
      <c r="FV89" s="153"/>
      <c r="FW89" s="153"/>
      <c r="FX89" s="153"/>
      <c r="FY89" s="153"/>
      <c r="FZ89" s="153"/>
    </row>
    <row r="90" spans="1:182" x14ac:dyDescent="0.2">
      <c r="A90" s="236" t="s">
        <v>25</v>
      </c>
      <c r="B90" s="230"/>
      <c r="C90" s="239">
        <f>SUM(C99:N99)</f>
        <v>0</v>
      </c>
      <c r="D90" s="297">
        <f>SUM(O99:Z99)</f>
        <v>0</v>
      </c>
      <c r="E90" s="239">
        <f>SUM(AA99:AL99)</f>
        <v>0</v>
      </c>
      <c r="F90" s="239">
        <f>SUM(AM99:AX99)</f>
        <v>0</v>
      </c>
      <c r="G90" s="297">
        <f>SUM(AY99:BJ99)</f>
        <v>0</v>
      </c>
      <c r="H90" s="239">
        <f>SUM(BK99:BV99)</f>
        <v>0</v>
      </c>
      <c r="I90" s="297">
        <f>SUM(BW99:CH99)</f>
        <v>0</v>
      </c>
      <c r="J90" s="239">
        <f>SUM(CI99:CT99)</f>
        <v>0</v>
      </c>
      <c r="K90" s="297">
        <f>SUM(CU99:DF99)</f>
        <v>0</v>
      </c>
      <c r="L90" s="239">
        <f>SUM(DG99:DR99)</f>
        <v>0</v>
      </c>
      <c r="M90" s="297">
        <f>SUM(DS99:ED99)</f>
        <v>0</v>
      </c>
      <c r="N90" s="239">
        <f>SUM(EE99:EP99)</f>
        <v>0</v>
      </c>
      <c r="O90" s="297">
        <f>SUM(EQ99:FB99)</f>
        <v>0</v>
      </c>
      <c r="P90" s="239">
        <f>SUM(FC99:FN99)</f>
        <v>0</v>
      </c>
      <c r="Q90" s="239">
        <f>SUM(FO99:FZ99)</f>
        <v>0</v>
      </c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  <c r="BJ90" s="153"/>
      <c r="BK90" s="153"/>
      <c r="BL90" s="153"/>
      <c r="BM90" s="153"/>
      <c r="BN90" s="153"/>
      <c r="BO90" s="153"/>
      <c r="BP90" s="153"/>
      <c r="BQ90" s="153"/>
      <c r="BR90" s="153"/>
      <c r="BS90" s="153"/>
      <c r="BT90" s="153"/>
      <c r="BU90" s="153"/>
      <c r="BV90" s="153"/>
      <c r="BW90" s="153"/>
      <c r="BX90" s="153"/>
      <c r="BY90" s="153"/>
      <c r="BZ90" s="153"/>
      <c r="CA90" s="153"/>
      <c r="CB90" s="153"/>
      <c r="CC90" s="153"/>
      <c r="CD90" s="153"/>
      <c r="CE90" s="153"/>
      <c r="CF90" s="153"/>
      <c r="CG90" s="153"/>
      <c r="CH90" s="153"/>
      <c r="CI90" s="153"/>
      <c r="CJ90" s="153"/>
      <c r="CK90" s="153"/>
      <c r="CL90" s="153"/>
      <c r="CM90" s="153"/>
      <c r="CN90" s="153"/>
      <c r="CO90" s="153"/>
      <c r="CP90" s="153"/>
      <c r="CQ90" s="153"/>
      <c r="CR90" s="153"/>
      <c r="CS90" s="153"/>
      <c r="CT90" s="153"/>
      <c r="CU90" s="153"/>
      <c r="CV90" s="153"/>
      <c r="CW90" s="153"/>
      <c r="CX90" s="153"/>
      <c r="CY90" s="153"/>
      <c r="CZ90" s="153"/>
      <c r="DA90" s="153"/>
      <c r="DB90" s="153"/>
      <c r="DC90" s="153"/>
      <c r="DD90" s="153"/>
      <c r="DE90" s="153"/>
      <c r="DF90" s="153"/>
      <c r="DG90" s="153"/>
      <c r="DH90" s="153"/>
      <c r="DI90" s="153"/>
      <c r="DJ90" s="153"/>
      <c r="DK90" s="153"/>
      <c r="DL90" s="153"/>
      <c r="DM90" s="153"/>
      <c r="DN90" s="153"/>
      <c r="DO90" s="153"/>
      <c r="DP90" s="153"/>
      <c r="DQ90" s="153"/>
      <c r="DR90" s="153"/>
      <c r="DS90" s="153"/>
      <c r="DT90" s="153"/>
      <c r="DU90" s="153"/>
      <c r="DV90" s="153"/>
      <c r="DW90" s="153"/>
      <c r="DX90" s="153"/>
      <c r="DY90" s="153"/>
      <c r="DZ90" s="153"/>
      <c r="EA90" s="153"/>
      <c r="EB90" s="153"/>
      <c r="EC90" s="153"/>
      <c r="ED90" s="153"/>
      <c r="EE90" s="153"/>
      <c r="EF90" s="153"/>
      <c r="EG90" s="153"/>
      <c r="EH90" s="153"/>
      <c r="EI90" s="153"/>
      <c r="EJ90" s="153"/>
      <c r="EK90" s="153"/>
      <c r="EL90" s="153"/>
      <c r="EM90" s="153"/>
      <c r="EN90" s="153"/>
      <c r="EO90" s="153"/>
      <c r="EP90" s="153"/>
      <c r="EQ90" s="153"/>
      <c r="ER90" s="153"/>
      <c r="ES90" s="153"/>
      <c r="ET90" s="153"/>
      <c r="EU90" s="153"/>
      <c r="EV90" s="153"/>
      <c r="EW90" s="153"/>
      <c r="EX90" s="153"/>
      <c r="EY90" s="153"/>
      <c r="EZ90" s="153"/>
      <c r="FA90" s="153"/>
      <c r="FB90" s="153"/>
      <c r="FC90" s="153"/>
      <c r="FD90" s="153"/>
      <c r="FE90" s="153"/>
      <c r="FF90" s="153"/>
      <c r="FG90" s="153"/>
      <c r="FH90" s="153"/>
      <c r="FI90" s="153"/>
      <c r="FJ90" s="153"/>
      <c r="FK90" s="153"/>
      <c r="FL90" s="153"/>
      <c r="FM90" s="153"/>
      <c r="FN90" s="153"/>
      <c r="FO90" s="153"/>
      <c r="FP90" s="153"/>
      <c r="FQ90" s="153"/>
      <c r="FR90" s="153"/>
      <c r="FS90" s="153"/>
      <c r="FT90" s="153"/>
      <c r="FU90" s="153"/>
      <c r="FV90" s="153"/>
      <c r="FW90" s="153"/>
      <c r="FX90" s="153"/>
      <c r="FY90" s="153"/>
      <c r="FZ90" s="153"/>
    </row>
    <row r="91" spans="1:182" ht="13.5" thickBot="1" x14ac:dyDescent="0.25">
      <c r="A91" s="236" t="s">
        <v>26</v>
      </c>
      <c r="B91" s="230"/>
      <c r="C91" s="251">
        <f t="shared" ref="C91:Q91" si="38">+C88-C90</f>
        <v>0</v>
      </c>
      <c r="D91" s="308">
        <f t="shared" si="38"/>
        <v>0</v>
      </c>
      <c r="E91" s="251">
        <f t="shared" si="38"/>
        <v>0</v>
      </c>
      <c r="F91" s="251">
        <f t="shared" si="38"/>
        <v>0</v>
      </c>
      <c r="G91" s="299">
        <f t="shared" si="38"/>
        <v>0</v>
      </c>
      <c r="H91" s="251">
        <f t="shared" si="38"/>
        <v>0</v>
      </c>
      <c r="I91" s="299">
        <f t="shared" si="38"/>
        <v>0</v>
      </c>
      <c r="J91" s="251">
        <f t="shared" si="38"/>
        <v>0</v>
      </c>
      <c r="K91" s="299">
        <f t="shared" si="38"/>
        <v>0</v>
      </c>
      <c r="L91" s="251">
        <f t="shared" si="38"/>
        <v>0</v>
      </c>
      <c r="M91" s="299">
        <f t="shared" si="38"/>
        <v>0</v>
      </c>
      <c r="N91" s="251">
        <f t="shared" si="38"/>
        <v>0</v>
      </c>
      <c r="O91" s="299">
        <f t="shared" si="38"/>
        <v>0</v>
      </c>
      <c r="P91" s="251">
        <f t="shared" si="38"/>
        <v>0</v>
      </c>
      <c r="Q91" s="251">
        <f t="shared" si="38"/>
        <v>0</v>
      </c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53"/>
      <c r="BJ91" s="153"/>
      <c r="BK91" s="153"/>
      <c r="BL91" s="153"/>
      <c r="BM91" s="153"/>
      <c r="BN91" s="153"/>
      <c r="BO91" s="153"/>
      <c r="BP91" s="153"/>
      <c r="BQ91" s="153"/>
      <c r="BR91" s="153"/>
      <c r="BS91" s="153"/>
      <c r="BT91" s="153"/>
      <c r="BU91" s="153"/>
      <c r="BV91" s="153"/>
      <c r="BW91" s="153"/>
      <c r="BX91" s="153"/>
      <c r="BY91" s="153"/>
      <c r="BZ91" s="153"/>
      <c r="CA91" s="153"/>
      <c r="CB91" s="153"/>
      <c r="CC91" s="153"/>
      <c r="CD91" s="153"/>
      <c r="CE91" s="153"/>
      <c r="CF91" s="153"/>
      <c r="CG91" s="153"/>
      <c r="CH91" s="153"/>
      <c r="CI91" s="153"/>
      <c r="CJ91" s="153"/>
      <c r="CK91" s="153"/>
      <c r="CL91" s="153"/>
      <c r="CM91" s="153"/>
      <c r="CN91" s="153"/>
      <c r="CO91" s="153"/>
      <c r="CP91" s="153"/>
      <c r="CQ91" s="153"/>
      <c r="CR91" s="153"/>
      <c r="CS91" s="153"/>
      <c r="CT91" s="153"/>
      <c r="CU91" s="153"/>
      <c r="CV91" s="153"/>
      <c r="CW91" s="153"/>
      <c r="CX91" s="153"/>
      <c r="CY91" s="153"/>
      <c r="CZ91" s="153"/>
      <c r="DA91" s="153"/>
      <c r="DB91" s="153"/>
      <c r="DC91" s="153"/>
      <c r="DD91" s="153"/>
      <c r="DE91" s="153"/>
      <c r="DF91" s="153"/>
      <c r="DG91" s="153"/>
      <c r="DH91" s="153"/>
      <c r="DI91" s="153"/>
      <c r="DJ91" s="153"/>
      <c r="DK91" s="153"/>
      <c r="DL91" s="153"/>
      <c r="DM91" s="153"/>
      <c r="DN91" s="153"/>
      <c r="DO91" s="153"/>
      <c r="DP91" s="153"/>
      <c r="DQ91" s="153"/>
      <c r="DR91" s="153"/>
      <c r="DS91" s="153"/>
      <c r="DT91" s="153"/>
      <c r="DU91" s="153"/>
      <c r="DV91" s="153"/>
      <c r="DW91" s="153"/>
      <c r="DX91" s="153"/>
      <c r="DY91" s="153"/>
      <c r="DZ91" s="153"/>
      <c r="EA91" s="153"/>
      <c r="EB91" s="153"/>
      <c r="EC91" s="153"/>
      <c r="ED91" s="153"/>
      <c r="EE91" s="153"/>
      <c r="EF91" s="153"/>
      <c r="EG91" s="153"/>
      <c r="EH91" s="153"/>
      <c r="EI91" s="153"/>
      <c r="EJ91" s="153"/>
      <c r="EK91" s="153"/>
      <c r="EL91" s="153"/>
      <c r="EM91" s="153"/>
      <c r="EN91" s="153"/>
      <c r="EO91" s="153"/>
      <c r="EP91" s="153"/>
      <c r="EQ91" s="153"/>
      <c r="ER91" s="153"/>
      <c r="ES91" s="153"/>
      <c r="ET91" s="153"/>
      <c r="EU91" s="153"/>
      <c r="EV91" s="153"/>
      <c r="EW91" s="153"/>
      <c r="EX91" s="153"/>
      <c r="EY91" s="153"/>
      <c r="EZ91" s="153"/>
      <c r="FA91" s="153"/>
      <c r="FB91" s="153"/>
      <c r="FC91" s="153"/>
      <c r="FD91" s="153"/>
      <c r="FE91" s="153"/>
      <c r="FF91" s="153"/>
      <c r="FG91" s="153"/>
      <c r="FH91" s="153"/>
      <c r="FI91" s="153"/>
      <c r="FJ91" s="153"/>
      <c r="FK91" s="153"/>
      <c r="FL91" s="153"/>
      <c r="FM91" s="153"/>
      <c r="FN91" s="153"/>
      <c r="FO91" s="153"/>
      <c r="FP91" s="153"/>
      <c r="FQ91" s="153"/>
      <c r="FR91" s="153"/>
      <c r="FS91" s="153"/>
      <c r="FT91" s="153"/>
      <c r="FU91" s="153"/>
      <c r="FV91" s="153"/>
      <c r="FW91" s="153"/>
      <c r="FX91" s="153"/>
      <c r="FY91" s="153"/>
      <c r="FZ91" s="153"/>
    </row>
    <row r="92" spans="1:182" x14ac:dyDescent="0.2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  <c r="BJ92" s="153"/>
      <c r="BK92" s="153"/>
      <c r="BL92" s="153"/>
      <c r="BM92" s="153"/>
      <c r="BN92" s="153"/>
      <c r="BO92" s="153"/>
      <c r="BP92" s="153"/>
      <c r="BQ92" s="153"/>
      <c r="BR92" s="153"/>
      <c r="BS92" s="153"/>
      <c r="BT92" s="153"/>
      <c r="BU92" s="153"/>
      <c r="BV92" s="153"/>
      <c r="BW92" s="153"/>
      <c r="BX92" s="153"/>
      <c r="BY92" s="153"/>
      <c r="BZ92" s="153"/>
      <c r="CA92" s="153"/>
      <c r="CB92" s="153"/>
      <c r="CC92" s="153"/>
      <c r="CD92" s="153"/>
      <c r="CE92" s="153"/>
      <c r="CF92" s="153"/>
      <c r="CG92" s="153"/>
      <c r="CH92" s="153"/>
      <c r="CI92" s="153"/>
      <c r="CJ92" s="153"/>
      <c r="CK92" s="153"/>
      <c r="CL92" s="153"/>
      <c r="CM92" s="153"/>
      <c r="CN92" s="153"/>
      <c r="CO92" s="153"/>
      <c r="CP92" s="153"/>
      <c r="CQ92" s="153"/>
      <c r="CR92" s="153"/>
      <c r="CS92" s="153"/>
      <c r="CT92" s="153"/>
      <c r="CU92" s="153"/>
      <c r="CV92" s="153"/>
      <c r="CW92" s="153"/>
      <c r="CX92" s="153"/>
      <c r="CY92" s="153"/>
      <c r="CZ92" s="153"/>
      <c r="DA92" s="153"/>
      <c r="DB92" s="153"/>
      <c r="DC92" s="153"/>
      <c r="DD92" s="153"/>
      <c r="DE92" s="153"/>
      <c r="DF92" s="153"/>
      <c r="DG92" s="153"/>
      <c r="DH92" s="153"/>
      <c r="DI92" s="153"/>
      <c r="DJ92" s="153"/>
      <c r="DK92" s="153"/>
      <c r="DL92" s="153"/>
      <c r="DM92" s="153"/>
      <c r="DN92" s="153"/>
      <c r="DO92" s="153"/>
      <c r="DP92" s="153"/>
      <c r="DQ92" s="153"/>
      <c r="DR92" s="153"/>
      <c r="DS92" s="153"/>
      <c r="DT92" s="153"/>
      <c r="DU92" s="153"/>
      <c r="DV92" s="153"/>
      <c r="DW92" s="153"/>
      <c r="DX92" s="153"/>
      <c r="DY92" s="153"/>
      <c r="DZ92" s="153"/>
      <c r="EA92" s="153"/>
      <c r="EB92" s="153"/>
      <c r="EC92" s="153"/>
      <c r="ED92" s="153"/>
      <c r="EE92" s="153"/>
      <c r="EF92" s="153"/>
      <c r="EG92" s="153"/>
      <c r="EH92" s="153"/>
      <c r="EI92" s="153"/>
      <c r="EJ92" s="153"/>
      <c r="EK92" s="153"/>
      <c r="EL92" s="153"/>
      <c r="EM92" s="153"/>
      <c r="EN92" s="153"/>
      <c r="EO92" s="153"/>
      <c r="EP92" s="153"/>
      <c r="EQ92" s="153"/>
      <c r="ER92" s="153"/>
      <c r="ES92" s="153"/>
      <c r="ET92" s="153"/>
      <c r="EU92" s="153"/>
      <c r="EV92" s="153"/>
      <c r="EW92" s="153"/>
      <c r="EX92" s="153"/>
      <c r="EY92" s="153"/>
      <c r="EZ92" s="153"/>
      <c r="FA92" s="153"/>
      <c r="FB92" s="153"/>
      <c r="FC92" s="153"/>
      <c r="FD92" s="153"/>
      <c r="FE92" s="153"/>
      <c r="FF92" s="153"/>
      <c r="FG92" s="153"/>
      <c r="FH92" s="153"/>
      <c r="FI92" s="153"/>
      <c r="FJ92" s="153"/>
      <c r="FK92" s="153"/>
      <c r="FL92" s="153"/>
      <c r="FM92" s="153"/>
      <c r="FN92" s="153"/>
      <c r="FO92" s="153"/>
      <c r="FP92" s="153"/>
      <c r="FQ92" s="153"/>
      <c r="FR92" s="153"/>
      <c r="FS92" s="153"/>
      <c r="FT92" s="153"/>
      <c r="FU92" s="153"/>
      <c r="FV92" s="153"/>
      <c r="FW92" s="153"/>
      <c r="FX92" s="153"/>
      <c r="FY92" s="153"/>
      <c r="FZ92" s="153"/>
    </row>
    <row r="93" spans="1:182" x14ac:dyDescent="0.2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  <c r="BJ93" s="153"/>
      <c r="BK93" s="153"/>
      <c r="BL93" s="153"/>
      <c r="BM93" s="153"/>
      <c r="BN93" s="153"/>
      <c r="BO93" s="153"/>
      <c r="BP93" s="153"/>
      <c r="BQ93" s="153"/>
      <c r="BR93" s="153"/>
      <c r="BS93" s="153"/>
      <c r="BT93" s="153"/>
      <c r="BU93" s="153"/>
      <c r="BV93" s="153"/>
      <c r="BW93" s="153"/>
      <c r="BX93" s="153"/>
      <c r="BY93" s="153"/>
      <c r="BZ93" s="153"/>
      <c r="CA93" s="153"/>
      <c r="CB93" s="153"/>
      <c r="CC93" s="153"/>
      <c r="CD93" s="153"/>
      <c r="CE93" s="153"/>
      <c r="CF93" s="153"/>
      <c r="CG93" s="153"/>
      <c r="CH93" s="153"/>
      <c r="CI93" s="153"/>
      <c r="CJ93" s="153"/>
      <c r="CK93" s="153"/>
      <c r="CL93" s="153"/>
      <c r="CM93" s="153"/>
      <c r="CN93" s="153"/>
      <c r="CO93" s="153"/>
      <c r="CP93" s="153"/>
      <c r="CQ93" s="153"/>
      <c r="CR93" s="153"/>
      <c r="CS93" s="153"/>
      <c r="CT93" s="153"/>
      <c r="CU93" s="153"/>
      <c r="CV93" s="153"/>
      <c r="CW93" s="153"/>
      <c r="CX93" s="153"/>
      <c r="CY93" s="153"/>
      <c r="CZ93" s="153"/>
      <c r="DA93" s="153"/>
      <c r="DB93" s="153"/>
      <c r="DC93" s="153"/>
      <c r="DD93" s="153"/>
      <c r="DE93" s="153"/>
      <c r="DF93" s="153"/>
      <c r="DG93" s="153"/>
      <c r="DH93" s="153"/>
      <c r="DI93" s="153"/>
      <c r="DJ93" s="153"/>
      <c r="DK93" s="153"/>
      <c r="DL93" s="153"/>
      <c r="DM93" s="153"/>
      <c r="DN93" s="153"/>
      <c r="DO93" s="153"/>
      <c r="DP93" s="153"/>
      <c r="DQ93" s="153"/>
      <c r="DR93" s="153"/>
      <c r="DS93" s="153"/>
      <c r="DT93" s="153"/>
      <c r="DU93" s="153"/>
      <c r="DV93" s="153"/>
      <c r="DW93" s="153"/>
      <c r="DX93" s="153"/>
      <c r="DY93" s="153"/>
      <c r="DZ93" s="153"/>
      <c r="EA93" s="153"/>
      <c r="EB93" s="153"/>
      <c r="EC93" s="153"/>
      <c r="ED93" s="153"/>
      <c r="EE93" s="153"/>
      <c r="EF93" s="153"/>
      <c r="EG93" s="153"/>
      <c r="EH93" s="153"/>
      <c r="EI93" s="153"/>
      <c r="EJ93" s="153"/>
      <c r="EK93" s="153"/>
      <c r="EL93" s="153"/>
      <c r="EM93" s="153"/>
      <c r="EN93" s="153"/>
      <c r="EO93" s="153"/>
      <c r="EP93" s="153"/>
      <c r="EQ93" s="153"/>
      <c r="ER93" s="153"/>
      <c r="ES93" s="153"/>
      <c r="ET93" s="153"/>
      <c r="EU93" s="153"/>
      <c r="EV93" s="153"/>
      <c r="EW93" s="153"/>
      <c r="EX93" s="153"/>
      <c r="EY93" s="153"/>
      <c r="EZ93" s="153"/>
      <c r="FA93" s="153"/>
      <c r="FB93" s="153"/>
      <c r="FC93" s="153"/>
      <c r="FD93" s="153"/>
      <c r="FE93" s="153"/>
      <c r="FF93" s="153"/>
      <c r="FG93" s="153"/>
      <c r="FH93" s="153"/>
      <c r="FI93" s="153"/>
      <c r="FJ93" s="153"/>
      <c r="FK93" s="153"/>
      <c r="FL93" s="153"/>
      <c r="FM93" s="153"/>
      <c r="FN93" s="153"/>
      <c r="FO93" s="153"/>
      <c r="FP93" s="153"/>
      <c r="FQ93" s="153"/>
      <c r="FR93" s="153"/>
      <c r="FS93" s="153"/>
      <c r="FT93" s="153"/>
      <c r="FU93" s="153"/>
      <c r="FV93" s="153"/>
      <c r="FW93" s="153"/>
      <c r="FX93" s="153"/>
      <c r="FY93" s="153"/>
      <c r="FZ93" s="153"/>
    </row>
    <row r="94" spans="1:182" ht="13.5" thickBot="1" x14ac:dyDescent="0.25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53"/>
      <c r="BJ94" s="153"/>
      <c r="BK94" s="153"/>
      <c r="BL94" s="153"/>
      <c r="BM94" s="153"/>
      <c r="BN94" s="153"/>
      <c r="BO94" s="153"/>
      <c r="BP94" s="153"/>
      <c r="BQ94" s="153"/>
      <c r="BR94" s="153"/>
      <c r="BS94" s="153"/>
      <c r="BT94" s="153"/>
      <c r="BU94" s="153"/>
      <c r="BV94" s="153"/>
      <c r="BW94" s="153"/>
      <c r="BX94" s="153"/>
      <c r="BY94" s="153"/>
      <c r="BZ94" s="153"/>
      <c r="CA94" s="153"/>
      <c r="CB94" s="153"/>
      <c r="CC94" s="153"/>
      <c r="CD94" s="153"/>
      <c r="CE94" s="153"/>
      <c r="CF94" s="153"/>
      <c r="CG94" s="153"/>
      <c r="CH94" s="153"/>
      <c r="CI94" s="153"/>
      <c r="CJ94" s="153"/>
      <c r="CK94" s="153"/>
      <c r="CL94" s="153"/>
      <c r="CM94" s="153"/>
      <c r="CN94" s="153"/>
      <c r="CO94" s="153"/>
      <c r="CP94" s="153"/>
      <c r="CQ94" s="153"/>
      <c r="CR94" s="153"/>
      <c r="CS94" s="153"/>
      <c r="CT94" s="153"/>
      <c r="CU94" s="153"/>
      <c r="CV94" s="153"/>
      <c r="CW94" s="153"/>
      <c r="CX94" s="153"/>
      <c r="CY94" s="153"/>
      <c r="CZ94" s="153"/>
      <c r="DA94" s="153"/>
      <c r="DB94" s="153"/>
      <c r="DC94" s="153"/>
      <c r="DD94" s="153"/>
      <c r="DE94" s="153"/>
      <c r="DF94" s="153"/>
      <c r="DG94" s="153"/>
      <c r="DH94" s="153"/>
      <c r="DI94" s="153"/>
      <c r="DJ94" s="153"/>
      <c r="DK94" s="153"/>
      <c r="DL94" s="153"/>
      <c r="DM94" s="153"/>
      <c r="DN94" s="153"/>
      <c r="DO94" s="153"/>
      <c r="DP94" s="153"/>
      <c r="DQ94" s="153"/>
      <c r="DR94" s="153"/>
      <c r="DS94" s="153"/>
      <c r="DT94" s="153"/>
      <c r="DU94" s="153"/>
      <c r="DV94" s="153"/>
      <c r="DW94" s="153"/>
      <c r="DX94" s="153"/>
      <c r="DY94" s="153"/>
      <c r="DZ94" s="153"/>
      <c r="EA94" s="153"/>
      <c r="EB94" s="153"/>
      <c r="EC94" s="153"/>
      <c r="ED94" s="153"/>
      <c r="EE94" s="153"/>
      <c r="EF94" s="153"/>
      <c r="EG94" s="153"/>
      <c r="EH94" s="153"/>
      <c r="EI94" s="153"/>
      <c r="EJ94" s="153"/>
      <c r="EK94" s="153"/>
      <c r="EL94" s="153"/>
      <c r="EM94" s="153"/>
      <c r="EN94" s="153"/>
      <c r="EO94" s="153"/>
      <c r="EP94" s="153"/>
      <c r="EQ94" s="153"/>
      <c r="ER94" s="153"/>
      <c r="ES94" s="153"/>
      <c r="ET94" s="153"/>
      <c r="EU94" s="153"/>
      <c r="EV94" s="153"/>
      <c r="EW94" s="153"/>
      <c r="EX94" s="153"/>
      <c r="EY94" s="153"/>
      <c r="EZ94" s="153"/>
      <c r="FA94" s="153"/>
      <c r="FB94" s="153"/>
      <c r="FC94" s="153"/>
      <c r="FD94" s="153"/>
      <c r="FE94" s="153"/>
      <c r="FF94" s="153"/>
      <c r="FG94" s="153"/>
      <c r="FH94" s="153"/>
      <c r="FI94" s="153"/>
      <c r="FJ94" s="153"/>
      <c r="FK94" s="153"/>
      <c r="FL94" s="153"/>
      <c r="FM94" s="153"/>
      <c r="FN94" s="153"/>
      <c r="FO94" s="153"/>
      <c r="FP94" s="153"/>
      <c r="FQ94" s="153"/>
      <c r="FR94" s="153"/>
      <c r="FS94" s="153"/>
      <c r="FT94" s="153"/>
      <c r="FU94" s="153"/>
      <c r="FV94" s="153"/>
      <c r="FW94" s="153"/>
      <c r="FX94" s="153"/>
      <c r="FY94" s="153"/>
      <c r="FZ94" s="153"/>
    </row>
    <row r="95" spans="1:182" ht="13.5" thickBot="1" x14ac:dyDescent="0.25">
      <c r="A95" s="249" t="s">
        <v>4</v>
      </c>
      <c r="B95" s="292">
        <v>0</v>
      </c>
      <c r="C95" s="249">
        <v>1</v>
      </c>
      <c r="D95" s="292">
        <v>2</v>
      </c>
      <c r="E95" s="249">
        <v>3</v>
      </c>
      <c r="F95" s="292">
        <v>4</v>
      </c>
      <c r="G95" s="249">
        <v>5</v>
      </c>
      <c r="H95" s="249">
        <v>6</v>
      </c>
      <c r="I95" s="292">
        <v>7</v>
      </c>
      <c r="J95" s="249">
        <v>8</v>
      </c>
      <c r="K95" s="292">
        <v>9</v>
      </c>
      <c r="L95" s="249">
        <v>10</v>
      </c>
      <c r="M95" s="249">
        <v>11</v>
      </c>
      <c r="N95" s="292">
        <v>12</v>
      </c>
      <c r="O95" s="249">
        <v>13</v>
      </c>
      <c r="P95" s="292">
        <v>14</v>
      </c>
      <c r="Q95" s="249">
        <v>15</v>
      </c>
      <c r="R95" s="249">
        <f>+Q95+1</f>
        <v>16</v>
      </c>
      <c r="S95" s="249">
        <f t="shared" ref="S95:CD95" si="39">+R95+1</f>
        <v>17</v>
      </c>
      <c r="T95" s="249">
        <f t="shared" si="39"/>
        <v>18</v>
      </c>
      <c r="U95" s="249">
        <f t="shared" si="39"/>
        <v>19</v>
      </c>
      <c r="V95" s="249">
        <f t="shared" si="39"/>
        <v>20</v>
      </c>
      <c r="W95" s="249">
        <f t="shared" si="39"/>
        <v>21</v>
      </c>
      <c r="X95" s="249">
        <f t="shared" si="39"/>
        <v>22</v>
      </c>
      <c r="Y95" s="249">
        <f t="shared" si="39"/>
        <v>23</v>
      </c>
      <c r="Z95" s="249">
        <f t="shared" si="39"/>
        <v>24</v>
      </c>
      <c r="AA95" s="249">
        <f t="shared" si="39"/>
        <v>25</v>
      </c>
      <c r="AB95" s="249">
        <f t="shared" si="39"/>
        <v>26</v>
      </c>
      <c r="AC95" s="249">
        <f t="shared" si="39"/>
        <v>27</v>
      </c>
      <c r="AD95" s="249">
        <f t="shared" si="39"/>
        <v>28</v>
      </c>
      <c r="AE95" s="249">
        <f t="shared" si="39"/>
        <v>29</v>
      </c>
      <c r="AF95" s="249">
        <f t="shared" si="39"/>
        <v>30</v>
      </c>
      <c r="AG95" s="249">
        <f t="shared" si="39"/>
        <v>31</v>
      </c>
      <c r="AH95" s="249">
        <f t="shared" si="39"/>
        <v>32</v>
      </c>
      <c r="AI95" s="249">
        <f t="shared" si="39"/>
        <v>33</v>
      </c>
      <c r="AJ95" s="249">
        <f t="shared" si="39"/>
        <v>34</v>
      </c>
      <c r="AK95" s="249">
        <f t="shared" si="39"/>
        <v>35</v>
      </c>
      <c r="AL95" s="249">
        <f t="shared" si="39"/>
        <v>36</v>
      </c>
      <c r="AM95" s="249">
        <f t="shared" si="39"/>
        <v>37</v>
      </c>
      <c r="AN95" s="249">
        <f t="shared" si="39"/>
        <v>38</v>
      </c>
      <c r="AO95" s="249">
        <f t="shared" si="39"/>
        <v>39</v>
      </c>
      <c r="AP95" s="249">
        <f t="shared" si="39"/>
        <v>40</v>
      </c>
      <c r="AQ95" s="249">
        <f t="shared" si="39"/>
        <v>41</v>
      </c>
      <c r="AR95" s="249">
        <f t="shared" si="39"/>
        <v>42</v>
      </c>
      <c r="AS95" s="249">
        <f t="shared" si="39"/>
        <v>43</v>
      </c>
      <c r="AT95" s="249">
        <f t="shared" si="39"/>
        <v>44</v>
      </c>
      <c r="AU95" s="249">
        <f t="shared" si="39"/>
        <v>45</v>
      </c>
      <c r="AV95" s="249">
        <f t="shared" si="39"/>
        <v>46</v>
      </c>
      <c r="AW95" s="249">
        <f t="shared" si="39"/>
        <v>47</v>
      </c>
      <c r="AX95" s="249">
        <f t="shared" si="39"/>
        <v>48</v>
      </c>
      <c r="AY95" s="249">
        <f t="shared" si="39"/>
        <v>49</v>
      </c>
      <c r="AZ95" s="249">
        <f t="shared" si="39"/>
        <v>50</v>
      </c>
      <c r="BA95" s="249">
        <f t="shared" si="39"/>
        <v>51</v>
      </c>
      <c r="BB95" s="249">
        <f t="shared" si="39"/>
        <v>52</v>
      </c>
      <c r="BC95" s="249">
        <f t="shared" si="39"/>
        <v>53</v>
      </c>
      <c r="BD95" s="249">
        <f t="shared" si="39"/>
        <v>54</v>
      </c>
      <c r="BE95" s="249">
        <f t="shared" si="39"/>
        <v>55</v>
      </c>
      <c r="BF95" s="249">
        <f t="shared" si="39"/>
        <v>56</v>
      </c>
      <c r="BG95" s="249">
        <f t="shared" si="39"/>
        <v>57</v>
      </c>
      <c r="BH95" s="249">
        <f t="shared" si="39"/>
        <v>58</v>
      </c>
      <c r="BI95" s="249">
        <f t="shared" si="39"/>
        <v>59</v>
      </c>
      <c r="BJ95" s="249">
        <f t="shared" si="39"/>
        <v>60</v>
      </c>
      <c r="BK95" s="249">
        <f t="shared" si="39"/>
        <v>61</v>
      </c>
      <c r="BL95" s="249">
        <f t="shared" si="39"/>
        <v>62</v>
      </c>
      <c r="BM95" s="249">
        <f t="shared" si="39"/>
        <v>63</v>
      </c>
      <c r="BN95" s="249">
        <f t="shared" si="39"/>
        <v>64</v>
      </c>
      <c r="BO95" s="249">
        <f t="shared" si="39"/>
        <v>65</v>
      </c>
      <c r="BP95" s="249">
        <f t="shared" si="39"/>
        <v>66</v>
      </c>
      <c r="BQ95" s="249">
        <f t="shared" si="39"/>
        <v>67</v>
      </c>
      <c r="BR95" s="249">
        <f t="shared" si="39"/>
        <v>68</v>
      </c>
      <c r="BS95" s="249">
        <f t="shared" si="39"/>
        <v>69</v>
      </c>
      <c r="BT95" s="249">
        <f t="shared" si="39"/>
        <v>70</v>
      </c>
      <c r="BU95" s="249">
        <f t="shared" si="39"/>
        <v>71</v>
      </c>
      <c r="BV95" s="249">
        <f t="shared" si="39"/>
        <v>72</v>
      </c>
      <c r="BW95" s="249">
        <f t="shared" si="39"/>
        <v>73</v>
      </c>
      <c r="BX95" s="249">
        <f t="shared" si="39"/>
        <v>74</v>
      </c>
      <c r="BY95" s="249">
        <f t="shared" si="39"/>
        <v>75</v>
      </c>
      <c r="BZ95" s="249">
        <f t="shared" si="39"/>
        <v>76</v>
      </c>
      <c r="CA95" s="249">
        <f t="shared" si="39"/>
        <v>77</v>
      </c>
      <c r="CB95" s="249">
        <f t="shared" si="39"/>
        <v>78</v>
      </c>
      <c r="CC95" s="249">
        <f t="shared" si="39"/>
        <v>79</v>
      </c>
      <c r="CD95" s="249">
        <f t="shared" si="39"/>
        <v>80</v>
      </c>
      <c r="CE95" s="249">
        <f t="shared" ref="CE95:EP95" si="40">+CD95+1</f>
        <v>81</v>
      </c>
      <c r="CF95" s="249">
        <f t="shared" si="40"/>
        <v>82</v>
      </c>
      <c r="CG95" s="249">
        <f t="shared" si="40"/>
        <v>83</v>
      </c>
      <c r="CH95" s="249">
        <f t="shared" si="40"/>
        <v>84</v>
      </c>
      <c r="CI95" s="249">
        <f t="shared" si="40"/>
        <v>85</v>
      </c>
      <c r="CJ95" s="249">
        <f t="shared" si="40"/>
        <v>86</v>
      </c>
      <c r="CK95" s="249">
        <f t="shared" si="40"/>
        <v>87</v>
      </c>
      <c r="CL95" s="249">
        <f t="shared" si="40"/>
        <v>88</v>
      </c>
      <c r="CM95" s="249">
        <f t="shared" si="40"/>
        <v>89</v>
      </c>
      <c r="CN95" s="249">
        <f t="shared" si="40"/>
        <v>90</v>
      </c>
      <c r="CO95" s="249">
        <f t="shared" si="40"/>
        <v>91</v>
      </c>
      <c r="CP95" s="249">
        <f t="shared" si="40"/>
        <v>92</v>
      </c>
      <c r="CQ95" s="249">
        <f t="shared" si="40"/>
        <v>93</v>
      </c>
      <c r="CR95" s="249">
        <f t="shared" si="40"/>
        <v>94</v>
      </c>
      <c r="CS95" s="249">
        <f t="shared" si="40"/>
        <v>95</v>
      </c>
      <c r="CT95" s="249">
        <f t="shared" si="40"/>
        <v>96</v>
      </c>
      <c r="CU95" s="249">
        <f t="shared" si="40"/>
        <v>97</v>
      </c>
      <c r="CV95" s="249">
        <f t="shared" si="40"/>
        <v>98</v>
      </c>
      <c r="CW95" s="249">
        <f t="shared" si="40"/>
        <v>99</v>
      </c>
      <c r="CX95" s="249">
        <f t="shared" si="40"/>
        <v>100</v>
      </c>
      <c r="CY95" s="249">
        <f t="shared" si="40"/>
        <v>101</v>
      </c>
      <c r="CZ95" s="249">
        <f t="shared" si="40"/>
        <v>102</v>
      </c>
      <c r="DA95" s="249">
        <f t="shared" si="40"/>
        <v>103</v>
      </c>
      <c r="DB95" s="249">
        <f t="shared" si="40"/>
        <v>104</v>
      </c>
      <c r="DC95" s="249">
        <f t="shared" si="40"/>
        <v>105</v>
      </c>
      <c r="DD95" s="249">
        <f t="shared" si="40"/>
        <v>106</v>
      </c>
      <c r="DE95" s="249">
        <f t="shared" si="40"/>
        <v>107</v>
      </c>
      <c r="DF95" s="249">
        <f t="shared" si="40"/>
        <v>108</v>
      </c>
      <c r="DG95" s="249">
        <f t="shared" si="40"/>
        <v>109</v>
      </c>
      <c r="DH95" s="249">
        <f t="shared" si="40"/>
        <v>110</v>
      </c>
      <c r="DI95" s="249">
        <f t="shared" si="40"/>
        <v>111</v>
      </c>
      <c r="DJ95" s="249">
        <f t="shared" si="40"/>
        <v>112</v>
      </c>
      <c r="DK95" s="249">
        <f t="shared" si="40"/>
        <v>113</v>
      </c>
      <c r="DL95" s="249">
        <f t="shared" si="40"/>
        <v>114</v>
      </c>
      <c r="DM95" s="249">
        <f t="shared" si="40"/>
        <v>115</v>
      </c>
      <c r="DN95" s="249">
        <f t="shared" si="40"/>
        <v>116</v>
      </c>
      <c r="DO95" s="249">
        <f t="shared" si="40"/>
        <v>117</v>
      </c>
      <c r="DP95" s="249">
        <f t="shared" si="40"/>
        <v>118</v>
      </c>
      <c r="DQ95" s="249">
        <f t="shared" si="40"/>
        <v>119</v>
      </c>
      <c r="DR95" s="249">
        <f t="shared" si="40"/>
        <v>120</v>
      </c>
      <c r="DS95" s="249">
        <f t="shared" si="40"/>
        <v>121</v>
      </c>
      <c r="DT95" s="249">
        <f t="shared" si="40"/>
        <v>122</v>
      </c>
      <c r="DU95" s="249">
        <f t="shared" si="40"/>
        <v>123</v>
      </c>
      <c r="DV95" s="249">
        <f t="shared" si="40"/>
        <v>124</v>
      </c>
      <c r="DW95" s="249">
        <f t="shared" si="40"/>
        <v>125</v>
      </c>
      <c r="DX95" s="249">
        <f t="shared" si="40"/>
        <v>126</v>
      </c>
      <c r="DY95" s="249">
        <f t="shared" si="40"/>
        <v>127</v>
      </c>
      <c r="DZ95" s="249">
        <f t="shared" si="40"/>
        <v>128</v>
      </c>
      <c r="EA95" s="249">
        <f t="shared" si="40"/>
        <v>129</v>
      </c>
      <c r="EB95" s="249">
        <f t="shared" si="40"/>
        <v>130</v>
      </c>
      <c r="EC95" s="249">
        <f t="shared" si="40"/>
        <v>131</v>
      </c>
      <c r="ED95" s="249">
        <f t="shared" si="40"/>
        <v>132</v>
      </c>
      <c r="EE95" s="249">
        <f t="shared" si="40"/>
        <v>133</v>
      </c>
      <c r="EF95" s="249">
        <f t="shared" si="40"/>
        <v>134</v>
      </c>
      <c r="EG95" s="249">
        <f t="shared" si="40"/>
        <v>135</v>
      </c>
      <c r="EH95" s="249">
        <f t="shared" si="40"/>
        <v>136</v>
      </c>
      <c r="EI95" s="249">
        <f t="shared" si="40"/>
        <v>137</v>
      </c>
      <c r="EJ95" s="249">
        <f t="shared" si="40"/>
        <v>138</v>
      </c>
      <c r="EK95" s="249">
        <f t="shared" si="40"/>
        <v>139</v>
      </c>
      <c r="EL95" s="249">
        <f t="shared" si="40"/>
        <v>140</v>
      </c>
      <c r="EM95" s="249">
        <f t="shared" si="40"/>
        <v>141</v>
      </c>
      <c r="EN95" s="249">
        <f t="shared" si="40"/>
        <v>142</v>
      </c>
      <c r="EO95" s="249">
        <f t="shared" si="40"/>
        <v>143</v>
      </c>
      <c r="EP95" s="249">
        <f t="shared" si="40"/>
        <v>144</v>
      </c>
      <c r="EQ95" s="249">
        <f t="shared" ref="EQ95:FZ95" si="41">+EP95+1</f>
        <v>145</v>
      </c>
      <c r="ER95" s="249">
        <f t="shared" si="41"/>
        <v>146</v>
      </c>
      <c r="ES95" s="249">
        <f t="shared" si="41"/>
        <v>147</v>
      </c>
      <c r="ET95" s="249">
        <f t="shared" si="41"/>
        <v>148</v>
      </c>
      <c r="EU95" s="249">
        <f t="shared" si="41"/>
        <v>149</v>
      </c>
      <c r="EV95" s="249">
        <f t="shared" si="41"/>
        <v>150</v>
      </c>
      <c r="EW95" s="249">
        <f t="shared" si="41"/>
        <v>151</v>
      </c>
      <c r="EX95" s="249">
        <f t="shared" si="41"/>
        <v>152</v>
      </c>
      <c r="EY95" s="249">
        <f t="shared" si="41"/>
        <v>153</v>
      </c>
      <c r="EZ95" s="249">
        <f t="shared" si="41"/>
        <v>154</v>
      </c>
      <c r="FA95" s="249">
        <f t="shared" si="41"/>
        <v>155</v>
      </c>
      <c r="FB95" s="249">
        <f t="shared" si="41"/>
        <v>156</v>
      </c>
      <c r="FC95" s="249">
        <f t="shared" si="41"/>
        <v>157</v>
      </c>
      <c r="FD95" s="249">
        <f t="shared" si="41"/>
        <v>158</v>
      </c>
      <c r="FE95" s="249">
        <f t="shared" si="41"/>
        <v>159</v>
      </c>
      <c r="FF95" s="249">
        <f t="shared" si="41"/>
        <v>160</v>
      </c>
      <c r="FG95" s="249">
        <f t="shared" si="41"/>
        <v>161</v>
      </c>
      <c r="FH95" s="249">
        <f t="shared" si="41"/>
        <v>162</v>
      </c>
      <c r="FI95" s="249">
        <f t="shared" si="41"/>
        <v>163</v>
      </c>
      <c r="FJ95" s="249">
        <f t="shared" si="41"/>
        <v>164</v>
      </c>
      <c r="FK95" s="249">
        <f t="shared" si="41"/>
        <v>165</v>
      </c>
      <c r="FL95" s="249">
        <f t="shared" si="41"/>
        <v>166</v>
      </c>
      <c r="FM95" s="249">
        <f t="shared" si="41"/>
        <v>167</v>
      </c>
      <c r="FN95" s="249">
        <f t="shared" si="41"/>
        <v>168</v>
      </c>
      <c r="FO95" s="249">
        <f t="shared" si="41"/>
        <v>169</v>
      </c>
      <c r="FP95" s="249">
        <f t="shared" si="41"/>
        <v>170</v>
      </c>
      <c r="FQ95" s="249">
        <f t="shared" si="41"/>
        <v>171</v>
      </c>
      <c r="FR95" s="249">
        <f t="shared" si="41"/>
        <v>172</v>
      </c>
      <c r="FS95" s="249">
        <f t="shared" si="41"/>
        <v>173</v>
      </c>
      <c r="FT95" s="249">
        <f t="shared" si="41"/>
        <v>174</v>
      </c>
      <c r="FU95" s="249">
        <f t="shared" si="41"/>
        <v>175</v>
      </c>
      <c r="FV95" s="249">
        <f t="shared" si="41"/>
        <v>176</v>
      </c>
      <c r="FW95" s="249">
        <f t="shared" si="41"/>
        <v>177</v>
      </c>
      <c r="FX95" s="249">
        <f t="shared" si="41"/>
        <v>178</v>
      </c>
      <c r="FY95" s="249">
        <f t="shared" si="41"/>
        <v>179</v>
      </c>
      <c r="FZ95" s="249">
        <f t="shared" si="41"/>
        <v>180</v>
      </c>
    </row>
    <row r="96" spans="1:182" ht="13.5" thickBot="1" x14ac:dyDescent="0.25">
      <c r="A96" s="230"/>
      <c r="B96" s="230"/>
      <c r="C96" s="230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30"/>
      <c r="P96" s="230"/>
      <c r="Q96" s="230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3"/>
      <c r="BN96" s="153"/>
      <c r="BO96" s="153"/>
      <c r="BP96" s="153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153"/>
      <c r="CB96" s="153"/>
      <c r="CC96" s="153"/>
      <c r="CD96" s="153"/>
      <c r="CE96" s="153"/>
      <c r="CF96" s="153"/>
      <c r="CG96" s="153"/>
      <c r="CH96" s="153"/>
      <c r="CI96" s="153"/>
      <c r="CJ96" s="153"/>
      <c r="CK96" s="153"/>
      <c r="CL96" s="153"/>
      <c r="CM96" s="153"/>
      <c r="CN96" s="153"/>
      <c r="CO96" s="153"/>
      <c r="CP96" s="153"/>
      <c r="CQ96" s="153"/>
      <c r="CR96" s="153"/>
      <c r="CS96" s="153"/>
      <c r="CT96" s="153"/>
      <c r="CU96" s="153"/>
      <c r="CV96" s="153"/>
      <c r="CW96" s="153"/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53"/>
      <c r="DI96" s="153"/>
      <c r="DJ96" s="153"/>
      <c r="DK96" s="153"/>
      <c r="DL96" s="153"/>
      <c r="DM96" s="153"/>
      <c r="DN96" s="153"/>
      <c r="DO96" s="153"/>
      <c r="DP96" s="153"/>
      <c r="DQ96" s="153"/>
      <c r="DR96" s="153"/>
      <c r="DS96" s="153"/>
      <c r="DT96" s="153"/>
      <c r="DU96" s="153"/>
      <c r="DV96" s="153"/>
      <c r="DW96" s="153"/>
      <c r="DX96" s="153"/>
      <c r="DY96" s="153"/>
      <c r="DZ96" s="153"/>
      <c r="EA96" s="153"/>
      <c r="EB96" s="153"/>
      <c r="EC96" s="153"/>
      <c r="ED96" s="153"/>
      <c r="EE96" s="153"/>
      <c r="EF96" s="153"/>
      <c r="EG96" s="153"/>
      <c r="EH96" s="153"/>
      <c r="EI96" s="153"/>
      <c r="EJ96" s="153"/>
      <c r="EK96" s="153"/>
      <c r="EL96" s="153"/>
      <c r="EM96" s="153"/>
      <c r="EN96" s="153"/>
      <c r="EO96" s="153"/>
      <c r="EP96" s="153"/>
      <c r="EQ96" s="153"/>
      <c r="ER96" s="153"/>
      <c r="ES96" s="153"/>
      <c r="ET96" s="153"/>
      <c r="EU96" s="153"/>
      <c r="EV96" s="153"/>
      <c r="EW96" s="153"/>
      <c r="EX96" s="153"/>
      <c r="EY96" s="153"/>
      <c r="EZ96" s="153"/>
      <c r="FA96" s="153"/>
      <c r="FB96" s="153"/>
      <c r="FC96" s="153"/>
      <c r="FD96" s="153"/>
      <c r="FE96" s="153"/>
      <c r="FF96" s="153"/>
      <c r="FG96" s="153"/>
      <c r="FH96" s="153"/>
      <c r="FI96" s="153"/>
      <c r="FJ96" s="153"/>
      <c r="FK96" s="153"/>
      <c r="FL96" s="153"/>
      <c r="FM96" s="153"/>
      <c r="FN96" s="153"/>
      <c r="FO96" s="153"/>
      <c r="FP96" s="153"/>
      <c r="FQ96" s="153"/>
      <c r="FR96" s="153"/>
      <c r="FS96" s="153"/>
      <c r="FT96" s="153"/>
      <c r="FU96" s="153"/>
      <c r="FV96" s="153"/>
      <c r="FW96" s="153"/>
      <c r="FX96" s="153"/>
      <c r="FY96" s="153"/>
      <c r="FZ96" s="153"/>
    </row>
    <row r="97" spans="1:182" x14ac:dyDescent="0.2">
      <c r="A97" s="293" t="str">
        <f>Inicio!C247</f>
        <v>Préstamo 3</v>
      </c>
      <c r="B97" s="309">
        <f>IF(Inicio!C229=1,+'inversión inicial'!C31,Inicio!F234)</f>
        <v>0</v>
      </c>
      <c r="C97" s="310"/>
      <c r="D97" s="311"/>
      <c r="E97" s="311"/>
      <c r="F97" s="311"/>
      <c r="G97" s="311"/>
      <c r="H97" s="311"/>
      <c r="I97" s="311"/>
      <c r="J97" s="311"/>
      <c r="K97" s="311"/>
      <c r="L97" s="311"/>
      <c r="M97" s="311"/>
      <c r="N97" s="311"/>
      <c r="O97" s="311"/>
      <c r="P97" s="311"/>
      <c r="Q97" s="311"/>
      <c r="R97" s="311"/>
      <c r="S97" s="311"/>
      <c r="T97" s="311"/>
      <c r="U97" s="311"/>
      <c r="V97" s="311"/>
      <c r="W97" s="311"/>
      <c r="X97" s="311"/>
      <c r="Y97" s="311"/>
      <c r="Z97" s="311"/>
      <c r="AA97" s="311"/>
      <c r="AB97" s="311"/>
      <c r="AC97" s="311"/>
      <c r="AD97" s="311"/>
      <c r="AE97" s="311"/>
      <c r="AF97" s="311"/>
      <c r="AG97" s="311"/>
      <c r="AH97" s="311"/>
      <c r="AI97" s="311"/>
      <c r="AJ97" s="311"/>
      <c r="AK97" s="311"/>
      <c r="AL97" s="311"/>
      <c r="AM97" s="311"/>
      <c r="AN97" s="311"/>
      <c r="AO97" s="311"/>
      <c r="AP97" s="311"/>
      <c r="AQ97" s="311"/>
      <c r="AR97" s="311"/>
      <c r="AS97" s="311"/>
      <c r="AT97" s="311"/>
      <c r="AU97" s="311"/>
      <c r="AV97" s="311"/>
      <c r="AW97" s="311"/>
      <c r="AX97" s="311"/>
      <c r="AY97" s="311"/>
      <c r="AZ97" s="311"/>
      <c r="BA97" s="311"/>
      <c r="BB97" s="311"/>
      <c r="BC97" s="311"/>
      <c r="BD97" s="311"/>
      <c r="BE97" s="311"/>
      <c r="BF97" s="311"/>
      <c r="BG97" s="311"/>
      <c r="BH97" s="311"/>
      <c r="BI97" s="311"/>
      <c r="BJ97" s="311"/>
      <c r="BK97" s="311"/>
      <c r="BL97" s="311"/>
      <c r="BM97" s="311"/>
      <c r="BN97" s="311"/>
      <c r="BO97" s="311"/>
      <c r="BP97" s="311"/>
      <c r="BQ97" s="311"/>
      <c r="BR97" s="311"/>
      <c r="BS97" s="311"/>
      <c r="BT97" s="311"/>
      <c r="BU97" s="311"/>
      <c r="BV97" s="311"/>
      <c r="BW97" s="311"/>
      <c r="BX97" s="311"/>
      <c r="BY97" s="311"/>
      <c r="BZ97" s="311"/>
      <c r="CA97" s="311"/>
      <c r="CB97" s="311"/>
      <c r="CC97" s="311"/>
      <c r="CD97" s="311"/>
      <c r="CE97" s="311"/>
      <c r="CF97" s="311"/>
      <c r="CG97" s="311"/>
      <c r="CH97" s="311"/>
      <c r="CI97" s="311"/>
      <c r="CJ97" s="311"/>
      <c r="CK97" s="311"/>
      <c r="CL97" s="311"/>
      <c r="CM97" s="311"/>
      <c r="CN97" s="311"/>
      <c r="CO97" s="311"/>
      <c r="CP97" s="311"/>
      <c r="CQ97" s="311"/>
      <c r="CR97" s="311"/>
      <c r="CS97" s="311"/>
      <c r="CT97" s="311"/>
      <c r="CU97" s="311"/>
      <c r="CV97" s="311"/>
      <c r="CW97" s="311"/>
      <c r="CX97" s="311"/>
      <c r="CY97" s="311"/>
      <c r="CZ97" s="311"/>
      <c r="DA97" s="311"/>
      <c r="DB97" s="311"/>
      <c r="DC97" s="311"/>
      <c r="DD97" s="311"/>
      <c r="DE97" s="311"/>
      <c r="DF97" s="311"/>
      <c r="DG97" s="311"/>
      <c r="DH97" s="311"/>
      <c r="DI97" s="311"/>
      <c r="DJ97" s="311"/>
      <c r="DK97" s="311"/>
      <c r="DL97" s="311"/>
      <c r="DM97" s="311"/>
      <c r="DN97" s="311"/>
      <c r="DO97" s="311"/>
      <c r="DP97" s="311"/>
      <c r="DQ97" s="311"/>
      <c r="DR97" s="311"/>
      <c r="DS97" s="311"/>
      <c r="DT97" s="311"/>
      <c r="DU97" s="311"/>
      <c r="DV97" s="311"/>
      <c r="DW97" s="311"/>
      <c r="DX97" s="311"/>
      <c r="DY97" s="311"/>
      <c r="DZ97" s="311"/>
      <c r="EA97" s="311"/>
      <c r="EB97" s="311"/>
      <c r="EC97" s="311"/>
      <c r="ED97" s="311"/>
      <c r="EE97" s="311"/>
      <c r="EF97" s="311"/>
      <c r="EG97" s="311"/>
      <c r="EH97" s="311"/>
      <c r="EI97" s="311"/>
      <c r="EJ97" s="311"/>
      <c r="EK97" s="311"/>
      <c r="EL97" s="311"/>
      <c r="EM97" s="311"/>
      <c r="EN97" s="311"/>
      <c r="EO97" s="311"/>
      <c r="EP97" s="311"/>
      <c r="EQ97" s="311"/>
      <c r="ER97" s="311"/>
      <c r="ES97" s="311"/>
      <c r="ET97" s="311"/>
      <c r="EU97" s="311"/>
      <c r="EV97" s="311"/>
      <c r="EW97" s="311"/>
      <c r="EX97" s="311"/>
      <c r="EY97" s="311"/>
      <c r="EZ97" s="311"/>
      <c r="FA97" s="311"/>
      <c r="FB97" s="311"/>
      <c r="FC97" s="311"/>
      <c r="FD97" s="311"/>
      <c r="FE97" s="311"/>
      <c r="FF97" s="311"/>
      <c r="FG97" s="311"/>
      <c r="FH97" s="311"/>
      <c r="FI97" s="311"/>
      <c r="FJ97" s="311"/>
      <c r="FK97" s="311"/>
      <c r="FL97" s="311"/>
      <c r="FM97" s="311"/>
      <c r="FN97" s="311"/>
      <c r="FO97" s="311"/>
      <c r="FP97" s="311"/>
      <c r="FQ97" s="311"/>
      <c r="FR97" s="311"/>
      <c r="FS97" s="311"/>
      <c r="FT97" s="311"/>
      <c r="FU97" s="311"/>
      <c r="FV97" s="311"/>
      <c r="FW97" s="311"/>
      <c r="FX97" s="311"/>
      <c r="FY97" s="311"/>
      <c r="FZ97" s="232"/>
    </row>
    <row r="98" spans="1:182" x14ac:dyDescent="0.2">
      <c r="A98" s="236" t="s">
        <v>376</v>
      </c>
      <c r="B98" s="312">
        <f>IF(Inicio!$E$51="Años",(POWER(Inicio!D247+1,1/12)-1),(POWER(Inicio!D247+1,1/12)-1))</f>
        <v>0</v>
      </c>
      <c r="C98" s="250">
        <f>IF($B$100=1,IF(C$73&lt;=$B$101,+B97*B98,0),0)</f>
        <v>0</v>
      </c>
      <c r="D98" s="297">
        <f>IF(D$95&lt;=$B$101,+C100*$B98,0)</f>
        <v>0</v>
      </c>
      <c r="E98" s="297">
        <f t="shared" ref="E98:BP98" si="42">IF(E$95&lt;=$B$101,+D100*$B98,0)</f>
        <v>0</v>
      </c>
      <c r="F98" s="297">
        <f t="shared" si="42"/>
        <v>0</v>
      </c>
      <c r="G98" s="297">
        <f t="shared" si="42"/>
        <v>0</v>
      </c>
      <c r="H98" s="297">
        <f t="shared" si="42"/>
        <v>0</v>
      </c>
      <c r="I98" s="297">
        <f t="shared" si="42"/>
        <v>0</v>
      </c>
      <c r="J98" s="297">
        <f t="shared" si="42"/>
        <v>0</v>
      </c>
      <c r="K98" s="297">
        <f t="shared" si="42"/>
        <v>0</v>
      </c>
      <c r="L98" s="297">
        <f t="shared" si="42"/>
        <v>0</v>
      </c>
      <c r="M98" s="297">
        <f t="shared" si="42"/>
        <v>0</v>
      </c>
      <c r="N98" s="297">
        <f t="shared" si="42"/>
        <v>0</v>
      </c>
      <c r="O98" s="297">
        <f t="shared" si="42"/>
        <v>0</v>
      </c>
      <c r="P98" s="297">
        <f t="shared" si="42"/>
        <v>0</v>
      </c>
      <c r="Q98" s="297">
        <f t="shared" si="42"/>
        <v>0</v>
      </c>
      <c r="R98" s="297">
        <f t="shared" si="42"/>
        <v>0</v>
      </c>
      <c r="S98" s="297">
        <f t="shared" si="42"/>
        <v>0</v>
      </c>
      <c r="T98" s="297">
        <f t="shared" si="42"/>
        <v>0</v>
      </c>
      <c r="U98" s="297">
        <f t="shared" si="42"/>
        <v>0</v>
      </c>
      <c r="V98" s="297">
        <f t="shared" si="42"/>
        <v>0</v>
      </c>
      <c r="W98" s="297">
        <f t="shared" si="42"/>
        <v>0</v>
      </c>
      <c r="X98" s="297">
        <f t="shared" si="42"/>
        <v>0</v>
      </c>
      <c r="Y98" s="297">
        <f t="shared" si="42"/>
        <v>0</v>
      </c>
      <c r="Z98" s="297">
        <f t="shared" si="42"/>
        <v>0</v>
      </c>
      <c r="AA98" s="297">
        <f t="shared" si="42"/>
        <v>0</v>
      </c>
      <c r="AB98" s="297">
        <f t="shared" si="42"/>
        <v>0</v>
      </c>
      <c r="AC98" s="297">
        <f t="shared" si="42"/>
        <v>0</v>
      </c>
      <c r="AD98" s="297">
        <f t="shared" si="42"/>
        <v>0</v>
      </c>
      <c r="AE98" s="297">
        <f t="shared" si="42"/>
        <v>0</v>
      </c>
      <c r="AF98" s="297">
        <f t="shared" si="42"/>
        <v>0</v>
      </c>
      <c r="AG98" s="297">
        <f t="shared" si="42"/>
        <v>0</v>
      </c>
      <c r="AH98" s="297">
        <f t="shared" si="42"/>
        <v>0</v>
      </c>
      <c r="AI98" s="297">
        <f t="shared" si="42"/>
        <v>0</v>
      </c>
      <c r="AJ98" s="297">
        <f t="shared" si="42"/>
        <v>0</v>
      </c>
      <c r="AK98" s="297">
        <f t="shared" si="42"/>
        <v>0</v>
      </c>
      <c r="AL98" s="297">
        <f t="shared" si="42"/>
        <v>0</v>
      </c>
      <c r="AM98" s="297">
        <f t="shared" si="42"/>
        <v>0</v>
      </c>
      <c r="AN98" s="297">
        <f t="shared" si="42"/>
        <v>0</v>
      </c>
      <c r="AO98" s="297">
        <f t="shared" si="42"/>
        <v>0</v>
      </c>
      <c r="AP98" s="297">
        <f t="shared" si="42"/>
        <v>0</v>
      </c>
      <c r="AQ98" s="297">
        <f t="shared" si="42"/>
        <v>0</v>
      </c>
      <c r="AR98" s="297">
        <f t="shared" si="42"/>
        <v>0</v>
      </c>
      <c r="AS98" s="297">
        <f t="shared" si="42"/>
        <v>0</v>
      </c>
      <c r="AT98" s="297">
        <f t="shared" si="42"/>
        <v>0</v>
      </c>
      <c r="AU98" s="297">
        <f t="shared" si="42"/>
        <v>0</v>
      </c>
      <c r="AV98" s="297">
        <f t="shared" si="42"/>
        <v>0</v>
      </c>
      <c r="AW98" s="297">
        <f t="shared" si="42"/>
        <v>0</v>
      </c>
      <c r="AX98" s="297">
        <f t="shared" si="42"/>
        <v>0</v>
      </c>
      <c r="AY98" s="297">
        <f t="shared" si="42"/>
        <v>0</v>
      </c>
      <c r="AZ98" s="297">
        <f t="shared" si="42"/>
        <v>0</v>
      </c>
      <c r="BA98" s="297">
        <f t="shared" si="42"/>
        <v>0</v>
      </c>
      <c r="BB98" s="297">
        <f t="shared" si="42"/>
        <v>0</v>
      </c>
      <c r="BC98" s="297">
        <f t="shared" si="42"/>
        <v>0</v>
      </c>
      <c r="BD98" s="297">
        <f t="shared" si="42"/>
        <v>0</v>
      </c>
      <c r="BE98" s="297">
        <f t="shared" si="42"/>
        <v>0</v>
      </c>
      <c r="BF98" s="297">
        <f t="shared" si="42"/>
        <v>0</v>
      </c>
      <c r="BG98" s="297">
        <f t="shared" si="42"/>
        <v>0</v>
      </c>
      <c r="BH98" s="297">
        <f t="shared" si="42"/>
        <v>0</v>
      </c>
      <c r="BI98" s="297">
        <f t="shared" si="42"/>
        <v>0</v>
      </c>
      <c r="BJ98" s="297">
        <f t="shared" si="42"/>
        <v>0</v>
      </c>
      <c r="BK98" s="297">
        <f t="shared" si="42"/>
        <v>0</v>
      </c>
      <c r="BL98" s="297">
        <f t="shared" si="42"/>
        <v>0</v>
      </c>
      <c r="BM98" s="297">
        <f t="shared" si="42"/>
        <v>0</v>
      </c>
      <c r="BN98" s="297">
        <f t="shared" si="42"/>
        <v>0</v>
      </c>
      <c r="BO98" s="297">
        <f t="shared" si="42"/>
        <v>0</v>
      </c>
      <c r="BP98" s="297">
        <f t="shared" si="42"/>
        <v>0</v>
      </c>
      <c r="BQ98" s="297">
        <f t="shared" ref="BQ98:EB98" si="43">IF(BQ$95&lt;=$B$101,+BP100*$B98,0)</f>
        <v>0</v>
      </c>
      <c r="BR98" s="297">
        <f t="shared" si="43"/>
        <v>0</v>
      </c>
      <c r="BS98" s="297">
        <f t="shared" si="43"/>
        <v>0</v>
      </c>
      <c r="BT98" s="297">
        <f t="shared" si="43"/>
        <v>0</v>
      </c>
      <c r="BU98" s="297">
        <f t="shared" si="43"/>
        <v>0</v>
      </c>
      <c r="BV98" s="297">
        <f t="shared" si="43"/>
        <v>0</v>
      </c>
      <c r="BW98" s="297">
        <f t="shared" si="43"/>
        <v>0</v>
      </c>
      <c r="BX98" s="297">
        <f t="shared" si="43"/>
        <v>0</v>
      </c>
      <c r="BY98" s="297">
        <f t="shared" si="43"/>
        <v>0</v>
      </c>
      <c r="BZ98" s="297">
        <f t="shared" si="43"/>
        <v>0</v>
      </c>
      <c r="CA98" s="297">
        <f t="shared" si="43"/>
        <v>0</v>
      </c>
      <c r="CB98" s="297">
        <f t="shared" si="43"/>
        <v>0</v>
      </c>
      <c r="CC98" s="297">
        <f t="shared" si="43"/>
        <v>0</v>
      </c>
      <c r="CD98" s="297">
        <f t="shared" si="43"/>
        <v>0</v>
      </c>
      <c r="CE98" s="297">
        <f t="shared" si="43"/>
        <v>0</v>
      </c>
      <c r="CF98" s="297">
        <f t="shared" si="43"/>
        <v>0</v>
      </c>
      <c r="CG98" s="297">
        <f t="shared" si="43"/>
        <v>0</v>
      </c>
      <c r="CH98" s="297">
        <f t="shared" si="43"/>
        <v>0</v>
      </c>
      <c r="CI98" s="297">
        <f t="shared" si="43"/>
        <v>0</v>
      </c>
      <c r="CJ98" s="297">
        <f t="shared" si="43"/>
        <v>0</v>
      </c>
      <c r="CK98" s="297">
        <f t="shared" si="43"/>
        <v>0</v>
      </c>
      <c r="CL98" s="297">
        <f t="shared" si="43"/>
        <v>0</v>
      </c>
      <c r="CM98" s="297">
        <f t="shared" si="43"/>
        <v>0</v>
      </c>
      <c r="CN98" s="297">
        <f t="shared" si="43"/>
        <v>0</v>
      </c>
      <c r="CO98" s="297">
        <f t="shared" si="43"/>
        <v>0</v>
      </c>
      <c r="CP98" s="297">
        <f t="shared" si="43"/>
        <v>0</v>
      </c>
      <c r="CQ98" s="297">
        <f t="shared" si="43"/>
        <v>0</v>
      </c>
      <c r="CR98" s="297">
        <f t="shared" si="43"/>
        <v>0</v>
      </c>
      <c r="CS98" s="297">
        <f t="shared" si="43"/>
        <v>0</v>
      </c>
      <c r="CT98" s="297">
        <f t="shared" si="43"/>
        <v>0</v>
      </c>
      <c r="CU98" s="297">
        <f t="shared" si="43"/>
        <v>0</v>
      </c>
      <c r="CV98" s="297">
        <f t="shared" si="43"/>
        <v>0</v>
      </c>
      <c r="CW98" s="297">
        <f t="shared" si="43"/>
        <v>0</v>
      </c>
      <c r="CX98" s="297">
        <f t="shared" si="43"/>
        <v>0</v>
      </c>
      <c r="CY98" s="297">
        <f t="shared" si="43"/>
        <v>0</v>
      </c>
      <c r="CZ98" s="297">
        <f t="shared" si="43"/>
        <v>0</v>
      </c>
      <c r="DA98" s="297">
        <f t="shared" si="43"/>
        <v>0</v>
      </c>
      <c r="DB98" s="297">
        <f t="shared" si="43"/>
        <v>0</v>
      </c>
      <c r="DC98" s="297">
        <f t="shared" si="43"/>
        <v>0</v>
      </c>
      <c r="DD98" s="297">
        <f t="shared" si="43"/>
        <v>0</v>
      </c>
      <c r="DE98" s="297">
        <f t="shared" si="43"/>
        <v>0</v>
      </c>
      <c r="DF98" s="297">
        <f t="shared" si="43"/>
        <v>0</v>
      </c>
      <c r="DG98" s="297">
        <f t="shared" si="43"/>
        <v>0</v>
      </c>
      <c r="DH98" s="297">
        <f t="shared" si="43"/>
        <v>0</v>
      </c>
      <c r="DI98" s="297">
        <f t="shared" si="43"/>
        <v>0</v>
      </c>
      <c r="DJ98" s="297">
        <f t="shared" si="43"/>
        <v>0</v>
      </c>
      <c r="DK98" s="297">
        <f t="shared" si="43"/>
        <v>0</v>
      </c>
      <c r="DL98" s="297">
        <f t="shared" si="43"/>
        <v>0</v>
      </c>
      <c r="DM98" s="297">
        <f t="shared" si="43"/>
        <v>0</v>
      </c>
      <c r="DN98" s="297">
        <f t="shared" si="43"/>
        <v>0</v>
      </c>
      <c r="DO98" s="297">
        <f t="shared" si="43"/>
        <v>0</v>
      </c>
      <c r="DP98" s="297">
        <f t="shared" si="43"/>
        <v>0</v>
      </c>
      <c r="DQ98" s="297">
        <f t="shared" si="43"/>
        <v>0</v>
      </c>
      <c r="DR98" s="297">
        <f t="shared" si="43"/>
        <v>0</v>
      </c>
      <c r="DS98" s="297">
        <f t="shared" si="43"/>
        <v>0</v>
      </c>
      <c r="DT98" s="297">
        <f t="shared" si="43"/>
        <v>0</v>
      </c>
      <c r="DU98" s="297">
        <f t="shared" si="43"/>
        <v>0</v>
      </c>
      <c r="DV98" s="297">
        <f t="shared" si="43"/>
        <v>0</v>
      </c>
      <c r="DW98" s="297">
        <f t="shared" si="43"/>
        <v>0</v>
      </c>
      <c r="DX98" s="297">
        <f t="shared" si="43"/>
        <v>0</v>
      </c>
      <c r="DY98" s="297">
        <f t="shared" si="43"/>
        <v>0</v>
      </c>
      <c r="DZ98" s="297">
        <f t="shared" si="43"/>
        <v>0</v>
      </c>
      <c r="EA98" s="297">
        <f t="shared" si="43"/>
        <v>0</v>
      </c>
      <c r="EB98" s="297">
        <f t="shared" si="43"/>
        <v>0</v>
      </c>
      <c r="EC98" s="297">
        <f t="shared" ref="EC98:FZ98" si="44">IF(EC$95&lt;=$B$101,+EB100*$B98,0)</f>
        <v>0</v>
      </c>
      <c r="ED98" s="297">
        <f t="shared" si="44"/>
        <v>0</v>
      </c>
      <c r="EE98" s="297">
        <f t="shared" si="44"/>
        <v>0</v>
      </c>
      <c r="EF98" s="297">
        <f t="shared" si="44"/>
        <v>0</v>
      </c>
      <c r="EG98" s="297">
        <f t="shared" si="44"/>
        <v>0</v>
      </c>
      <c r="EH98" s="297">
        <f t="shared" si="44"/>
        <v>0</v>
      </c>
      <c r="EI98" s="297">
        <f t="shared" si="44"/>
        <v>0</v>
      </c>
      <c r="EJ98" s="297">
        <f t="shared" si="44"/>
        <v>0</v>
      </c>
      <c r="EK98" s="297">
        <f t="shared" si="44"/>
        <v>0</v>
      </c>
      <c r="EL98" s="297">
        <f t="shared" si="44"/>
        <v>0</v>
      </c>
      <c r="EM98" s="297">
        <f t="shared" si="44"/>
        <v>0</v>
      </c>
      <c r="EN98" s="297">
        <f t="shared" si="44"/>
        <v>0</v>
      </c>
      <c r="EO98" s="297">
        <f t="shared" si="44"/>
        <v>0</v>
      </c>
      <c r="EP98" s="297">
        <f t="shared" si="44"/>
        <v>0</v>
      </c>
      <c r="EQ98" s="297">
        <f t="shared" si="44"/>
        <v>0</v>
      </c>
      <c r="ER98" s="297">
        <f t="shared" si="44"/>
        <v>0</v>
      </c>
      <c r="ES98" s="297">
        <f t="shared" si="44"/>
        <v>0</v>
      </c>
      <c r="ET98" s="297">
        <f t="shared" si="44"/>
        <v>0</v>
      </c>
      <c r="EU98" s="297">
        <f t="shared" si="44"/>
        <v>0</v>
      </c>
      <c r="EV98" s="297">
        <f t="shared" si="44"/>
        <v>0</v>
      </c>
      <c r="EW98" s="297">
        <f t="shared" si="44"/>
        <v>0</v>
      </c>
      <c r="EX98" s="297">
        <f t="shared" si="44"/>
        <v>0</v>
      </c>
      <c r="EY98" s="297">
        <f t="shared" si="44"/>
        <v>0</v>
      </c>
      <c r="EZ98" s="297">
        <f t="shared" si="44"/>
        <v>0</v>
      </c>
      <c r="FA98" s="297">
        <f t="shared" si="44"/>
        <v>0</v>
      </c>
      <c r="FB98" s="297">
        <f t="shared" si="44"/>
        <v>0</v>
      </c>
      <c r="FC98" s="297">
        <f t="shared" si="44"/>
        <v>0</v>
      </c>
      <c r="FD98" s="297">
        <f t="shared" si="44"/>
        <v>0</v>
      </c>
      <c r="FE98" s="297">
        <f t="shared" si="44"/>
        <v>0</v>
      </c>
      <c r="FF98" s="297">
        <f t="shared" si="44"/>
        <v>0</v>
      </c>
      <c r="FG98" s="297">
        <f t="shared" si="44"/>
        <v>0</v>
      </c>
      <c r="FH98" s="297">
        <f t="shared" si="44"/>
        <v>0</v>
      </c>
      <c r="FI98" s="297">
        <f t="shared" si="44"/>
        <v>0</v>
      </c>
      <c r="FJ98" s="297">
        <f t="shared" si="44"/>
        <v>0</v>
      </c>
      <c r="FK98" s="297">
        <f t="shared" si="44"/>
        <v>0</v>
      </c>
      <c r="FL98" s="297">
        <f t="shared" si="44"/>
        <v>0</v>
      </c>
      <c r="FM98" s="297">
        <f t="shared" si="44"/>
        <v>0</v>
      </c>
      <c r="FN98" s="297">
        <f t="shared" si="44"/>
        <v>0</v>
      </c>
      <c r="FO98" s="297">
        <f t="shared" si="44"/>
        <v>0</v>
      </c>
      <c r="FP98" s="297">
        <f t="shared" si="44"/>
        <v>0</v>
      </c>
      <c r="FQ98" s="297">
        <f t="shared" si="44"/>
        <v>0</v>
      </c>
      <c r="FR98" s="297">
        <f t="shared" si="44"/>
        <v>0</v>
      </c>
      <c r="FS98" s="297">
        <f t="shared" si="44"/>
        <v>0</v>
      </c>
      <c r="FT98" s="297">
        <f t="shared" si="44"/>
        <v>0</v>
      </c>
      <c r="FU98" s="297">
        <f t="shared" si="44"/>
        <v>0</v>
      </c>
      <c r="FV98" s="297">
        <f t="shared" si="44"/>
        <v>0</v>
      </c>
      <c r="FW98" s="297">
        <f t="shared" si="44"/>
        <v>0</v>
      </c>
      <c r="FX98" s="297">
        <f t="shared" si="44"/>
        <v>0</v>
      </c>
      <c r="FY98" s="297">
        <f t="shared" si="44"/>
        <v>0</v>
      </c>
      <c r="FZ98" s="313">
        <f t="shared" si="44"/>
        <v>0</v>
      </c>
    </row>
    <row r="99" spans="1:182" x14ac:dyDescent="0.2">
      <c r="A99" s="236" t="s">
        <v>25</v>
      </c>
      <c r="B99" s="314"/>
      <c r="C99" s="250">
        <f>IF($B$100=1,IF(C$95&lt;=$B$101,IF(C$95&lt;=$B$101,+$B$103-C98,0),0),IF(C$95&lt;=$B$101,IF(C$95&lt;=$B$101,+$B$102-C98,0),0))</f>
        <v>0</v>
      </c>
      <c r="D99" s="297">
        <f>IF($B$100=1,IF(D$95&lt;=$B$101,IF(D$95&lt;=$B$101,+$B$103-D98,0),0),IF(D$95&lt;=$B$101,IF(D$95&lt;=$B$101,+$B$102-D98,0),0))</f>
        <v>0</v>
      </c>
      <c r="E99" s="297">
        <f t="shared" ref="E99:BP99" si="45">IF($B$100=1,IF(E$95&lt;=$B$101,IF(E$95&lt;=$B$101,+$B$103-E98,0),0),IF(E$95&lt;=$B$101,IF(E$95&lt;=$B$101,+$B$102-E98,0),0))</f>
        <v>0</v>
      </c>
      <c r="F99" s="297">
        <f t="shared" si="45"/>
        <v>0</v>
      </c>
      <c r="G99" s="297">
        <f t="shared" si="45"/>
        <v>0</v>
      </c>
      <c r="H99" s="297">
        <f t="shared" si="45"/>
        <v>0</v>
      </c>
      <c r="I99" s="297">
        <f t="shared" si="45"/>
        <v>0</v>
      </c>
      <c r="J99" s="297">
        <f t="shared" si="45"/>
        <v>0</v>
      </c>
      <c r="K99" s="297">
        <f t="shared" si="45"/>
        <v>0</v>
      </c>
      <c r="L99" s="297">
        <f t="shared" si="45"/>
        <v>0</v>
      </c>
      <c r="M99" s="297">
        <f t="shared" si="45"/>
        <v>0</v>
      </c>
      <c r="N99" s="297">
        <f t="shared" si="45"/>
        <v>0</v>
      </c>
      <c r="O99" s="297">
        <f t="shared" si="45"/>
        <v>0</v>
      </c>
      <c r="P99" s="297">
        <f t="shared" si="45"/>
        <v>0</v>
      </c>
      <c r="Q99" s="297">
        <f t="shared" si="45"/>
        <v>0</v>
      </c>
      <c r="R99" s="297">
        <f t="shared" si="45"/>
        <v>0</v>
      </c>
      <c r="S99" s="297">
        <f t="shared" si="45"/>
        <v>0</v>
      </c>
      <c r="T99" s="297">
        <f t="shared" si="45"/>
        <v>0</v>
      </c>
      <c r="U99" s="297">
        <f t="shared" si="45"/>
        <v>0</v>
      </c>
      <c r="V99" s="297">
        <f t="shared" si="45"/>
        <v>0</v>
      </c>
      <c r="W99" s="297">
        <f t="shared" si="45"/>
        <v>0</v>
      </c>
      <c r="X99" s="297">
        <f t="shared" si="45"/>
        <v>0</v>
      </c>
      <c r="Y99" s="297">
        <f t="shared" si="45"/>
        <v>0</v>
      </c>
      <c r="Z99" s="297">
        <f t="shared" si="45"/>
        <v>0</v>
      </c>
      <c r="AA99" s="297">
        <f t="shared" si="45"/>
        <v>0</v>
      </c>
      <c r="AB99" s="297">
        <f t="shared" si="45"/>
        <v>0</v>
      </c>
      <c r="AC99" s="297">
        <f t="shared" si="45"/>
        <v>0</v>
      </c>
      <c r="AD99" s="297">
        <f t="shared" si="45"/>
        <v>0</v>
      </c>
      <c r="AE99" s="297">
        <f t="shared" si="45"/>
        <v>0</v>
      </c>
      <c r="AF99" s="297">
        <f t="shared" si="45"/>
        <v>0</v>
      </c>
      <c r="AG99" s="297">
        <f t="shared" si="45"/>
        <v>0</v>
      </c>
      <c r="AH99" s="297">
        <f t="shared" si="45"/>
        <v>0</v>
      </c>
      <c r="AI99" s="297">
        <f t="shared" si="45"/>
        <v>0</v>
      </c>
      <c r="AJ99" s="297">
        <f t="shared" si="45"/>
        <v>0</v>
      </c>
      <c r="AK99" s="297">
        <f t="shared" si="45"/>
        <v>0</v>
      </c>
      <c r="AL99" s="297">
        <f t="shared" si="45"/>
        <v>0</v>
      </c>
      <c r="AM99" s="297">
        <f t="shared" si="45"/>
        <v>0</v>
      </c>
      <c r="AN99" s="297">
        <f t="shared" si="45"/>
        <v>0</v>
      </c>
      <c r="AO99" s="297">
        <f t="shared" si="45"/>
        <v>0</v>
      </c>
      <c r="AP99" s="297">
        <f t="shared" si="45"/>
        <v>0</v>
      </c>
      <c r="AQ99" s="297">
        <f t="shared" si="45"/>
        <v>0</v>
      </c>
      <c r="AR99" s="297">
        <f t="shared" si="45"/>
        <v>0</v>
      </c>
      <c r="AS99" s="297">
        <f t="shared" si="45"/>
        <v>0</v>
      </c>
      <c r="AT99" s="297">
        <f t="shared" si="45"/>
        <v>0</v>
      </c>
      <c r="AU99" s="297">
        <f t="shared" si="45"/>
        <v>0</v>
      </c>
      <c r="AV99" s="297">
        <f t="shared" si="45"/>
        <v>0</v>
      </c>
      <c r="AW99" s="297">
        <f t="shared" si="45"/>
        <v>0</v>
      </c>
      <c r="AX99" s="297">
        <f t="shared" si="45"/>
        <v>0</v>
      </c>
      <c r="AY99" s="297">
        <f t="shared" si="45"/>
        <v>0</v>
      </c>
      <c r="AZ99" s="297">
        <f t="shared" si="45"/>
        <v>0</v>
      </c>
      <c r="BA99" s="297">
        <f t="shared" si="45"/>
        <v>0</v>
      </c>
      <c r="BB99" s="297">
        <f t="shared" si="45"/>
        <v>0</v>
      </c>
      <c r="BC99" s="297">
        <f t="shared" si="45"/>
        <v>0</v>
      </c>
      <c r="BD99" s="297">
        <f t="shared" si="45"/>
        <v>0</v>
      </c>
      <c r="BE99" s="297">
        <f t="shared" si="45"/>
        <v>0</v>
      </c>
      <c r="BF99" s="297">
        <f t="shared" si="45"/>
        <v>0</v>
      </c>
      <c r="BG99" s="297">
        <f t="shared" si="45"/>
        <v>0</v>
      </c>
      <c r="BH99" s="297">
        <f t="shared" si="45"/>
        <v>0</v>
      </c>
      <c r="BI99" s="297">
        <f t="shared" si="45"/>
        <v>0</v>
      </c>
      <c r="BJ99" s="297">
        <f t="shared" si="45"/>
        <v>0</v>
      </c>
      <c r="BK99" s="297">
        <f t="shared" si="45"/>
        <v>0</v>
      </c>
      <c r="BL99" s="297">
        <f t="shared" si="45"/>
        <v>0</v>
      </c>
      <c r="BM99" s="297">
        <f t="shared" si="45"/>
        <v>0</v>
      </c>
      <c r="BN99" s="297">
        <f t="shared" si="45"/>
        <v>0</v>
      </c>
      <c r="BO99" s="297">
        <f t="shared" si="45"/>
        <v>0</v>
      </c>
      <c r="BP99" s="297">
        <f t="shared" si="45"/>
        <v>0</v>
      </c>
      <c r="BQ99" s="297">
        <f t="shared" ref="BQ99:EB99" si="46">IF($B$100=1,IF(BQ$95&lt;=$B$101,IF(BQ$95&lt;=$B$101,+$B$103-BQ98,0),0),IF(BQ$95&lt;=$B$101,IF(BQ$95&lt;=$B$101,+$B$102-BQ98,0),0))</f>
        <v>0</v>
      </c>
      <c r="BR99" s="297">
        <f t="shared" si="46"/>
        <v>0</v>
      </c>
      <c r="BS99" s="297">
        <f t="shared" si="46"/>
        <v>0</v>
      </c>
      <c r="BT99" s="297">
        <f t="shared" si="46"/>
        <v>0</v>
      </c>
      <c r="BU99" s="297">
        <f t="shared" si="46"/>
        <v>0</v>
      </c>
      <c r="BV99" s="297">
        <f t="shared" si="46"/>
        <v>0</v>
      </c>
      <c r="BW99" s="297">
        <f t="shared" si="46"/>
        <v>0</v>
      </c>
      <c r="BX99" s="297">
        <f t="shared" si="46"/>
        <v>0</v>
      </c>
      <c r="BY99" s="297">
        <f t="shared" si="46"/>
        <v>0</v>
      </c>
      <c r="BZ99" s="297">
        <f t="shared" si="46"/>
        <v>0</v>
      </c>
      <c r="CA99" s="297">
        <f t="shared" si="46"/>
        <v>0</v>
      </c>
      <c r="CB99" s="297">
        <f t="shared" si="46"/>
        <v>0</v>
      </c>
      <c r="CC99" s="297">
        <f t="shared" si="46"/>
        <v>0</v>
      </c>
      <c r="CD99" s="297">
        <f t="shared" si="46"/>
        <v>0</v>
      </c>
      <c r="CE99" s="297">
        <f t="shared" si="46"/>
        <v>0</v>
      </c>
      <c r="CF99" s="297">
        <f t="shared" si="46"/>
        <v>0</v>
      </c>
      <c r="CG99" s="297">
        <f t="shared" si="46"/>
        <v>0</v>
      </c>
      <c r="CH99" s="297">
        <f t="shared" si="46"/>
        <v>0</v>
      </c>
      <c r="CI99" s="297">
        <f t="shared" si="46"/>
        <v>0</v>
      </c>
      <c r="CJ99" s="297">
        <f t="shared" si="46"/>
        <v>0</v>
      </c>
      <c r="CK99" s="297">
        <f t="shared" si="46"/>
        <v>0</v>
      </c>
      <c r="CL99" s="297">
        <f t="shared" si="46"/>
        <v>0</v>
      </c>
      <c r="CM99" s="297">
        <f t="shared" si="46"/>
        <v>0</v>
      </c>
      <c r="CN99" s="297">
        <f t="shared" si="46"/>
        <v>0</v>
      </c>
      <c r="CO99" s="297">
        <f t="shared" si="46"/>
        <v>0</v>
      </c>
      <c r="CP99" s="297">
        <f t="shared" si="46"/>
        <v>0</v>
      </c>
      <c r="CQ99" s="297">
        <f t="shared" si="46"/>
        <v>0</v>
      </c>
      <c r="CR99" s="297">
        <f t="shared" si="46"/>
        <v>0</v>
      </c>
      <c r="CS99" s="297">
        <f t="shared" si="46"/>
        <v>0</v>
      </c>
      <c r="CT99" s="297">
        <f t="shared" si="46"/>
        <v>0</v>
      </c>
      <c r="CU99" s="297">
        <f t="shared" si="46"/>
        <v>0</v>
      </c>
      <c r="CV99" s="297">
        <f t="shared" si="46"/>
        <v>0</v>
      </c>
      <c r="CW99" s="297">
        <f t="shared" si="46"/>
        <v>0</v>
      </c>
      <c r="CX99" s="297">
        <f t="shared" si="46"/>
        <v>0</v>
      </c>
      <c r="CY99" s="297">
        <f t="shared" si="46"/>
        <v>0</v>
      </c>
      <c r="CZ99" s="297">
        <f t="shared" si="46"/>
        <v>0</v>
      </c>
      <c r="DA99" s="297">
        <f t="shared" si="46"/>
        <v>0</v>
      </c>
      <c r="DB99" s="297">
        <f t="shared" si="46"/>
        <v>0</v>
      </c>
      <c r="DC99" s="297">
        <f t="shared" si="46"/>
        <v>0</v>
      </c>
      <c r="DD99" s="297">
        <f t="shared" si="46"/>
        <v>0</v>
      </c>
      <c r="DE99" s="297">
        <f t="shared" si="46"/>
        <v>0</v>
      </c>
      <c r="DF99" s="297">
        <f t="shared" si="46"/>
        <v>0</v>
      </c>
      <c r="DG99" s="297">
        <f t="shared" si="46"/>
        <v>0</v>
      </c>
      <c r="DH99" s="297">
        <f t="shared" si="46"/>
        <v>0</v>
      </c>
      <c r="DI99" s="297">
        <f t="shared" si="46"/>
        <v>0</v>
      </c>
      <c r="DJ99" s="297">
        <f t="shared" si="46"/>
        <v>0</v>
      </c>
      <c r="DK99" s="297">
        <f t="shared" si="46"/>
        <v>0</v>
      </c>
      <c r="DL99" s="297">
        <f t="shared" si="46"/>
        <v>0</v>
      </c>
      <c r="DM99" s="297">
        <f t="shared" si="46"/>
        <v>0</v>
      </c>
      <c r="DN99" s="297">
        <f t="shared" si="46"/>
        <v>0</v>
      </c>
      <c r="DO99" s="297">
        <f t="shared" si="46"/>
        <v>0</v>
      </c>
      <c r="DP99" s="297">
        <f t="shared" si="46"/>
        <v>0</v>
      </c>
      <c r="DQ99" s="297">
        <f t="shared" si="46"/>
        <v>0</v>
      </c>
      <c r="DR99" s="297">
        <f t="shared" si="46"/>
        <v>0</v>
      </c>
      <c r="DS99" s="297">
        <f t="shared" si="46"/>
        <v>0</v>
      </c>
      <c r="DT99" s="297">
        <f t="shared" si="46"/>
        <v>0</v>
      </c>
      <c r="DU99" s="297">
        <f t="shared" si="46"/>
        <v>0</v>
      </c>
      <c r="DV99" s="297">
        <f t="shared" si="46"/>
        <v>0</v>
      </c>
      <c r="DW99" s="297">
        <f t="shared" si="46"/>
        <v>0</v>
      </c>
      <c r="DX99" s="297">
        <f t="shared" si="46"/>
        <v>0</v>
      </c>
      <c r="DY99" s="297">
        <f t="shared" si="46"/>
        <v>0</v>
      </c>
      <c r="DZ99" s="297">
        <f t="shared" si="46"/>
        <v>0</v>
      </c>
      <c r="EA99" s="297">
        <f t="shared" si="46"/>
        <v>0</v>
      </c>
      <c r="EB99" s="297">
        <f t="shared" si="46"/>
        <v>0</v>
      </c>
      <c r="EC99" s="297">
        <f t="shared" ref="EC99:FZ99" si="47">IF($B$100=1,IF(EC$95&lt;=$B$101,IF(EC$95&lt;=$B$101,+$B$103-EC98,0),0),IF(EC$95&lt;=$B$101,IF(EC$95&lt;=$B$101,+$B$102-EC98,0),0))</f>
        <v>0</v>
      </c>
      <c r="ED99" s="297">
        <f t="shared" si="47"/>
        <v>0</v>
      </c>
      <c r="EE99" s="297">
        <f t="shared" si="47"/>
        <v>0</v>
      </c>
      <c r="EF99" s="297">
        <f t="shared" si="47"/>
        <v>0</v>
      </c>
      <c r="EG99" s="297">
        <f t="shared" si="47"/>
        <v>0</v>
      </c>
      <c r="EH99" s="297">
        <f t="shared" si="47"/>
        <v>0</v>
      </c>
      <c r="EI99" s="297">
        <f t="shared" si="47"/>
        <v>0</v>
      </c>
      <c r="EJ99" s="297">
        <f t="shared" si="47"/>
        <v>0</v>
      </c>
      <c r="EK99" s="297">
        <f t="shared" si="47"/>
        <v>0</v>
      </c>
      <c r="EL99" s="297">
        <f t="shared" si="47"/>
        <v>0</v>
      </c>
      <c r="EM99" s="297">
        <f t="shared" si="47"/>
        <v>0</v>
      </c>
      <c r="EN99" s="297">
        <f t="shared" si="47"/>
        <v>0</v>
      </c>
      <c r="EO99" s="297">
        <f t="shared" si="47"/>
        <v>0</v>
      </c>
      <c r="EP99" s="297">
        <f t="shared" si="47"/>
        <v>0</v>
      </c>
      <c r="EQ99" s="297">
        <f t="shared" si="47"/>
        <v>0</v>
      </c>
      <c r="ER99" s="297">
        <f t="shared" si="47"/>
        <v>0</v>
      </c>
      <c r="ES99" s="297">
        <f t="shared" si="47"/>
        <v>0</v>
      </c>
      <c r="ET99" s="297">
        <f t="shared" si="47"/>
        <v>0</v>
      </c>
      <c r="EU99" s="297">
        <f t="shared" si="47"/>
        <v>0</v>
      </c>
      <c r="EV99" s="297">
        <f t="shared" si="47"/>
        <v>0</v>
      </c>
      <c r="EW99" s="297">
        <f t="shared" si="47"/>
        <v>0</v>
      </c>
      <c r="EX99" s="297">
        <f t="shared" si="47"/>
        <v>0</v>
      </c>
      <c r="EY99" s="297">
        <f t="shared" si="47"/>
        <v>0</v>
      </c>
      <c r="EZ99" s="297">
        <f t="shared" si="47"/>
        <v>0</v>
      </c>
      <c r="FA99" s="297">
        <f t="shared" si="47"/>
        <v>0</v>
      </c>
      <c r="FB99" s="297">
        <f t="shared" si="47"/>
        <v>0</v>
      </c>
      <c r="FC99" s="297">
        <f t="shared" si="47"/>
        <v>0</v>
      </c>
      <c r="FD99" s="297">
        <f t="shared" si="47"/>
        <v>0</v>
      </c>
      <c r="FE99" s="297">
        <f t="shared" si="47"/>
        <v>0</v>
      </c>
      <c r="FF99" s="297">
        <f t="shared" si="47"/>
        <v>0</v>
      </c>
      <c r="FG99" s="297">
        <f t="shared" si="47"/>
        <v>0</v>
      </c>
      <c r="FH99" s="297">
        <f t="shared" si="47"/>
        <v>0</v>
      </c>
      <c r="FI99" s="297">
        <f t="shared" si="47"/>
        <v>0</v>
      </c>
      <c r="FJ99" s="297">
        <f t="shared" si="47"/>
        <v>0</v>
      </c>
      <c r="FK99" s="297">
        <f t="shared" si="47"/>
        <v>0</v>
      </c>
      <c r="FL99" s="297">
        <f t="shared" si="47"/>
        <v>0</v>
      </c>
      <c r="FM99" s="297">
        <f t="shared" si="47"/>
        <v>0</v>
      </c>
      <c r="FN99" s="297">
        <f t="shared" si="47"/>
        <v>0</v>
      </c>
      <c r="FO99" s="297">
        <f t="shared" si="47"/>
        <v>0</v>
      </c>
      <c r="FP99" s="297">
        <f t="shared" si="47"/>
        <v>0</v>
      </c>
      <c r="FQ99" s="297">
        <f t="shared" si="47"/>
        <v>0</v>
      </c>
      <c r="FR99" s="297">
        <f t="shared" si="47"/>
        <v>0</v>
      </c>
      <c r="FS99" s="297">
        <f t="shared" si="47"/>
        <v>0</v>
      </c>
      <c r="FT99" s="297">
        <f t="shared" si="47"/>
        <v>0</v>
      </c>
      <c r="FU99" s="297">
        <f t="shared" si="47"/>
        <v>0</v>
      </c>
      <c r="FV99" s="297">
        <f t="shared" si="47"/>
        <v>0</v>
      </c>
      <c r="FW99" s="297">
        <f t="shared" si="47"/>
        <v>0</v>
      </c>
      <c r="FX99" s="297">
        <f t="shared" si="47"/>
        <v>0</v>
      </c>
      <c r="FY99" s="297">
        <f t="shared" si="47"/>
        <v>0</v>
      </c>
      <c r="FZ99" s="313">
        <f t="shared" si="47"/>
        <v>0</v>
      </c>
    </row>
    <row r="100" spans="1:182" ht="13.5" thickBot="1" x14ac:dyDescent="0.25">
      <c r="A100" s="236" t="s">
        <v>26</v>
      </c>
      <c r="B100" s="314">
        <f>+Inicio!F247</f>
        <v>0</v>
      </c>
      <c r="C100" s="308">
        <f>IF(C$95&lt;=$B$101,IF(C$95&lt;=$B$101,+B97-C99,0),0)</f>
        <v>0</v>
      </c>
      <c r="D100" s="299">
        <f>IF(D$95&lt;=$B$101,IF(D$95&lt;=$B$101,+C100-D99,0),0)</f>
        <v>0</v>
      </c>
      <c r="E100" s="299">
        <f t="shared" ref="E100:BP100" si="48">IF(E$95&lt;=$B$101,IF(E$95&lt;=$B$101,+D100-E99,0),0)</f>
        <v>0</v>
      </c>
      <c r="F100" s="299">
        <f t="shared" si="48"/>
        <v>0</v>
      </c>
      <c r="G100" s="299">
        <f t="shared" si="48"/>
        <v>0</v>
      </c>
      <c r="H100" s="299">
        <f t="shared" si="48"/>
        <v>0</v>
      </c>
      <c r="I100" s="299">
        <f t="shared" si="48"/>
        <v>0</v>
      </c>
      <c r="J100" s="299">
        <f t="shared" si="48"/>
        <v>0</v>
      </c>
      <c r="K100" s="299">
        <f t="shared" si="48"/>
        <v>0</v>
      </c>
      <c r="L100" s="299">
        <f t="shared" si="48"/>
        <v>0</v>
      </c>
      <c r="M100" s="299">
        <f t="shared" si="48"/>
        <v>0</v>
      </c>
      <c r="N100" s="299">
        <f t="shared" si="48"/>
        <v>0</v>
      </c>
      <c r="O100" s="299">
        <f t="shared" si="48"/>
        <v>0</v>
      </c>
      <c r="P100" s="299">
        <f t="shared" si="48"/>
        <v>0</v>
      </c>
      <c r="Q100" s="299">
        <f t="shared" si="48"/>
        <v>0</v>
      </c>
      <c r="R100" s="299">
        <f t="shared" si="48"/>
        <v>0</v>
      </c>
      <c r="S100" s="299">
        <f t="shared" si="48"/>
        <v>0</v>
      </c>
      <c r="T100" s="299">
        <f t="shared" si="48"/>
        <v>0</v>
      </c>
      <c r="U100" s="299">
        <f t="shared" si="48"/>
        <v>0</v>
      </c>
      <c r="V100" s="299">
        <f t="shared" si="48"/>
        <v>0</v>
      </c>
      <c r="W100" s="299">
        <f t="shared" si="48"/>
        <v>0</v>
      </c>
      <c r="X100" s="299">
        <f t="shared" si="48"/>
        <v>0</v>
      </c>
      <c r="Y100" s="299">
        <f t="shared" si="48"/>
        <v>0</v>
      </c>
      <c r="Z100" s="299">
        <f t="shared" si="48"/>
        <v>0</v>
      </c>
      <c r="AA100" s="299">
        <f t="shared" si="48"/>
        <v>0</v>
      </c>
      <c r="AB100" s="299">
        <f t="shared" si="48"/>
        <v>0</v>
      </c>
      <c r="AC100" s="299">
        <f t="shared" si="48"/>
        <v>0</v>
      </c>
      <c r="AD100" s="299">
        <f t="shared" si="48"/>
        <v>0</v>
      </c>
      <c r="AE100" s="299">
        <f t="shared" si="48"/>
        <v>0</v>
      </c>
      <c r="AF100" s="299">
        <f t="shared" si="48"/>
        <v>0</v>
      </c>
      <c r="AG100" s="299">
        <f t="shared" si="48"/>
        <v>0</v>
      </c>
      <c r="AH100" s="299">
        <f t="shared" si="48"/>
        <v>0</v>
      </c>
      <c r="AI100" s="299">
        <f t="shared" si="48"/>
        <v>0</v>
      </c>
      <c r="AJ100" s="299">
        <f t="shared" si="48"/>
        <v>0</v>
      </c>
      <c r="AK100" s="299">
        <f t="shared" si="48"/>
        <v>0</v>
      </c>
      <c r="AL100" s="299">
        <f t="shared" si="48"/>
        <v>0</v>
      </c>
      <c r="AM100" s="299">
        <f t="shared" si="48"/>
        <v>0</v>
      </c>
      <c r="AN100" s="299">
        <f t="shared" si="48"/>
        <v>0</v>
      </c>
      <c r="AO100" s="299">
        <f t="shared" si="48"/>
        <v>0</v>
      </c>
      <c r="AP100" s="299">
        <f t="shared" si="48"/>
        <v>0</v>
      </c>
      <c r="AQ100" s="299">
        <f t="shared" si="48"/>
        <v>0</v>
      </c>
      <c r="AR100" s="299">
        <f t="shared" si="48"/>
        <v>0</v>
      </c>
      <c r="AS100" s="299">
        <f t="shared" si="48"/>
        <v>0</v>
      </c>
      <c r="AT100" s="299">
        <f t="shared" si="48"/>
        <v>0</v>
      </c>
      <c r="AU100" s="299">
        <f t="shared" si="48"/>
        <v>0</v>
      </c>
      <c r="AV100" s="299">
        <f t="shared" si="48"/>
        <v>0</v>
      </c>
      <c r="AW100" s="299">
        <f t="shared" si="48"/>
        <v>0</v>
      </c>
      <c r="AX100" s="299">
        <f t="shared" si="48"/>
        <v>0</v>
      </c>
      <c r="AY100" s="299">
        <f t="shared" si="48"/>
        <v>0</v>
      </c>
      <c r="AZ100" s="299">
        <f t="shared" si="48"/>
        <v>0</v>
      </c>
      <c r="BA100" s="299">
        <f t="shared" si="48"/>
        <v>0</v>
      </c>
      <c r="BB100" s="299">
        <f t="shared" si="48"/>
        <v>0</v>
      </c>
      <c r="BC100" s="299">
        <f t="shared" si="48"/>
        <v>0</v>
      </c>
      <c r="BD100" s="299">
        <f t="shared" si="48"/>
        <v>0</v>
      </c>
      <c r="BE100" s="299">
        <f t="shared" si="48"/>
        <v>0</v>
      </c>
      <c r="BF100" s="299">
        <f t="shared" si="48"/>
        <v>0</v>
      </c>
      <c r="BG100" s="299">
        <f t="shared" si="48"/>
        <v>0</v>
      </c>
      <c r="BH100" s="299">
        <f t="shared" si="48"/>
        <v>0</v>
      </c>
      <c r="BI100" s="299">
        <f t="shared" si="48"/>
        <v>0</v>
      </c>
      <c r="BJ100" s="299">
        <f t="shared" si="48"/>
        <v>0</v>
      </c>
      <c r="BK100" s="299">
        <f t="shared" si="48"/>
        <v>0</v>
      </c>
      <c r="BL100" s="299">
        <f t="shared" si="48"/>
        <v>0</v>
      </c>
      <c r="BM100" s="299">
        <f t="shared" si="48"/>
        <v>0</v>
      </c>
      <c r="BN100" s="299">
        <f t="shared" si="48"/>
        <v>0</v>
      </c>
      <c r="BO100" s="299">
        <f t="shared" si="48"/>
        <v>0</v>
      </c>
      <c r="BP100" s="299">
        <f t="shared" si="48"/>
        <v>0</v>
      </c>
      <c r="BQ100" s="299">
        <f t="shared" ref="BQ100:EB100" si="49">IF(BQ$95&lt;=$B$101,IF(BQ$95&lt;=$B$101,+BP100-BQ99,0),0)</f>
        <v>0</v>
      </c>
      <c r="BR100" s="299">
        <f t="shared" si="49"/>
        <v>0</v>
      </c>
      <c r="BS100" s="299">
        <f t="shared" si="49"/>
        <v>0</v>
      </c>
      <c r="BT100" s="299">
        <f t="shared" si="49"/>
        <v>0</v>
      </c>
      <c r="BU100" s="299">
        <f t="shared" si="49"/>
        <v>0</v>
      </c>
      <c r="BV100" s="299">
        <f t="shared" si="49"/>
        <v>0</v>
      </c>
      <c r="BW100" s="299">
        <f t="shared" si="49"/>
        <v>0</v>
      </c>
      <c r="BX100" s="299">
        <f t="shared" si="49"/>
        <v>0</v>
      </c>
      <c r="BY100" s="299">
        <f t="shared" si="49"/>
        <v>0</v>
      </c>
      <c r="BZ100" s="299">
        <f t="shared" si="49"/>
        <v>0</v>
      </c>
      <c r="CA100" s="299">
        <f t="shared" si="49"/>
        <v>0</v>
      </c>
      <c r="CB100" s="299">
        <f t="shared" si="49"/>
        <v>0</v>
      </c>
      <c r="CC100" s="299">
        <f t="shared" si="49"/>
        <v>0</v>
      </c>
      <c r="CD100" s="299">
        <f t="shared" si="49"/>
        <v>0</v>
      </c>
      <c r="CE100" s="299">
        <f t="shared" si="49"/>
        <v>0</v>
      </c>
      <c r="CF100" s="299">
        <f t="shared" si="49"/>
        <v>0</v>
      </c>
      <c r="CG100" s="299">
        <f t="shared" si="49"/>
        <v>0</v>
      </c>
      <c r="CH100" s="299">
        <f t="shared" si="49"/>
        <v>0</v>
      </c>
      <c r="CI100" s="299">
        <f t="shared" si="49"/>
        <v>0</v>
      </c>
      <c r="CJ100" s="299">
        <f t="shared" si="49"/>
        <v>0</v>
      </c>
      <c r="CK100" s="299">
        <f t="shared" si="49"/>
        <v>0</v>
      </c>
      <c r="CL100" s="299">
        <f t="shared" si="49"/>
        <v>0</v>
      </c>
      <c r="CM100" s="299">
        <f t="shared" si="49"/>
        <v>0</v>
      </c>
      <c r="CN100" s="299">
        <f t="shared" si="49"/>
        <v>0</v>
      </c>
      <c r="CO100" s="299">
        <f t="shared" si="49"/>
        <v>0</v>
      </c>
      <c r="CP100" s="299">
        <f t="shared" si="49"/>
        <v>0</v>
      </c>
      <c r="CQ100" s="299">
        <f t="shared" si="49"/>
        <v>0</v>
      </c>
      <c r="CR100" s="299">
        <f t="shared" si="49"/>
        <v>0</v>
      </c>
      <c r="CS100" s="299">
        <f t="shared" si="49"/>
        <v>0</v>
      </c>
      <c r="CT100" s="299">
        <f t="shared" si="49"/>
        <v>0</v>
      </c>
      <c r="CU100" s="299">
        <f t="shared" si="49"/>
        <v>0</v>
      </c>
      <c r="CV100" s="299">
        <f t="shared" si="49"/>
        <v>0</v>
      </c>
      <c r="CW100" s="299">
        <f t="shared" si="49"/>
        <v>0</v>
      </c>
      <c r="CX100" s="299">
        <f t="shared" si="49"/>
        <v>0</v>
      </c>
      <c r="CY100" s="299">
        <f t="shared" si="49"/>
        <v>0</v>
      </c>
      <c r="CZ100" s="299">
        <f t="shared" si="49"/>
        <v>0</v>
      </c>
      <c r="DA100" s="299">
        <f t="shared" si="49"/>
        <v>0</v>
      </c>
      <c r="DB100" s="299">
        <f t="shared" si="49"/>
        <v>0</v>
      </c>
      <c r="DC100" s="299">
        <f t="shared" si="49"/>
        <v>0</v>
      </c>
      <c r="DD100" s="299">
        <f t="shared" si="49"/>
        <v>0</v>
      </c>
      <c r="DE100" s="299">
        <f t="shared" si="49"/>
        <v>0</v>
      </c>
      <c r="DF100" s="299">
        <f t="shared" si="49"/>
        <v>0</v>
      </c>
      <c r="DG100" s="299">
        <f t="shared" si="49"/>
        <v>0</v>
      </c>
      <c r="DH100" s="299">
        <f t="shared" si="49"/>
        <v>0</v>
      </c>
      <c r="DI100" s="299">
        <f t="shared" si="49"/>
        <v>0</v>
      </c>
      <c r="DJ100" s="299">
        <f t="shared" si="49"/>
        <v>0</v>
      </c>
      <c r="DK100" s="299">
        <f t="shared" si="49"/>
        <v>0</v>
      </c>
      <c r="DL100" s="299">
        <f t="shared" si="49"/>
        <v>0</v>
      </c>
      <c r="DM100" s="299">
        <f t="shared" si="49"/>
        <v>0</v>
      </c>
      <c r="DN100" s="299">
        <f t="shared" si="49"/>
        <v>0</v>
      </c>
      <c r="DO100" s="299">
        <f t="shared" si="49"/>
        <v>0</v>
      </c>
      <c r="DP100" s="299">
        <f t="shared" si="49"/>
        <v>0</v>
      </c>
      <c r="DQ100" s="299">
        <f t="shared" si="49"/>
        <v>0</v>
      </c>
      <c r="DR100" s="299">
        <f t="shared" si="49"/>
        <v>0</v>
      </c>
      <c r="DS100" s="299">
        <f t="shared" si="49"/>
        <v>0</v>
      </c>
      <c r="DT100" s="299">
        <f t="shared" si="49"/>
        <v>0</v>
      </c>
      <c r="DU100" s="299">
        <f t="shared" si="49"/>
        <v>0</v>
      </c>
      <c r="DV100" s="299">
        <f t="shared" si="49"/>
        <v>0</v>
      </c>
      <c r="DW100" s="299">
        <f t="shared" si="49"/>
        <v>0</v>
      </c>
      <c r="DX100" s="299">
        <f t="shared" si="49"/>
        <v>0</v>
      </c>
      <c r="DY100" s="299">
        <f t="shared" si="49"/>
        <v>0</v>
      </c>
      <c r="DZ100" s="299">
        <f t="shared" si="49"/>
        <v>0</v>
      </c>
      <c r="EA100" s="299">
        <f t="shared" si="49"/>
        <v>0</v>
      </c>
      <c r="EB100" s="299">
        <f t="shared" si="49"/>
        <v>0</v>
      </c>
      <c r="EC100" s="299">
        <f t="shared" ref="EC100:FZ100" si="50">IF(EC$95&lt;=$B$101,IF(EC$95&lt;=$B$101,+EB100-EC99,0),0)</f>
        <v>0</v>
      </c>
      <c r="ED100" s="299">
        <f t="shared" si="50"/>
        <v>0</v>
      </c>
      <c r="EE100" s="299">
        <f t="shared" si="50"/>
        <v>0</v>
      </c>
      <c r="EF100" s="299">
        <f t="shared" si="50"/>
        <v>0</v>
      </c>
      <c r="EG100" s="299">
        <f t="shared" si="50"/>
        <v>0</v>
      </c>
      <c r="EH100" s="299">
        <f t="shared" si="50"/>
        <v>0</v>
      </c>
      <c r="EI100" s="299">
        <f t="shared" si="50"/>
        <v>0</v>
      </c>
      <c r="EJ100" s="299">
        <f t="shared" si="50"/>
        <v>0</v>
      </c>
      <c r="EK100" s="299">
        <f t="shared" si="50"/>
        <v>0</v>
      </c>
      <c r="EL100" s="299">
        <f t="shared" si="50"/>
        <v>0</v>
      </c>
      <c r="EM100" s="299">
        <f t="shared" si="50"/>
        <v>0</v>
      </c>
      <c r="EN100" s="299">
        <f t="shared" si="50"/>
        <v>0</v>
      </c>
      <c r="EO100" s="299">
        <f t="shared" si="50"/>
        <v>0</v>
      </c>
      <c r="EP100" s="299">
        <f t="shared" si="50"/>
        <v>0</v>
      </c>
      <c r="EQ100" s="299">
        <f t="shared" si="50"/>
        <v>0</v>
      </c>
      <c r="ER100" s="299">
        <f t="shared" si="50"/>
        <v>0</v>
      </c>
      <c r="ES100" s="299">
        <f t="shared" si="50"/>
        <v>0</v>
      </c>
      <c r="ET100" s="299">
        <f t="shared" si="50"/>
        <v>0</v>
      </c>
      <c r="EU100" s="299">
        <f t="shared" si="50"/>
        <v>0</v>
      </c>
      <c r="EV100" s="299">
        <f t="shared" si="50"/>
        <v>0</v>
      </c>
      <c r="EW100" s="299">
        <f t="shared" si="50"/>
        <v>0</v>
      </c>
      <c r="EX100" s="299">
        <f t="shared" si="50"/>
        <v>0</v>
      </c>
      <c r="EY100" s="299">
        <f t="shared" si="50"/>
        <v>0</v>
      </c>
      <c r="EZ100" s="299">
        <f t="shared" si="50"/>
        <v>0</v>
      </c>
      <c r="FA100" s="299">
        <f t="shared" si="50"/>
        <v>0</v>
      </c>
      <c r="FB100" s="299">
        <f t="shared" si="50"/>
        <v>0</v>
      </c>
      <c r="FC100" s="299">
        <f t="shared" si="50"/>
        <v>0</v>
      </c>
      <c r="FD100" s="299">
        <f t="shared" si="50"/>
        <v>0</v>
      </c>
      <c r="FE100" s="299">
        <f t="shared" si="50"/>
        <v>0</v>
      </c>
      <c r="FF100" s="299">
        <f t="shared" si="50"/>
        <v>0</v>
      </c>
      <c r="FG100" s="299">
        <f t="shared" si="50"/>
        <v>0</v>
      </c>
      <c r="FH100" s="299">
        <f t="shared" si="50"/>
        <v>0</v>
      </c>
      <c r="FI100" s="299">
        <f t="shared" si="50"/>
        <v>0</v>
      </c>
      <c r="FJ100" s="299">
        <f t="shared" si="50"/>
        <v>0</v>
      </c>
      <c r="FK100" s="299">
        <f t="shared" si="50"/>
        <v>0</v>
      </c>
      <c r="FL100" s="299">
        <f t="shared" si="50"/>
        <v>0</v>
      </c>
      <c r="FM100" s="299">
        <f t="shared" si="50"/>
        <v>0</v>
      </c>
      <c r="FN100" s="299">
        <f t="shared" si="50"/>
        <v>0</v>
      </c>
      <c r="FO100" s="299">
        <f t="shared" si="50"/>
        <v>0</v>
      </c>
      <c r="FP100" s="299">
        <f t="shared" si="50"/>
        <v>0</v>
      </c>
      <c r="FQ100" s="299">
        <f t="shared" si="50"/>
        <v>0</v>
      </c>
      <c r="FR100" s="299">
        <f t="shared" si="50"/>
        <v>0</v>
      </c>
      <c r="FS100" s="299">
        <f t="shared" si="50"/>
        <v>0</v>
      </c>
      <c r="FT100" s="299">
        <f t="shared" si="50"/>
        <v>0</v>
      </c>
      <c r="FU100" s="299">
        <f t="shared" si="50"/>
        <v>0</v>
      </c>
      <c r="FV100" s="299">
        <f t="shared" si="50"/>
        <v>0</v>
      </c>
      <c r="FW100" s="299">
        <f t="shared" si="50"/>
        <v>0</v>
      </c>
      <c r="FX100" s="299">
        <f t="shared" si="50"/>
        <v>0</v>
      </c>
      <c r="FY100" s="299">
        <f t="shared" si="50"/>
        <v>0</v>
      </c>
      <c r="FZ100" s="305">
        <f t="shared" si="50"/>
        <v>0</v>
      </c>
    </row>
    <row r="101" spans="1:182" x14ac:dyDescent="0.2">
      <c r="A101" s="236" t="s">
        <v>61</v>
      </c>
      <c r="B101" s="298">
        <f>IF(Inicio!$E$51="Años",Inicio!E247*12,Inicio!E247*12)</f>
        <v>0</v>
      </c>
      <c r="C101" s="230"/>
      <c r="D101" s="230"/>
      <c r="E101" s="230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  <c r="BX101" s="153"/>
      <c r="BY101" s="153"/>
      <c r="BZ101" s="153"/>
      <c r="CA101" s="153"/>
      <c r="CB101" s="153"/>
      <c r="CC101" s="153"/>
      <c r="CD101" s="153"/>
      <c r="CE101" s="153"/>
      <c r="CF101" s="153"/>
      <c r="CG101" s="153"/>
      <c r="CH101" s="153"/>
      <c r="CI101" s="153"/>
      <c r="CJ101" s="153"/>
      <c r="CK101" s="153"/>
      <c r="CL101" s="153"/>
      <c r="CM101" s="153"/>
      <c r="CN101" s="153"/>
      <c r="CO101" s="153"/>
      <c r="CP101" s="153"/>
      <c r="CQ101" s="153"/>
      <c r="CR101" s="153"/>
      <c r="CS101" s="153"/>
      <c r="CT101" s="153"/>
      <c r="CU101" s="153"/>
      <c r="CV101" s="153"/>
      <c r="CW101" s="153"/>
      <c r="CX101" s="153"/>
      <c r="CY101" s="153"/>
      <c r="CZ101" s="153"/>
      <c r="DA101" s="153"/>
      <c r="DB101" s="153"/>
      <c r="DC101" s="153"/>
      <c r="DD101" s="153"/>
      <c r="DE101" s="153"/>
      <c r="DF101" s="153"/>
      <c r="DG101" s="153"/>
      <c r="DH101" s="153"/>
      <c r="DI101" s="153"/>
      <c r="DJ101" s="153"/>
      <c r="DK101" s="153"/>
      <c r="DL101" s="153"/>
      <c r="DM101" s="153"/>
      <c r="DN101" s="153"/>
      <c r="DO101" s="153"/>
      <c r="DP101" s="153"/>
      <c r="DQ101" s="153"/>
      <c r="DR101" s="153"/>
      <c r="DS101" s="153"/>
      <c r="DT101" s="153"/>
      <c r="DU101" s="153"/>
      <c r="DV101" s="153"/>
      <c r="DW101" s="153"/>
      <c r="DX101" s="153"/>
      <c r="DY101" s="153"/>
      <c r="DZ101" s="153"/>
      <c r="EA101" s="153"/>
      <c r="EB101" s="153"/>
      <c r="EC101" s="153"/>
      <c r="ED101" s="153"/>
      <c r="EE101" s="153"/>
      <c r="EF101" s="153"/>
      <c r="EG101" s="153"/>
      <c r="EH101" s="153"/>
      <c r="EI101" s="153"/>
      <c r="EJ101" s="153"/>
      <c r="EK101" s="153"/>
      <c r="EL101" s="153"/>
      <c r="EM101" s="153"/>
      <c r="EN101" s="153"/>
      <c r="EO101" s="153"/>
      <c r="EP101" s="153"/>
      <c r="EQ101" s="153"/>
      <c r="ER101" s="153"/>
      <c r="ES101" s="153"/>
      <c r="ET101" s="153"/>
      <c r="EU101" s="153"/>
      <c r="EV101" s="153"/>
      <c r="EW101" s="153"/>
      <c r="EX101" s="153"/>
      <c r="EY101" s="153"/>
      <c r="EZ101" s="153"/>
      <c r="FA101" s="153"/>
      <c r="FB101" s="153"/>
      <c r="FC101" s="153"/>
      <c r="FD101" s="153"/>
      <c r="FE101" s="153"/>
      <c r="FF101" s="153"/>
      <c r="FG101" s="153"/>
      <c r="FH101" s="153"/>
      <c r="FI101" s="153"/>
      <c r="FJ101" s="153"/>
      <c r="FK101" s="153"/>
      <c r="FL101" s="153"/>
      <c r="FM101" s="153"/>
      <c r="FN101" s="153"/>
      <c r="FO101" s="153"/>
      <c r="FP101" s="153"/>
      <c r="FQ101" s="153"/>
      <c r="FR101" s="153"/>
      <c r="FS101" s="153"/>
      <c r="FT101" s="153"/>
      <c r="FU101" s="153"/>
      <c r="FV101" s="153"/>
      <c r="FW101" s="153"/>
      <c r="FX101" s="153"/>
      <c r="FY101" s="153"/>
      <c r="FZ101" s="153"/>
    </row>
    <row r="102" spans="1:182" x14ac:dyDescent="0.2">
      <c r="A102" s="236" t="s">
        <v>256</v>
      </c>
      <c r="B102" s="300" t="e">
        <f>(B97*(B98/(1-(+POWER((1+B98),-B101)))))/(1+B98)</f>
        <v>#DIV/0!</v>
      </c>
      <c r="C102" s="301" t="s">
        <v>1</v>
      </c>
      <c r="D102" s="301" t="s">
        <v>1</v>
      </c>
      <c r="E102" s="301" t="s">
        <v>1</v>
      </c>
      <c r="F102" s="301" t="s">
        <v>1</v>
      </c>
      <c r="G102" s="301" t="s">
        <v>1</v>
      </c>
      <c r="H102" s="230"/>
      <c r="I102" s="230"/>
      <c r="J102" s="230"/>
      <c r="K102" s="230"/>
      <c r="L102" s="230"/>
      <c r="M102" s="230"/>
      <c r="N102" s="230"/>
      <c r="O102" s="230"/>
      <c r="P102" s="230"/>
      <c r="Q102" s="230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  <c r="CH102" s="153"/>
      <c r="CI102" s="153"/>
      <c r="CJ102" s="153"/>
      <c r="CK102" s="153"/>
      <c r="CL102" s="153"/>
      <c r="CM102" s="153"/>
      <c r="CN102" s="153"/>
      <c r="CO102" s="153"/>
      <c r="CP102" s="153"/>
      <c r="CQ102" s="153"/>
      <c r="CR102" s="153"/>
      <c r="CS102" s="153"/>
      <c r="CT102" s="153"/>
      <c r="CU102" s="153"/>
      <c r="CV102" s="153"/>
      <c r="CW102" s="153"/>
      <c r="CX102" s="153"/>
      <c r="CY102" s="153"/>
      <c r="CZ102" s="153"/>
      <c r="DA102" s="153"/>
      <c r="DB102" s="153"/>
      <c r="DC102" s="153"/>
      <c r="DD102" s="153"/>
      <c r="DE102" s="153"/>
      <c r="DF102" s="153"/>
      <c r="DG102" s="153"/>
      <c r="DH102" s="153"/>
      <c r="DI102" s="153"/>
      <c r="DJ102" s="153"/>
      <c r="DK102" s="153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 s="153"/>
      <c r="DW102" s="153"/>
      <c r="DX102" s="153"/>
      <c r="DY102" s="153"/>
      <c r="DZ102" s="153"/>
      <c r="EA102" s="153"/>
      <c r="EB102" s="153"/>
      <c r="EC102" s="153"/>
      <c r="ED102" s="153"/>
      <c r="EE102" s="153"/>
      <c r="EF102" s="153"/>
      <c r="EG102" s="153"/>
      <c r="EH102" s="153"/>
      <c r="EI102" s="153"/>
      <c r="EJ102" s="153"/>
      <c r="EK102" s="153"/>
      <c r="EL102" s="153"/>
      <c r="EM102" s="153"/>
      <c r="EN102" s="153"/>
      <c r="EO102" s="153"/>
      <c r="EP102" s="153"/>
      <c r="EQ102" s="153"/>
      <c r="ER102" s="153"/>
      <c r="ES102" s="153"/>
      <c r="ET102" s="153"/>
      <c r="EU102" s="153"/>
      <c r="EV102" s="153"/>
      <c r="EW102" s="153"/>
      <c r="EX102" s="153"/>
      <c r="EY102" s="153"/>
      <c r="EZ102" s="153"/>
      <c r="FA102" s="153"/>
      <c r="FB102" s="153"/>
      <c r="FC102" s="153"/>
      <c r="FD102" s="153"/>
      <c r="FE102" s="153"/>
      <c r="FF102" s="153"/>
      <c r="FG102" s="153"/>
      <c r="FH102" s="153"/>
      <c r="FI102" s="153"/>
      <c r="FJ102" s="153"/>
      <c r="FK102" s="153"/>
      <c r="FL102" s="153"/>
      <c r="FM102" s="153"/>
      <c r="FN102" s="153"/>
      <c r="FO102" s="153"/>
      <c r="FP102" s="153"/>
      <c r="FQ102" s="153"/>
      <c r="FR102" s="153"/>
      <c r="FS102" s="153"/>
      <c r="FT102" s="153"/>
      <c r="FU102" s="153"/>
      <c r="FV102" s="153"/>
      <c r="FW102" s="153"/>
      <c r="FX102" s="153"/>
      <c r="FY102" s="153"/>
      <c r="FZ102" s="153"/>
    </row>
    <row r="103" spans="1:182" ht="13.5" thickBot="1" x14ac:dyDescent="0.25">
      <c r="A103" s="302" t="s">
        <v>257</v>
      </c>
      <c r="B103" s="303" t="e">
        <f>B97*(B98/(1-(+POWER((1+B98),-B101))))</f>
        <v>#DIV/0!</v>
      </c>
      <c r="C103" s="230"/>
      <c r="D103" s="230"/>
      <c r="E103" s="230"/>
      <c r="F103" s="230"/>
      <c r="G103" s="230"/>
      <c r="H103" s="230"/>
      <c r="I103" s="230"/>
      <c r="J103" s="230"/>
      <c r="K103" s="230"/>
      <c r="L103" s="230"/>
      <c r="M103" s="230"/>
      <c r="N103" s="230"/>
      <c r="O103" s="230"/>
      <c r="P103" s="230"/>
      <c r="Q103" s="230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3"/>
      <c r="CH103" s="153"/>
      <c r="CI103" s="153"/>
      <c r="CJ103" s="153"/>
      <c r="CK103" s="153"/>
      <c r="CL103" s="153"/>
      <c r="CM103" s="153"/>
      <c r="CN103" s="153"/>
      <c r="CO103" s="153"/>
      <c r="CP103" s="153"/>
      <c r="CQ103" s="153"/>
      <c r="CR103" s="153"/>
      <c r="CS103" s="153"/>
      <c r="CT103" s="153"/>
      <c r="CU103" s="153"/>
      <c r="CV103" s="153"/>
      <c r="CW103" s="153"/>
      <c r="CX103" s="153"/>
      <c r="CY103" s="153"/>
      <c r="CZ103" s="153"/>
      <c r="DA103" s="153"/>
      <c r="DB103" s="153"/>
      <c r="DC103" s="153"/>
      <c r="DD103" s="153"/>
      <c r="DE103" s="153"/>
      <c r="DF103" s="153"/>
      <c r="DG103" s="153"/>
      <c r="DH103" s="153"/>
      <c r="DI103" s="153"/>
      <c r="DJ103" s="153"/>
      <c r="DK103" s="153"/>
      <c r="DL103" s="153"/>
      <c r="DM103" s="153"/>
      <c r="DN103" s="153"/>
      <c r="DO103" s="153"/>
      <c r="DP103" s="153"/>
      <c r="DQ103" s="153"/>
      <c r="DR103" s="153"/>
      <c r="DS103" s="153"/>
      <c r="DT103" s="153"/>
      <c r="DU103" s="153"/>
      <c r="DV103" s="153"/>
      <c r="DW103" s="153"/>
      <c r="DX103" s="153"/>
      <c r="DY103" s="153"/>
      <c r="DZ103" s="153"/>
      <c r="EA103" s="153"/>
      <c r="EB103" s="153"/>
      <c r="EC103" s="153"/>
      <c r="ED103" s="153"/>
      <c r="EE103" s="153"/>
      <c r="EF103" s="153"/>
      <c r="EG103" s="153"/>
      <c r="EH103" s="153"/>
      <c r="EI103" s="153"/>
      <c r="EJ103" s="153"/>
      <c r="EK103" s="153"/>
      <c r="EL103" s="153"/>
      <c r="EM103" s="153"/>
      <c r="EN103" s="153"/>
      <c r="EO103" s="153"/>
      <c r="EP103" s="153"/>
      <c r="EQ103" s="153"/>
      <c r="ER103" s="153"/>
      <c r="ES103" s="153"/>
      <c r="ET103" s="153"/>
      <c r="EU103" s="153"/>
      <c r="EV103" s="153"/>
      <c r="EW103" s="153"/>
      <c r="EX103" s="153"/>
      <c r="EY103" s="153"/>
      <c r="EZ103" s="153"/>
      <c r="FA103" s="153"/>
      <c r="FB103" s="153"/>
      <c r="FC103" s="153"/>
      <c r="FD103" s="153"/>
      <c r="FE103" s="153"/>
      <c r="FF103" s="153"/>
      <c r="FG103" s="153"/>
      <c r="FH103" s="153"/>
      <c r="FI103" s="153"/>
      <c r="FJ103" s="153"/>
      <c r="FK103" s="153"/>
      <c r="FL103" s="153"/>
      <c r="FM103" s="153"/>
      <c r="FN103" s="153"/>
      <c r="FO103" s="153"/>
      <c r="FP103" s="153"/>
      <c r="FQ103" s="153"/>
      <c r="FR103" s="153"/>
      <c r="FS103" s="153"/>
      <c r="FT103" s="153"/>
      <c r="FU103" s="153"/>
      <c r="FV103" s="153"/>
      <c r="FW103" s="153"/>
      <c r="FX103" s="153"/>
      <c r="FY103" s="153"/>
      <c r="FZ103" s="153"/>
    </row>
    <row r="104" spans="1:182" x14ac:dyDescent="0.2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  <c r="CL104" s="153"/>
      <c r="CM104" s="153"/>
      <c r="CN104" s="153"/>
      <c r="CO104" s="153"/>
      <c r="CP104" s="153"/>
      <c r="CQ104" s="153"/>
      <c r="CR104" s="153"/>
      <c r="CS104" s="153"/>
      <c r="CT104" s="153"/>
      <c r="CU104" s="153"/>
      <c r="CV104" s="153"/>
      <c r="CW104" s="153"/>
      <c r="CX104" s="153"/>
      <c r="CY104" s="153"/>
      <c r="CZ104" s="153"/>
      <c r="DA104" s="153"/>
      <c r="DB104" s="153"/>
      <c r="DC104" s="153"/>
      <c r="DD104" s="153"/>
      <c r="DE104" s="153"/>
      <c r="DF104" s="153"/>
      <c r="DG104" s="153"/>
      <c r="DH104" s="153"/>
      <c r="DI104" s="153"/>
      <c r="DJ104" s="153"/>
      <c r="DK104" s="153"/>
      <c r="DL104" s="153"/>
      <c r="DM104" s="153"/>
      <c r="DN104" s="153"/>
      <c r="DO104" s="153"/>
      <c r="DP104" s="153"/>
      <c r="DQ104" s="153"/>
      <c r="DR104" s="153"/>
      <c r="DS104" s="153"/>
      <c r="DT104" s="153"/>
      <c r="DU104" s="153"/>
      <c r="DV104" s="153"/>
      <c r="DW104" s="153"/>
      <c r="DX104" s="153"/>
      <c r="DY104" s="153"/>
      <c r="DZ104" s="153"/>
      <c r="EA104" s="153"/>
      <c r="EB104" s="153"/>
      <c r="EC104" s="153"/>
      <c r="ED104" s="153"/>
      <c r="EE104" s="153"/>
      <c r="EF104" s="153"/>
      <c r="EG104" s="153"/>
      <c r="EH104" s="153"/>
      <c r="EI104" s="153"/>
      <c r="EJ104" s="153"/>
      <c r="EK104" s="153"/>
      <c r="EL104" s="153"/>
      <c r="EM104" s="153"/>
      <c r="EN104" s="153"/>
      <c r="EO104" s="153"/>
      <c r="EP104" s="153"/>
      <c r="EQ104" s="153"/>
      <c r="ER104" s="153"/>
      <c r="ES104" s="153"/>
      <c r="ET104" s="153"/>
      <c r="EU104" s="153"/>
      <c r="EV104" s="153"/>
      <c r="EW104" s="153"/>
      <c r="EX104" s="153"/>
      <c r="EY104" s="153"/>
      <c r="EZ104" s="153"/>
      <c r="FA104" s="153"/>
      <c r="FB104" s="153"/>
      <c r="FC104" s="153"/>
      <c r="FD104" s="153"/>
      <c r="FE104" s="153"/>
      <c r="FF104" s="153"/>
      <c r="FG104" s="153"/>
      <c r="FH104" s="153"/>
      <c r="FI104" s="153"/>
      <c r="FJ104" s="153"/>
      <c r="FK104" s="153"/>
      <c r="FL104" s="153"/>
      <c r="FM104" s="153"/>
      <c r="FN104" s="153"/>
      <c r="FO104" s="153"/>
      <c r="FP104" s="153"/>
      <c r="FQ104" s="153"/>
      <c r="FR104" s="153"/>
      <c r="FS104" s="153"/>
      <c r="FT104" s="153"/>
      <c r="FU104" s="153"/>
      <c r="FV104" s="153"/>
      <c r="FW104" s="153"/>
      <c r="FX104" s="153"/>
      <c r="FY104" s="153"/>
      <c r="FZ104" s="153"/>
    </row>
    <row r="105" spans="1:182" x14ac:dyDescent="0.2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  <c r="BX105" s="153"/>
      <c r="BY105" s="153"/>
      <c r="BZ105" s="153"/>
      <c r="CA105" s="153"/>
      <c r="CB105" s="153"/>
      <c r="CC105" s="153"/>
      <c r="CD105" s="153"/>
      <c r="CE105" s="153"/>
      <c r="CF105" s="153"/>
      <c r="CG105" s="153"/>
      <c r="CH105" s="153"/>
      <c r="CI105" s="153"/>
      <c r="CJ105" s="153"/>
      <c r="CK105" s="153"/>
      <c r="CL105" s="153"/>
      <c r="CM105" s="153"/>
      <c r="CN105" s="153"/>
      <c r="CO105" s="153"/>
      <c r="CP105" s="153"/>
      <c r="CQ105" s="153"/>
      <c r="CR105" s="153"/>
      <c r="CS105" s="153"/>
      <c r="CT105" s="153"/>
      <c r="CU105" s="153"/>
      <c r="CV105" s="153"/>
      <c r="CW105" s="153"/>
      <c r="CX105" s="153"/>
      <c r="CY105" s="153"/>
      <c r="CZ105" s="153"/>
      <c r="DA105" s="153"/>
      <c r="DB105" s="153"/>
      <c r="DC105" s="153"/>
      <c r="DD105" s="153"/>
      <c r="DE105" s="153"/>
      <c r="DF105" s="153"/>
      <c r="DG105" s="153"/>
      <c r="DH105" s="153"/>
      <c r="DI105" s="153"/>
      <c r="DJ105" s="153"/>
      <c r="DK105" s="153"/>
      <c r="DL105" s="153"/>
      <c r="DM105" s="153"/>
      <c r="DN105" s="153"/>
      <c r="DO105" s="153"/>
      <c r="DP105" s="153"/>
      <c r="DQ105" s="153"/>
      <c r="DR105" s="153"/>
      <c r="DS105" s="153"/>
      <c r="DT105" s="153"/>
      <c r="DU105" s="153"/>
      <c r="DV105" s="153"/>
      <c r="DW105" s="153"/>
      <c r="DX105" s="153"/>
      <c r="DY105" s="153"/>
      <c r="DZ105" s="153"/>
      <c r="EA105" s="153"/>
      <c r="EB105" s="153"/>
      <c r="EC105" s="153"/>
      <c r="ED105" s="153"/>
      <c r="EE105" s="153"/>
      <c r="EF105" s="153"/>
      <c r="EG105" s="153"/>
      <c r="EH105" s="153"/>
      <c r="EI105" s="153"/>
      <c r="EJ105" s="153"/>
      <c r="EK105" s="153"/>
      <c r="EL105" s="153"/>
      <c r="EM105" s="153"/>
      <c r="EN105" s="153"/>
      <c r="EO105" s="153"/>
      <c r="EP105" s="153"/>
      <c r="EQ105" s="153"/>
      <c r="ER105" s="153"/>
      <c r="ES105" s="153"/>
      <c r="ET105" s="153"/>
      <c r="EU105" s="153"/>
      <c r="EV105" s="153"/>
      <c r="EW105" s="153"/>
      <c r="EX105" s="153"/>
      <c r="EY105" s="153"/>
      <c r="EZ105" s="153"/>
      <c r="FA105" s="153"/>
      <c r="FB105" s="153"/>
      <c r="FC105" s="153"/>
      <c r="FD105" s="153"/>
      <c r="FE105" s="153"/>
      <c r="FF105" s="153"/>
      <c r="FG105" s="153"/>
      <c r="FH105" s="153"/>
      <c r="FI105" s="153"/>
      <c r="FJ105" s="153"/>
      <c r="FK105" s="153"/>
      <c r="FL105" s="153"/>
      <c r="FM105" s="153"/>
      <c r="FN105" s="153"/>
      <c r="FO105" s="153"/>
      <c r="FP105" s="153"/>
      <c r="FQ105" s="153"/>
      <c r="FR105" s="153"/>
      <c r="FS105" s="153"/>
      <c r="FT105" s="153"/>
      <c r="FU105" s="153"/>
      <c r="FV105" s="153"/>
      <c r="FW105" s="153"/>
      <c r="FX105" s="153"/>
      <c r="FY105" s="153"/>
      <c r="FZ105" s="153"/>
    </row>
    <row r="106" spans="1:182" x14ac:dyDescent="0.2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  <c r="CH106" s="153"/>
      <c r="CI106" s="153"/>
      <c r="CJ106" s="153"/>
      <c r="CK106" s="153"/>
      <c r="CL106" s="153"/>
      <c r="CM106" s="153"/>
      <c r="CN106" s="153"/>
      <c r="CO106" s="153"/>
      <c r="CP106" s="153"/>
      <c r="CQ106" s="153"/>
      <c r="CR106" s="153"/>
      <c r="CS106" s="153"/>
      <c r="CT106" s="153"/>
      <c r="CU106" s="153"/>
      <c r="CV106" s="153"/>
      <c r="CW106" s="153"/>
      <c r="CX106" s="153"/>
      <c r="CY106" s="153"/>
      <c r="CZ106" s="153"/>
      <c r="DA106" s="153"/>
      <c r="DB106" s="153"/>
      <c r="DC106" s="153"/>
      <c r="DD106" s="153"/>
      <c r="DE106" s="153"/>
      <c r="DF106" s="153"/>
      <c r="DG106" s="153"/>
      <c r="DH106" s="153"/>
      <c r="DI106" s="153"/>
      <c r="DJ106" s="153"/>
      <c r="DK106" s="153"/>
      <c r="DL106" s="153"/>
      <c r="DM106" s="153"/>
      <c r="DN106" s="153"/>
      <c r="DO106" s="153"/>
      <c r="DP106" s="153"/>
      <c r="DQ106" s="153"/>
      <c r="DR106" s="153"/>
      <c r="DS106" s="153"/>
      <c r="DT106" s="153"/>
      <c r="DU106" s="153"/>
      <c r="DV106" s="153"/>
      <c r="DW106" s="153"/>
      <c r="DX106" s="153"/>
      <c r="DY106" s="153"/>
      <c r="DZ106" s="153"/>
      <c r="EA106" s="153"/>
      <c r="EB106" s="153"/>
      <c r="EC106" s="153"/>
      <c r="ED106" s="153"/>
      <c r="EE106" s="153"/>
      <c r="EF106" s="153"/>
      <c r="EG106" s="153"/>
      <c r="EH106" s="153"/>
      <c r="EI106" s="153"/>
      <c r="EJ106" s="153"/>
      <c r="EK106" s="153"/>
      <c r="EL106" s="153"/>
      <c r="EM106" s="153"/>
      <c r="EN106" s="153"/>
      <c r="EO106" s="153"/>
      <c r="EP106" s="153"/>
      <c r="EQ106" s="153"/>
      <c r="ER106" s="153"/>
      <c r="ES106" s="153"/>
      <c r="ET106" s="153"/>
      <c r="EU106" s="153"/>
      <c r="EV106" s="153"/>
      <c r="EW106" s="153"/>
      <c r="EX106" s="153"/>
      <c r="EY106" s="153"/>
      <c r="EZ106" s="153"/>
      <c r="FA106" s="153"/>
      <c r="FB106" s="153"/>
      <c r="FC106" s="153"/>
      <c r="FD106" s="153"/>
      <c r="FE106" s="153"/>
      <c r="FF106" s="153"/>
      <c r="FG106" s="153"/>
      <c r="FH106" s="153"/>
      <c r="FI106" s="153"/>
      <c r="FJ106" s="153"/>
      <c r="FK106" s="153"/>
      <c r="FL106" s="153"/>
      <c r="FM106" s="153"/>
      <c r="FN106" s="153"/>
      <c r="FO106" s="153"/>
      <c r="FP106" s="153"/>
      <c r="FQ106" s="153"/>
      <c r="FR106" s="153"/>
      <c r="FS106" s="153"/>
      <c r="FT106" s="153"/>
      <c r="FU106" s="153"/>
      <c r="FV106" s="153"/>
      <c r="FW106" s="153"/>
      <c r="FX106" s="153"/>
      <c r="FY106" s="153"/>
      <c r="FZ106" s="153"/>
    </row>
    <row r="107" spans="1:182" x14ac:dyDescent="0.2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  <c r="CH107" s="153"/>
      <c r="CI107" s="153"/>
      <c r="CJ107" s="153"/>
      <c r="CK107" s="153"/>
      <c r="CL107" s="153"/>
      <c r="CM107" s="153"/>
      <c r="CN107" s="153"/>
      <c r="CO107" s="153"/>
      <c r="CP107" s="153"/>
      <c r="CQ107" s="153"/>
      <c r="CR107" s="153"/>
      <c r="CS107" s="153"/>
      <c r="CT107" s="153"/>
      <c r="CU107" s="153"/>
      <c r="CV107" s="153"/>
      <c r="CW107" s="153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53"/>
      <c r="DI107" s="153"/>
      <c r="DJ107" s="153"/>
      <c r="DK107" s="153"/>
      <c r="DL107" s="153"/>
      <c r="DM107" s="153"/>
      <c r="DN107" s="153"/>
      <c r="DO107" s="153"/>
      <c r="DP107" s="153"/>
      <c r="DQ107" s="153"/>
      <c r="DR107" s="153"/>
      <c r="DS107" s="153"/>
      <c r="DT107" s="153"/>
      <c r="DU107" s="153"/>
      <c r="DV107" s="153"/>
      <c r="DW107" s="153"/>
      <c r="DX107" s="153"/>
      <c r="DY107" s="153"/>
      <c r="DZ107" s="153"/>
      <c r="EA107" s="153"/>
      <c r="EB107" s="153"/>
      <c r="EC107" s="153"/>
      <c r="ED107" s="153"/>
      <c r="EE107" s="153"/>
      <c r="EF107" s="153"/>
      <c r="EG107" s="153"/>
      <c r="EH107" s="153"/>
      <c r="EI107" s="153"/>
      <c r="EJ107" s="153"/>
      <c r="EK107" s="153"/>
      <c r="EL107" s="153"/>
      <c r="EM107" s="153"/>
      <c r="EN107" s="153"/>
      <c r="EO107" s="153"/>
      <c r="EP107" s="153"/>
      <c r="EQ107" s="153"/>
      <c r="ER107" s="153"/>
      <c r="ES107" s="153"/>
      <c r="ET107" s="153"/>
      <c r="EU107" s="153"/>
      <c r="EV107" s="153"/>
      <c r="EW107" s="153"/>
      <c r="EX107" s="153"/>
      <c r="EY107" s="153"/>
      <c r="EZ107" s="153"/>
      <c r="FA107" s="153"/>
      <c r="FB107" s="153"/>
      <c r="FC107" s="153"/>
      <c r="FD107" s="153"/>
      <c r="FE107" s="153"/>
      <c r="FF107" s="153"/>
      <c r="FG107" s="153"/>
      <c r="FH107" s="153"/>
      <c r="FI107" s="153"/>
      <c r="FJ107" s="153"/>
      <c r="FK107" s="153"/>
      <c r="FL107" s="153"/>
      <c r="FM107" s="153"/>
      <c r="FN107" s="153"/>
      <c r="FO107" s="153"/>
      <c r="FP107" s="153"/>
      <c r="FQ107" s="153"/>
      <c r="FR107" s="153"/>
      <c r="FS107" s="153"/>
      <c r="FT107" s="153"/>
      <c r="FU107" s="153"/>
      <c r="FV107" s="153"/>
      <c r="FW107" s="153"/>
      <c r="FX107" s="153"/>
      <c r="FY107" s="153"/>
      <c r="FZ107" s="153"/>
    </row>
    <row r="108" spans="1:182" x14ac:dyDescent="0.2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153"/>
      <c r="CB108" s="153"/>
      <c r="CC108" s="153"/>
      <c r="CD108" s="153"/>
      <c r="CE108" s="153"/>
      <c r="CF108" s="153"/>
      <c r="CG108" s="153"/>
      <c r="CH108" s="153"/>
      <c r="CI108" s="153"/>
      <c r="CJ108" s="153"/>
      <c r="CK108" s="153"/>
      <c r="CL108" s="153"/>
      <c r="CM108" s="153"/>
      <c r="CN108" s="153"/>
      <c r="CO108" s="153"/>
      <c r="CP108" s="153"/>
      <c r="CQ108" s="153"/>
      <c r="CR108" s="153"/>
      <c r="CS108" s="153"/>
      <c r="CT108" s="153"/>
      <c r="CU108" s="153"/>
      <c r="CV108" s="153"/>
      <c r="CW108" s="153"/>
      <c r="CX108" s="153"/>
      <c r="CY108" s="153"/>
      <c r="CZ108" s="153"/>
      <c r="DA108" s="153"/>
      <c r="DB108" s="153"/>
      <c r="DC108" s="153"/>
      <c r="DD108" s="153"/>
      <c r="DE108" s="153"/>
      <c r="DF108" s="153"/>
      <c r="DG108" s="153"/>
      <c r="DH108" s="153"/>
      <c r="DI108" s="153"/>
      <c r="DJ108" s="153"/>
      <c r="DK108" s="153"/>
      <c r="DL108" s="153"/>
      <c r="DM108" s="153"/>
      <c r="DN108" s="153"/>
      <c r="DO108" s="153"/>
      <c r="DP108" s="153"/>
      <c r="DQ108" s="153"/>
      <c r="DR108" s="153"/>
      <c r="DS108" s="153"/>
      <c r="DT108" s="153"/>
      <c r="DU108" s="153"/>
      <c r="DV108" s="153"/>
      <c r="DW108" s="153"/>
      <c r="DX108" s="153"/>
      <c r="DY108" s="153"/>
      <c r="DZ108" s="153"/>
      <c r="EA108" s="153"/>
      <c r="EB108" s="153"/>
      <c r="EC108" s="153"/>
      <c r="ED108" s="153"/>
      <c r="EE108" s="153"/>
      <c r="EF108" s="153"/>
      <c r="EG108" s="153"/>
      <c r="EH108" s="153"/>
      <c r="EI108" s="153"/>
      <c r="EJ108" s="153"/>
      <c r="EK108" s="153"/>
      <c r="EL108" s="153"/>
      <c r="EM108" s="153"/>
      <c r="EN108" s="153"/>
      <c r="EO108" s="153"/>
      <c r="EP108" s="153"/>
      <c r="EQ108" s="153"/>
      <c r="ER108" s="153"/>
      <c r="ES108" s="153"/>
      <c r="ET108" s="153"/>
      <c r="EU108" s="153"/>
      <c r="EV108" s="153"/>
      <c r="EW108" s="153"/>
      <c r="EX108" s="153"/>
      <c r="EY108" s="153"/>
      <c r="EZ108" s="153"/>
      <c r="FA108" s="153"/>
      <c r="FB108" s="153"/>
      <c r="FC108" s="153"/>
      <c r="FD108" s="153"/>
      <c r="FE108" s="153"/>
      <c r="FF108" s="153"/>
      <c r="FG108" s="153"/>
      <c r="FH108" s="153"/>
      <c r="FI108" s="153"/>
      <c r="FJ108" s="153"/>
      <c r="FK108" s="153"/>
      <c r="FL108" s="153"/>
      <c r="FM108" s="153"/>
      <c r="FN108" s="153"/>
      <c r="FO108" s="153"/>
      <c r="FP108" s="153"/>
      <c r="FQ108" s="153"/>
      <c r="FR108" s="153"/>
      <c r="FS108" s="153"/>
      <c r="FT108" s="153"/>
      <c r="FU108" s="153"/>
      <c r="FV108" s="153"/>
      <c r="FW108" s="153"/>
      <c r="FX108" s="153"/>
      <c r="FY108" s="153"/>
      <c r="FZ108" s="153"/>
    </row>
    <row r="109" spans="1:182" x14ac:dyDescent="0.2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  <c r="CH109" s="153"/>
      <c r="CI109" s="153"/>
      <c r="CJ109" s="153"/>
      <c r="CK109" s="153"/>
      <c r="CL109" s="153"/>
      <c r="CM109" s="153"/>
      <c r="CN109" s="153"/>
      <c r="CO109" s="153"/>
      <c r="CP109" s="153"/>
      <c r="CQ109" s="153"/>
      <c r="CR109" s="153"/>
      <c r="CS109" s="153"/>
      <c r="CT109" s="153"/>
      <c r="CU109" s="153"/>
      <c r="CV109" s="153"/>
      <c r="CW109" s="153"/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53"/>
      <c r="DI109" s="153"/>
      <c r="DJ109" s="153"/>
      <c r="DK109" s="153"/>
      <c r="DL109" s="153"/>
      <c r="DM109" s="153"/>
      <c r="DN109" s="153"/>
      <c r="DO109" s="153"/>
      <c r="DP109" s="153"/>
      <c r="DQ109" s="153"/>
      <c r="DR109" s="153"/>
      <c r="DS109" s="153"/>
      <c r="DT109" s="153"/>
      <c r="DU109" s="153"/>
      <c r="DV109" s="153"/>
      <c r="DW109" s="153"/>
      <c r="DX109" s="153"/>
      <c r="DY109" s="153"/>
      <c r="DZ109" s="153"/>
      <c r="EA109" s="153"/>
      <c r="EB109" s="153"/>
      <c r="EC109" s="153"/>
      <c r="ED109" s="153"/>
      <c r="EE109" s="153"/>
      <c r="EF109" s="153"/>
      <c r="EG109" s="153"/>
      <c r="EH109" s="153"/>
      <c r="EI109" s="153"/>
      <c r="EJ109" s="153"/>
      <c r="EK109" s="153"/>
      <c r="EL109" s="153"/>
      <c r="EM109" s="153"/>
      <c r="EN109" s="153"/>
      <c r="EO109" s="153"/>
      <c r="EP109" s="153"/>
      <c r="EQ109" s="153"/>
      <c r="ER109" s="153"/>
      <c r="ES109" s="153"/>
      <c r="ET109" s="153"/>
      <c r="EU109" s="153"/>
      <c r="EV109" s="153"/>
      <c r="EW109" s="153"/>
      <c r="EX109" s="153"/>
      <c r="EY109" s="153"/>
      <c r="EZ109" s="153"/>
      <c r="FA109" s="153"/>
      <c r="FB109" s="153"/>
      <c r="FC109" s="153"/>
      <c r="FD109" s="153"/>
      <c r="FE109" s="153"/>
      <c r="FF109" s="153"/>
      <c r="FG109" s="153"/>
      <c r="FH109" s="153"/>
      <c r="FI109" s="153"/>
      <c r="FJ109" s="153"/>
      <c r="FK109" s="153"/>
      <c r="FL109" s="153"/>
      <c r="FM109" s="153"/>
      <c r="FN109" s="153"/>
      <c r="FO109" s="153"/>
      <c r="FP109" s="153"/>
      <c r="FQ109" s="153"/>
      <c r="FR109" s="153"/>
      <c r="FS109" s="153"/>
      <c r="FT109" s="153"/>
      <c r="FU109" s="153"/>
      <c r="FV109" s="153"/>
      <c r="FW109" s="153"/>
      <c r="FX109" s="153"/>
      <c r="FY109" s="153"/>
      <c r="FZ109" s="153"/>
    </row>
    <row r="110" spans="1:182" x14ac:dyDescent="0.2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3"/>
      <c r="DS110" s="153"/>
      <c r="DT110" s="153"/>
      <c r="DU110" s="153"/>
      <c r="DV110" s="153"/>
      <c r="DW110" s="153"/>
      <c r="DX110" s="153"/>
      <c r="DY110" s="153"/>
      <c r="DZ110" s="153"/>
      <c r="EA110" s="153"/>
      <c r="EB110" s="153"/>
      <c r="EC110" s="153"/>
      <c r="ED110" s="153"/>
      <c r="EE110" s="153"/>
      <c r="EF110" s="153"/>
      <c r="EG110" s="153"/>
      <c r="EH110" s="153"/>
      <c r="EI110" s="153"/>
      <c r="EJ110" s="153"/>
      <c r="EK110" s="153"/>
      <c r="EL110" s="153"/>
      <c r="EM110" s="153"/>
      <c r="EN110" s="153"/>
      <c r="EO110" s="153"/>
      <c r="EP110" s="153"/>
      <c r="EQ110" s="153"/>
      <c r="ER110" s="153"/>
      <c r="ES110" s="153"/>
      <c r="ET110" s="153"/>
      <c r="EU110" s="153"/>
      <c r="EV110" s="153"/>
      <c r="EW110" s="153"/>
      <c r="EX110" s="153"/>
      <c r="EY110" s="153"/>
      <c r="EZ110" s="153"/>
      <c r="FA110" s="153"/>
      <c r="FB110" s="153"/>
      <c r="FC110" s="153"/>
      <c r="FD110" s="153"/>
      <c r="FE110" s="153"/>
      <c r="FF110" s="153"/>
      <c r="FG110" s="153"/>
      <c r="FH110" s="153"/>
      <c r="FI110" s="153"/>
      <c r="FJ110" s="153"/>
      <c r="FK110" s="153"/>
      <c r="FL110" s="153"/>
      <c r="FM110" s="153"/>
      <c r="FN110" s="153"/>
      <c r="FO110" s="153"/>
      <c r="FP110" s="153"/>
      <c r="FQ110" s="153"/>
      <c r="FR110" s="153"/>
      <c r="FS110" s="153"/>
      <c r="FT110" s="153"/>
      <c r="FU110" s="153"/>
      <c r="FV110" s="153"/>
      <c r="FW110" s="153"/>
      <c r="FX110" s="153"/>
      <c r="FY110" s="153"/>
      <c r="FZ110" s="153"/>
    </row>
    <row r="111" spans="1:182" x14ac:dyDescent="0.2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53"/>
      <c r="BQ111" s="153"/>
      <c r="BR111" s="153"/>
      <c r="BS111" s="153"/>
      <c r="BT111" s="153"/>
      <c r="BU111" s="153"/>
      <c r="BV111" s="153"/>
      <c r="BW111" s="153"/>
      <c r="BX111" s="153"/>
      <c r="BY111" s="153"/>
      <c r="BZ111" s="153"/>
      <c r="CA111" s="153"/>
      <c r="CB111" s="153"/>
      <c r="CC111" s="153"/>
      <c r="CD111" s="153"/>
      <c r="CE111" s="153"/>
      <c r="CF111" s="153"/>
      <c r="CG111" s="153"/>
      <c r="CH111" s="153"/>
      <c r="CI111" s="153"/>
      <c r="CJ111" s="153"/>
      <c r="CK111" s="153"/>
      <c r="CL111" s="153"/>
      <c r="CM111" s="153"/>
      <c r="CN111" s="153"/>
      <c r="CO111" s="153"/>
      <c r="CP111" s="153"/>
      <c r="CQ111" s="153"/>
      <c r="CR111" s="153"/>
      <c r="CS111" s="153"/>
      <c r="CT111" s="153"/>
      <c r="CU111" s="153"/>
      <c r="CV111" s="153"/>
      <c r="CW111" s="153"/>
      <c r="CX111" s="153"/>
      <c r="CY111" s="153"/>
      <c r="CZ111" s="153"/>
      <c r="DA111" s="153"/>
      <c r="DB111" s="153"/>
      <c r="DC111" s="153"/>
      <c r="DD111" s="153"/>
      <c r="DE111" s="153"/>
      <c r="DF111" s="153"/>
      <c r="DG111" s="153"/>
      <c r="DH111" s="153"/>
      <c r="DI111" s="153"/>
      <c r="DJ111" s="153"/>
      <c r="DK111" s="153"/>
      <c r="DL111" s="153"/>
      <c r="DM111" s="153"/>
      <c r="DN111" s="153"/>
      <c r="DO111" s="153"/>
      <c r="DP111" s="153"/>
      <c r="DQ111" s="153"/>
      <c r="DR111" s="153"/>
      <c r="DS111" s="153"/>
      <c r="DT111" s="153"/>
      <c r="DU111" s="153"/>
      <c r="DV111" s="153"/>
      <c r="DW111" s="153"/>
      <c r="DX111" s="153"/>
      <c r="DY111" s="153"/>
      <c r="DZ111" s="153"/>
      <c r="EA111" s="153"/>
      <c r="EB111" s="153"/>
      <c r="EC111" s="153"/>
      <c r="ED111" s="153"/>
      <c r="EE111" s="153"/>
      <c r="EF111" s="153"/>
      <c r="EG111" s="153"/>
      <c r="EH111" s="153"/>
      <c r="EI111" s="153"/>
      <c r="EJ111" s="153"/>
      <c r="EK111" s="153"/>
      <c r="EL111" s="153"/>
      <c r="EM111" s="153"/>
      <c r="EN111" s="153"/>
      <c r="EO111" s="153"/>
      <c r="EP111" s="153"/>
      <c r="EQ111" s="153"/>
      <c r="ER111" s="153"/>
      <c r="ES111" s="153"/>
      <c r="ET111" s="153"/>
      <c r="EU111" s="153"/>
      <c r="EV111" s="153"/>
      <c r="EW111" s="153"/>
      <c r="EX111" s="153"/>
      <c r="EY111" s="153"/>
      <c r="EZ111" s="153"/>
      <c r="FA111" s="153"/>
      <c r="FB111" s="153"/>
      <c r="FC111" s="153"/>
      <c r="FD111" s="153"/>
      <c r="FE111" s="153"/>
      <c r="FF111" s="153"/>
      <c r="FG111" s="153"/>
      <c r="FH111" s="153"/>
      <c r="FI111" s="153"/>
      <c r="FJ111" s="153"/>
      <c r="FK111" s="153"/>
      <c r="FL111" s="153"/>
      <c r="FM111" s="153"/>
      <c r="FN111" s="153"/>
      <c r="FO111" s="153"/>
      <c r="FP111" s="153"/>
      <c r="FQ111" s="153"/>
      <c r="FR111" s="153"/>
      <c r="FS111" s="153"/>
      <c r="FT111" s="153"/>
      <c r="FU111" s="153"/>
      <c r="FV111" s="153"/>
      <c r="FW111" s="153"/>
      <c r="FX111" s="153"/>
      <c r="FY111" s="153"/>
      <c r="FZ111" s="153"/>
    </row>
    <row r="112" spans="1:182" x14ac:dyDescent="0.2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53"/>
      <c r="BQ112" s="153"/>
      <c r="BR112" s="153"/>
      <c r="BS112" s="153"/>
      <c r="BT112" s="153"/>
      <c r="BU112" s="153"/>
      <c r="BV112" s="153"/>
      <c r="BW112" s="153"/>
      <c r="BX112" s="153"/>
      <c r="BY112" s="153"/>
      <c r="BZ112" s="153"/>
      <c r="CA112" s="153"/>
      <c r="CB112" s="153"/>
      <c r="CC112" s="153"/>
      <c r="CD112" s="153"/>
      <c r="CE112" s="153"/>
      <c r="CF112" s="153"/>
      <c r="CG112" s="153"/>
      <c r="CH112" s="153"/>
      <c r="CI112" s="153"/>
      <c r="CJ112" s="153"/>
      <c r="CK112" s="153"/>
      <c r="CL112" s="153"/>
      <c r="CM112" s="153"/>
      <c r="CN112" s="153"/>
      <c r="CO112" s="153"/>
      <c r="CP112" s="153"/>
      <c r="CQ112" s="153"/>
      <c r="CR112" s="153"/>
      <c r="CS112" s="153"/>
      <c r="CT112" s="153"/>
      <c r="CU112" s="153"/>
      <c r="CV112" s="153"/>
      <c r="CW112" s="153"/>
      <c r="CX112" s="153"/>
      <c r="CY112" s="153"/>
      <c r="CZ112" s="153"/>
      <c r="DA112" s="153"/>
      <c r="DB112" s="153"/>
      <c r="DC112" s="153"/>
      <c r="DD112" s="153"/>
      <c r="DE112" s="153"/>
      <c r="DF112" s="153"/>
      <c r="DG112" s="153"/>
      <c r="DH112" s="153"/>
      <c r="DI112" s="153"/>
      <c r="DJ112" s="153"/>
      <c r="DK112" s="153"/>
      <c r="DL112" s="153"/>
      <c r="DM112" s="153"/>
      <c r="DN112" s="153"/>
      <c r="DO112" s="153"/>
      <c r="DP112" s="153"/>
      <c r="DQ112" s="153"/>
      <c r="DR112" s="153"/>
      <c r="DS112" s="153"/>
      <c r="DT112" s="153"/>
      <c r="DU112" s="153"/>
      <c r="DV112" s="153"/>
      <c r="DW112" s="153"/>
      <c r="DX112" s="153"/>
      <c r="DY112" s="153"/>
      <c r="DZ112" s="153"/>
      <c r="EA112" s="153"/>
      <c r="EB112" s="153"/>
      <c r="EC112" s="153"/>
      <c r="ED112" s="153"/>
      <c r="EE112" s="153"/>
      <c r="EF112" s="153"/>
      <c r="EG112" s="153"/>
      <c r="EH112" s="153"/>
      <c r="EI112" s="153"/>
      <c r="EJ112" s="153"/>
      <c r="EK112" s="153"/>
      <c r="EL112" s="153"/>
      <c r="EM112" s="153"/>
      <c r="EN112" s="153"/>
      <c r="EO112" s="153"/>
      <c r="EP112" s="153"/>
      <c r="EQ112" s="153"/>
      <c r="ER112" s="153"/>
      <c r="ES112" s="153"/>
      <c r="ET112" s="153"/>
      <c r="EU112" s="153"/>
      <c r="EV112" s="153"/>
      <c r="EW112" s="153"/>
      <c r="EX112" s="153"/>
      <c r="EY112" s="153"/>
      <c r="EZ112" s="153"/>
      <c r="FA112" s="153"/>
      <c r="FB112" s="153"/>
      <c r="FC112" s="153"/>
      <c r="FD112" s="153"/>
      <c r="FE112" s="153"/>
      <c r="FF112" s="153"/>
      <c r="FG112" s="153"/>
      <c r="FH112" s="153"/>
      <c r="FI112" s="153"/>
      <c r="FJ112" s="153"/>
      <c r="FK112" s="153"/>
      <c r="FL112" s="153"/>
      <c r="FM112" s="153"/>
      <c r="FN112" s="153"/>
      <c r="FO112" s="153"/>
      <c r="FP112" s="153"/>
      <c r="FQ112" s="153"/>
      <c r="FR112" s="153"/>
      <c r="FS112" s="153"/>
      <c r="FT112" s="153"/>
      <c r="FU112" s="153"/>
      <c r="FV112" s="153"/>
      <c r="FW112" s="153"/>
      <c r="FX112" s="153"/>
      <c r="FY112" s="153"/>
      <c r="FZ112" s="153"/>
    </row>
    <row r="113" spans="1:182" x14ac:dyDescent="0.2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3"/>
      <c r="BP113" s="153"/>
      <c r="BQ113" s="153"/>
      <c r="BR113" s="153"/>
      <c r="BS113" s="153"/>
      <c r="BT113" s="153"/>
      <c r="BU113" s="153"/>
      <c r="BV113" s="153"/>
      <c r="BW113" s="153"/>
      <c r="BX113" s="153"/>
      <c r="BY113" s="153"/>
      <c r="BZ113" s="153"/>
      <c r="CA113" s="153"/>
      <c r="CB113" s="153"/>
      <c r="CC113" s="153"/>
      <c r="CD113" s="153"/>
      <c r="CE113" s="153"/>
      <c r="CF113" s="153"/>
      <c r="CG113" s="153"/>
      <c r="CH113" s="153"/>
      <c r="CI113" s="153"/>
      <c r="CJ113" s="153"/>
      <c r="CK113" s="153"/>
      <c r="CL113" s="153"/>
      <c r="CM113" s="153"/>
      <c r="CN113" s="153"/>
      <c r="CO113" s="153"/>
      <c r="CP113" s="153"/>
      <c r="CQ113" s="153"/>
      <c r="CR113" s="153"/>
      <c r="CS113" s="153"/>
      <c r="CT113" s="153"/>
      <c r="CU113" s="153"/>
      <c r="CV113" s="153"/>
      <c r="CW113" s="153"/>
      <c r="CX113" s="153"/>
      <c r="CY113" s="153"/>
      <c r="CZ113" s="153"/>
      <c r="DA113" s="153"/>
      <c r="DB113" s="153"/>
      <c r="DC113" s="153"/>
      <c r="DD113" s="153"/>
      <c r="DE113" s="153"/>
      <c r="DF113" s="153"/>
      <c r="DG113" s="153"/>
      <c r="DH113" s="153"/>
      <c r="DI113" s="153"/>
      <c r="DJ113" s="153"/>
      <c r="DK113" s="153"/>
      <c r="DL113" s="153"/>
      <c r="DM113" s="153"/>
      <c r="DN113" s="153"/>
      <c r="DO113" s="153"/>
      <c r="DP113" s="153"/>
      <c r="DQ113" s="153"/>
      <c r="DR113" s="153"/>
      <c r="DS113" s="153"/>
      <c r="DT113" s="153"/>
      <c r="DU113" s="153"/>
      <c r="DV113" s="153"/>
      <c r="DW113" s="153"/>
      <c r="DX113" s="153"/>
      <c r="DY113" s="153"/>
      <c r="DZ113" s="153"/>
      <c r="EA113" s="153"/>
      <c r="EB113" s="153"/>
      <c r="EC113" s="153"/>
      <c r="ED113" s="153"/>
      <c r="EE113" s="153"/>
      <c r="EF113" s="153"/>
      <c r="EG113" s="153"/>
      <c r="EH113" s="153"/>
      <c r="EI113" s="153"/>
      <c r="EJ113" s="153"/>
      <c r="EK113" s="153"/>
      <c r="EL113" s="153"/>
      <c r="EM113" s="153"/>
      <c r="EN113" s="153"/>
      <c r="EO113" s="153"/>
      <c r="EP113" s="153"/>
      <c r="EQ113" s="153"/>
      <c r="ER113" s="153"/>
      <c r="ES113" s="153"/>
      <c r="ET113" s="153"/>
      <c r="EU113" s="153"/>
      <c r="EV113" s="153"/>
      <c r="EW113" s="153"/>
      <c r="EX113" s="153"/>
      <c r="EY113" s="153"/>
      <c r="EZ113" s="153"/>
      <c r="FA113" s="153"/>
      <c r="FB113" s="153"/>
      <c r="FC113" s="153"/>
      <c r="FD113" s="153"/>
      <c r="FE113" s="153"/>
      <c r="FF113" s="153"/>
      <c r="FG113" s="153"/>
      <c r="FH113" s="153"/>
      <c r="FI113" s="153"/>
      <c r="FJ113" s="153"/>
      <c r="FK113" s="153"/>
      <c r="FL113" s="153"/>
      <c r="FM113" s="153"/>
      <c r="FN113" s="153"/>
      <c r="FO113" s="153"/>
      <c r="FP113" s="153"/>
      <c r="FQ113" s="153"/>
      <c r="FR113" s="153"/>
      <c r="FS113" s="153"/>
      <c r="FT113" s="153"/>
      <c r="FU113" s="153"/>
      <c r="FV113" s="153"/>
      <c r="FW113" s="153"/>
      <c r="FX113" s="153"/>
      <c r="FY113" s="153"/>
      <c r="FZ113" s="153"/>
    </row>
    <row r="114" spans="1:182" x14ac:dyDescent="0.2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53"/>
      <c r="BN114" s="153"/>
      <c r="BO114" s="153"/>
      <c r="BP114" s="153"/>
      <c r="BQ114" s="153"/>
      <c r="BR114" s="153"/>
      <c r="BS114" s="153"/>
      <c r="BT114" s="153"/>
      <c r="BU114" s="153"/>
      <c r="BV114" s="153"/>
      <c r="BW114" s="153"/>
      <c r="BX114" s="153"/>
      <c r="BY114" s="153"/>
      <c r="BZ114" s="153"/>
      <c r="CA114" s="153"/>
      <c r="CB114" s="153"/>
      <c r="CC114" s="153"/>
      <c r="CD114" s="153"/>
      <c r="CE114" s="153"/>
      <c r="CF114" s="153"/>
      <c r="CG114" s="153"/>
      <c r="CH114" s="153"/>
      <c r="CI114" s="153"/>
      <c r="CJ114" s="153"/>
      <c r="CK114" s="153"/>
      <c r="CL114" s="153"/>
      <c r="CM114" s="153"/>
      <c r="CN114" s="153"/>
      <c r="CO114" s="153"/>
      <c r="CP114" s="153"/>
      <c r="CQ114" s="153"/>
      <c r="CR114" s="153"/>
      <c r="CS114" s="153"/>
      <c r="CT114" s="153"/>
      <c r="CU114" s="153"/>
      <c r="CV114" s="153"/>
      <c r="CW114" s="153"/>
      <c r="CX114" s="153"/>
      <c r="CY114" s="153"/>
      <c r="CZ114" s="153"/>
      <c r="DA114" s="153"/>
      <c r="DB114" s="153"/>
      <c r="DC114" s="153"/>
      <c r="DD114" s="153"/>
      <c r="DE114" s="153"/>
      <c r="DF114" s="153"/>
      <c r="DG114" s="153"/>
      <c r="DH114" s="153"/>
      <c r="DI114" s="153"/>
      <c r="DJ114" s="153"/>
      <c r="DK114" s="153"/>
      <c r="DL114" s="153"/>
      <c r="DM114" s="153"/>
      <c r="DN114" s="153"/>
      <c r="DO114" s="153"/>
      <c r="DP114" s="153"/>
      <c r="DQ114" s="153"/>
      <c r="DR114" s="153"/>
      <c r="DS114" s="153"/>
      <c r="DT114" s="153"/>
      <c r="DU114" s="153"/>
      <c r="DV114" s="153"/>
      <c r="DW114" s="153"/>
      <c r="DX114" s="153"/>
      <c r="DY114" s="153"/>
      <c r="DZ114" s="153"/>
      <c r="EA114" s="153"/>
      <c r="EB114" s="153"/>
      <c r="EC114" s="153"/>
      <c r="ED114" s="153"/>
      <c r="EE114" s="153"/>
      <c r="EF114" s="153"/>
      <c r="EG114" s="153"/>
      <c r="EH114" s="153"/>
      <c r="EI114" s="153"/>
      <c r="EJ114" s="153"/>
      <c r="EK114" s="153"/>
      <c r="EL114" s="153"/>
      <c r="EM114" s="153"/>
      <c r="EN114" s="153"/>
      <c r="EO114" s="153"/>
      <c r="EP114" s="153"/>
      <c r="EQ114" s="153"/>
      <c r="ER114" s="153"/>
      <c r="ES114" s="153"/>
      <c r="ET114" s="153"/>
      <c r="EU114" s="153"/>
      <c r="EV114" s="153"/>
      <c r="EW114" s="153"/>
      <c r="EX114" s="153"/>
      <c r="EY114" s="153"/>
      <c r="EZ114" s="153"/>
      <c r="FA114" s="153"/>
      <c r="FB114" s="153"/>
      <c r="FC114" s="153"/>
      <c r="FD114" s="153"/>
      <c r="FE114" s="153"/>
      <c r="FF114" s="153"/>
      <c r="FG114" s="153"/>
      <c r="FH114" s="153"/>
      <c r="FI114" s="153"/>
      <c r="FJ114" s="153"/>
      <c r="FK114" s="153"/>
      <c r="FL114" s="153"/>
      <c r="FM114" s="153"/>
      <c r="FN114" s="153"/>
      <c r="FO114" s="153"/>
      <c r="FP114" s="153"/>
      <c r="FQ114" s="153"/>
      <c r="FR114" s="153"/>
      <c r="FS114" s="153"/>
      <c r="FT114" s="153"/>
      <c r="FU114" s="153"/>
      <c r="FV114" s="153"/>
      <c r="FW114" s="153"/>
      <c r="FX114" s="153"/>
      <c r="FY114" s="153"/>
      <c r="FZ114" s="153"/>
    </row>
    <row r="115" spans="1:182" x14ac:dyDescent="0.2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3"/>
      <c r="BN115" s="153"/>
      <c r="BO115" s="153"/>
      <c r="BP115" s="153"/>
      <c r="BQ115" s="153"/>
      <c r="BR115" s="153"/>
      <c r="BS115" s="153"/>
      <c r="BT115" s="153"/>
      <c r="BU115" s="153"/>
      <c r="BV115" s="153"/>
      <c r="BW115" s="153"/>
      <c r="BX115" s="153"/>
      <c r="BY115" s="153"/>
      <c r="BZ115" s="153"/>
      <c r="CA115" s="153"/>
      <c r="CB115" s="153"/>
      <c r="CC115" s="153"/>
      <c r="CD115" s="153"/>
      <c r="CE115" s="153"/>
      <c r="CF115" s="153"/>
      <c r="CG115" s="153"/>
      <c r="CH115" s="153"/>
      <c r="CI115" s="153"/>
      <c r="CJ115" s="153"/>
      <c r="CK115" s="153"/>
      <c r="CL115" s="153"/>
      <c r="CM115" s="153"/>
      <c r="CN115" s="153"/>
      <c r="CO115" s="153"/>
      <c r="CP115" s="153"/>
      <c r="CQ115" s="153"/>
      <c r="CR115" s="153"/>
      <c r="CS115" s="153"/>
      <c r="CT115" s="153"/>
      <c r="CU115" s="153"/>
      <c r="CV115" s="153"/>
      <c r="CW115" s="153"/>
      <c r="CX115" s="153"/>
      <c r="CY115" s="153"/>
      <c r="CZ115" s="153"/>
      <c r="DA115" s="153"/>
      <c r="DB115" s="153"/>
      <c r="DC115" s="153"/>
      <c r="DD115" s="153"/>
      <c r="DE115" s="153"/>
      <c r="DF115" s="153"/>
      <c r="DG115" s="153"/>
      <c r="DH115" s="153"/>
      <c r="DI115" s="153"/>
      <c r="DJ115" s="153"/>
      <c r="DK115" s="153"/>
      <c r="DL115" s="153"/>
      <c r="DM115" s="153"/>
      <c r="DN115" s="153"/>
      <c r="DO115" s="153"/>
      <c r="DP115" s="153"/>
      <c r="DQ115" s="153"/>
      <c r="DR115" s="153"/>
      <c r="DS115" s="153"/>
      <c r="DT115" s="153"/>
      <c r="DU115" s="153"/>
      <c r="DV115" s="153"/>
      <c r="DW115" s="153"/>
      <c r="DX115" s="153"/>
      <c r="DY115" s="153"/>
      <c r="DZ115" s="153"/>
      <c r="EA115" s="153"/>
      <c r="EB115" s="153"/>
      <c r="EC115" s="153"/>
      <c r="ED115" s="153"/>
      <c r="EE115" s="153"/>
      <c r="EF115" s="153"/>
      <c r="EG115" s="153"/>
      <c r="EH115" s="153"/>
      <c r="EI115" s="153"/>
      <c r="EJ115" s="153"/>
      <c r="EK115" s="153"/>
      <c r="EL115" s="153"/>
      <c r="EM115" s="153"/>
      <c r="EN115" s="153"/>
      <c r="EO115" s="153"/>
      <c r="EP115" s="153"/>
      <c r="EQ115" s="153"/>
      <c r="ER115" s="153"/>
      <c r="ES115" s="153"/>
      <c r="ET115" s="153"/>
      <c r="EU115" s="153"/>
      <c r="EV115" s="153"/>
      <c r="EW115" s="153"/>
      <c r="EX115" s="153"/>
      <c r="EY115" s="153"/>
      <c r="EZ115" s="153"/>
      <c r="FA115" s="153"/>
      <c r="FB115" s="153"/>
      <c r="FC115" s="153"/>
      <c r="FD115" s="153"/>
      <c r="FE115" s="153"/>
      <c r="FF115" s="153"/>
      <c r="FG115" s="153"/>
      <c r="FH115" s="153"/>
      <c r="FI115" s="153"/>
      <c r="FJ115" s="153"/>
      <c r="FK115" s="153"/>
      <c r="FL115" s="153"/>
      <c r="FM115" s="153"/>
      <c r="FN115" s="153"/>
      <c r="FO115" s="153"/>
      <c r="FP115" s="153"/>
      <c r="FQ115" s="153"/>
      <c r="FR115" s="153"/>
      <c r="FS115" s="153"/>
      <c r="FT115" s="153"/>
      <c r="FU115" s="153"/>
      <c r="FV115" s="153"/>
      <c r="FW115" s="153"/>
      <c r="FX115" s="153"/>
      <c r="FY115" s="153"/>
      <c r="FZ115" s="153"/>
    </row>
    <row r="116" spans="1:182" x14ac:dyDescent="0.2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3"/>
      <c r="BN116" s="153"/>
      <c r="BO116" s="153"/>
      <c r="BP116" s="153"/>
      <c r="BQ116" s="153"/>
      <c r="BR116" s="153"/>
      <c r="BS116" s="153"/>
      <c r="BT116" s="153"/>
      <c r="BU116" s="153"/>
      <c r="BV116" s="153"/>
      <c r="BW116" s="153"/>
      <c r="BX116" s="153"/>
      <c r="BY116" s="153"/>
      <c r="BZ116" s="153"/>
      <c r="CA116" s="153"/>
      <c r="CB116" s="153"/>
      <c r="CC116" s="153"/>
      <c r="CD116" s="153"/>
      <c r="CE116" s="153"/>
      <c r="CF116" s="153"/>
      <c r="CG116" s="153"/>
      <c r="CH116" s="153"/>
      <c r="CI116" s="153"/>
      <c r="CJ116" s="153"/>
      <c r="CK116" s="153"/>
      <c r="CL116" s="153"/>
      <c r="CM116" s="153"/>
      <c r="CN116" s="153"/>
      <c r="CO116" s="153"/>
      <c r="CP116" s="153"/>
      <c r="CQ116" s="153"/>
      <c r="CR116" s="153"/>
      <c r="CS116" s="153"/>
      <c r="CT116" s="153"/>
      <c r="CU116" s="153"/>
      <c r="CV116" s="153"/>
      <c r="CW116" s="153"/>
      <c r="CX116" s="153"/>
      <c r="CY116" s="153"/>
      <c r="CZ116" s="153"/>
      <c r="DA116" s="153"/>
      <c r="DB116" s="153"/>
      <c r="DC116" s="153"/>
      <c r="DD116" s="153"/>
      <c r="DE116" s="153"/>
      <c r="DF116" s="153"/>
      <c r="DG116" s="153"/>
      <c r="DH116" s="153"/>
      <c r="DI116" s="153"/>
      <c r="DJ116" s="153"/>
      <c r="DK116" s="153"/>
      <c r="DL116" s="153"/>
      <c r="DM116" s="153"/>
      <c r="DN116" s="153"/>
      <c r="DO116" s="153"/>
      <c r="DP116" s="153"/>
      <c r="DQ116" s="153"/>
      <c r="DR116" s="153"/>
      <c r="DS116" s="153"/>
      <c r="DT116" s="153"/>
      <c r="DU116" s="153"/>
      <c r="DV116" s="153"/>
      <c r="DW116" s="153"/>
      <c r="DX116" s="153"/>
      <c r="DY116" s="153"/>
      <c r="DZ116" s="153"/>
      <c r="EA116" s="153"/>
      <c r="EB116" s="153"/>
      <c r="EC116" s="153"/>
      <c r="ED116" s="153"/>
      <c r="EE116" s="153"/>
      <c r="EF116" s="153"/>
      <c r="EG116" s="153"/>
      <c r="EH116" s="153"/>
      <c r="EI116" s="153"/>
      <c r="EJ116" s="153"/>
      <c r="EK116" s="153"/>
      <c r="EL116" s="153"/>
      <c r="EM116" s="153"/>
      <c r="EN116" s="153"/>
      <c r="EO116" s="153"/>
      <c r="EP116" s="153"/>
      <c r="EQ116" s="153"/>
      <c r="ER116" s="153"/>
      <c r="ES116" s="153"/>
      <c r="ET116" s="153"/>
      <c r="EU116" s="153"/>
      <c r="EV116" s="153"/>
      <c r="EW116" s="153"/>
      <c r="EX116" s="153"/>
      <c r="EY116" s="153"/>
      <c r="EZ116" s="153"/>
      <c r="FA116" s="153"/>
      <c r="FB116" s="153"/>
      <c r="FC116" s="153"/>
      <c r="FD116" s="153"/>
      <c r="FE116" s="153"/>
      <c r="FF116" s="153"/>
      <c r="FG116" s="153"/>
      <c r="FH116" s="153"/>
      <c r="FI116" s="153"/>
      <c r="FJ116" s="153"/>
      <c r="FK116" s="153"/>
      <c r="FL116" s="153"/>
      <c r="FM116" s="153"/>
      <c r="FN116" s="153"/>
      <c r="FO116" s="153"/>
      <c r="FP116" s="153"/>
      <c r="FQ116" s="153"/>
      <c r="FR116" s="153"/>
      <c r="FS116" s="153"/>
      <c r="FT116" s="153"/>
      <c r="FU116" s="153"/>
      <c r="FV116" s="153"/>
      <c r="FW116" s="153"/>
      <c r="FX116" s="153"/>
      <c r="FY116" s="153"/>
      <c r="FZ116" s="153"/>
    </row>
    <row r="117" spans="1:182" x14ac:dyDescent="0.2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3"/>
      <c r="BN117" s="153"/>
      <c r="BO117" s="153"/>
      <c r="BP117" s="153"/>
      <c r="BQ117" s="153"/>
      <c r="BR117" s="153"/>
      <c r="BS117" s="153"/>
      <c r="BT117" s="153"/>
      <c r="BU117" s="153"/>
      <c r="BV117" s="153"/>
      <c r="BW117" s="153"/>
      <c r="BX117" s="153"/>
      <c r="BY117" s="153"/>
      <c r="BZ117" s="153"/>
      <c r="CA117" s="153"/>
      <c r="CB117" s="153"/>
      <c r="CC117" s="153"/>
      <c r="CD117" s="153"/>
      <c r="CE117" s="153"/>
      <c r="CF117" s="153"/>
      <c r="CG117" s="153"/>
      <c r="CH117" s="153"/>
      <c r="CI117" s="153"/>
      <c r="CJ117" s="153"/>
      <c r="CK117" s="153"/>
      <c r="CL117" s="153"/>
      <c r="CM117" s="153"/>
      <c r="CN117" s="153"/>
      <c r="CO117" s="153"/>
      <c r="CP117" s="153"/>
      <c r="CQ117" s="153"/>
      <c r="CR117" s="153"/>
      <c r="CS117" s="153"/>
      <c r="CT117" s="153"/>
      <c r="CU117" s="153"/>
      <c r="CV117" s="153"/>
      <c r="CW117" s="153"/>
      <c r="CX117" s="153"/>
      <c r="CY117" s="153"/>
      <c r="CZ117" s="153"/>
      <c r="DA117" s="153"/>
      <c r="DB117" s="153"/>
      <c r="DC117" s="153"/>
      <c r="DD117" s="153"/>
      <c r="DE117" s="153"/>
      <c r="DF117" s="153"/>
      <c r="DG117" s="153"/>
      <c r="DH117" s="153"/>
      <c r="DI117" s="153"/>
      <c r="DJ117" s="153"/>
      <c r="DK117" s="153"/>
      <c r="DL117" s="153"/>
      <c r="DM117" s="153"/>
      <c r="DN117" s="153"/>
      <c r="DO117" s="153"/>
      <c r="DP117" s="153"/>
      <c r="DQ117" s="153"/>
      <c r="DR117" s="153"/>
      <c r="DS117" s="153"/>
      <c r="DT117" s="153"/>
      <c r="DU117" s="153"/>
      <c r="DV117" s="153"/>
      <c r="DW117" s="153"/>
      <c r="DX117" s="153"/>
      <c r="DY117" s="153"/>
      <c r="DZ117" s="153"/>
      <c r="EA117" s="153"/>
      <c r="EB117" s="153"/>
      <c r="EC117" s="153"/>
      <c r="ED117" s="153"/>
      <c r="EE117" s="153"/>
      <c r="EF117" s="153"/>
      <c r="EG117" s="153"/>
      <c r="EH117" s="153"/>
      <c r="EI117" s="153"/>
      <c r="EJ117" s="153"/>
      <c r="EK117" s="153"/>
      <c r="EL117" s="153"/>
      <c r="EM117" s="153"/>
      <c r="EN117" s="153"/>
      <c r="EO117" s="153"/>
      <c r="EP117" s="153"/>
      <c r="EQ117" s="153"/>
      <c r="ER117" s="153"/>
      <c r="ES117" s="153"/>
      <c r="ET117" s="153"/>
      <c r="EU117" s="153"/>
      <c r="EV117" s="153"/>
      <c r="EW117" s="153"/>
      <c r="EX117" s="153"/>
      <c r="EY117" s="153"/>
      <c r="EZ117" s="153"/>
      <c r="FA117" s="153"/>
      <c r="FB117" s="153"/>
      <c r="FC117" s="153"/>
      <c r="FD117" s="153"/>
      <c r="FE117" s="153"/>
      <c r="FF117" s="153"/>
      <c r="FG117" s="153"/>
      <c r="FH117" s="153"/>
      <c r="FI117" s="153"/>
      <c r="FJ117" s="153"/>
      <c r="FK117" s="153"/>
      <c r="FL117" s="153"/>
      <c r="FM117" s="153"/>
      <c r="FN117" s="153"/>
      <c r="FO117" s="153"/>
      <c r="FP117" s="153"/>
      <c r="FQ117" s="153"/>
      <c r="FR117" s="153"/>
      <c r="FS117" s="153"/>
      <c r="FT117" s="153"/>
      <c r="FU117" s="153"/>
      <c r="FV117" s="153"/>
      <c r="FW117" s="153"/>
      <c r="FX117" s="153"/>
      <c r="FY117" s="153"/>
      <c r="FZ117" s="153"/>
    </row>
    <row r="118" spans="1:182" x14ac:dyDescent="0.2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3"/>
      <c r="BN118" s="153"/>
      <c r="BO118" s="153"/>
      <c r="BP118" s="153"/>
      <c r="BQ118" s="153"/>
      <c r="BR118" s="153"/>
      <c r="BS118" s="153"/>
      <c r="BT118" s="153"/>
      <c r="BU118" s="153"/>
      <c r="BV118" s="153"/>
      <c r="BW118" s="153"/>
      <c r="BX118" s="153"/>
      <c r="BY118" s="153"/>
      <c r="BZ118" s="153"/>
      <c r="CA118" s="153"/>
      <c r="CB118" s="153"/>
      <c r="CC118" s="153"/>
      <c r="CD118" s="153"/>
      <c r="CE118" s="153"/>
      <c r="CF118" s="153"/>
      <c r="CG118" s="153"/>
      <c r="CH118" s="153"/>
      <c r="CI118" s="153"/>
      <c r="CJ118" s="153"/>
      <c r="CK118" s="153"/>
      <c r="CL118" s="153"/>
      <c r="CM118" s="153"/>
      <c r="CN118" s="153"/>
      <c r="CO118" s="153"/>
      <c r="CP118" s="153"/>
      <c r="CQ118" s="153"/>
      <c r="CR118" s="153"/>
      <c r="CS118" s="153"/>
      <c r="CT118" s="153"/>
      <c r="CU118" s="153"/>
      <c r="CV118" s="153"/>
      <c r="CW118" s="153"/>
      <c r="CX118" s="153"/>
      <c r="CY118" s="153"/>
      <c r="CZ118" s="153"/>
      <c r="DA118" s="153"/>
      <c r="DB118" s="153"/>
      <c r="DC118" s="153"/>
      <c r="DD118" s="153"/>
      <c r="DE118" s="153"/>
      <c r="DF118" s="153"/>
      <c r="DG118" s="153"/>
      <c r="DH118" s="153"/>
      <c r="DI118" s="153"/>
      <c r="DJ118" s="153"/>
      <c r="DK118" s="153"/>
      <c r="DL118" s="153"/>
      <c r="DM118" s="153"/>
      <c r="DN118" s="153"/>
      <c r="DO118" s="153"/>
      <c r="DP118" s="153"/>
      <c r="DQ118" s="153"/>
      <c r="DR118" s="153"/>
      <c r="DS118" s="153"/>
      <c r="DT118" s="153"/>
      <c r="DU118" s="153"/>
      <c r="DV118" s="153"/>
      <c r="DW118" s="153"/>
      <c r="DX118" s="153"/>
      <c r="DY118" s="153"/>
      <c r="DZ118" s="153"/>
      <c r="EA118" s="153"/>
      <c r="EB118" s="153"/>
      <c r="EC118" s="153"/>
      <c r="ED118" s="153"/>
      <c r="EE118" s="153"/>
      <c r="EF118" s="153"/>
      <c r="EG118" s="153"/>
      <c r="EH118" s="153"/>
      <c r="EI118" s="153"/>
      <c r="EJ118" s="153"/>
      <c r="EK118" s="153"/>
      <c r="EL118" s="153"/>
      <c r="EM118" s="153"/>
      <c r="EN118" s="153"/>
      <c r="EO118" s="153"/>
      <c r="EP118" s="153"/>
      <c r="EQ118" s="153"/>
      <c r="ER118" s="153"/>
      <c r="ES118" s="153"/>
      <c r="ET118" s="153"/>
      <c r="EU118" s="153"/>
      <c r="EV118" s="153"/>
      <c r="EW118" s="153"/>
      <c r="EX118" s="153"/>
      <c r="EY118" s="153"/>
      <c r="EZ118" s="153"/>
      <c r="FA118" s="153"/>
      <c r="FB118" s="153"/>
      <c r="FC118" s="153"/>
      <c r="FD118" s="153"/>
      <c r="FE118" s="153"/>
      <c r="FF118" s="153"/>
      <c r="FG118" s="153"/>
      <c r="FH118" s="153"/>
      <c r="FI118" s="153"/>
      <c r="FJ118" s="153"/>
      <c r="FK118" s="153"/>
      <c r="FL118" s="153"/>
      <c r="FM118" s="153"/>
      <c r="FN118" s="153"/>
      <c r="FO118" s="153"/>
      <c r="FP118" s="153"/>
      <c r="FQ118" s="153"/>
      <c r="FR118" s="153"/>
      <c r="FS118" s="153"/>
      <c r="FT118" s="153"/>
      <c r="FU118" s="153"/>
      <c r="FV118" s="153"/>
      <c r="FW118" s="153"/>
      <c r="FX118" s="153"/>
      <c r="FY118" s="153"/>
      <c r="FZ118" s="153"/>
    </row>
    <row r="119" spans="1:182" x14ac:dyDescent="0.2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53"/>
      <c r="BN119" s="153"/>
      <c r="BO119" s="153"/>
      <c r="BP119" s="153"/>
      <c r="BQ119" s="153"/>
      <c r="BR119" s="153"/>
      <c r="BS119" s="153"/>
      <c r="BT119" s="153"/>
      <c r="BU119" s="153"/>
      <c r="BV119" s="153"/>
      <c r="BW119" s="153"/>
      <c r="BX119" s="153"/>
      <c r="BY119" s="153"/>
      <c r="BZ119" s="153"/>
      <c r="CA119" s="153"/>
      <c r="CB119" s="153"/>
      <c r="CC119" s="153"/>
      <c r="CD119" s="153"/>
      <c r="CE119" s="153"/>
      <c r="CF119" s="153"/>
      <c r="CG119" s="153"/>
      <c r="CH119" s="153"/>
      <c r="CI119" s="153"/>
      <c r="CJ119" s="153"/>
      <c r="CK119" s="153"/>
      <c r="CL119" s="153"/>
      <c r="CM119" s="153"/>
      <c r="CN119" s="153"/>
      <c r="CO119" s="153"/>
      <c r="CP119" s="153"/>
      <c r="CQ119" s="153"/>
      <c r="CR119" s="153"/>
      <c r="CS119" s="153"/>
      <c r="CT119" s="153"/>
      <c r="CU119" s="153"/>
      <c r="CV119" s="153"/>
      <c r="CW119" s="153"/>
      <c r="CX119" s="153"/>
      <c r="CY119" s="153"/>
      <c r="CZ119" s="153"/>
      <c r="DA119" s="153"/>
      <c r="DB119" s="153"/>
      <c r="DC119" s="153"/>
      <c r="DD119" s="153"/>
      <c r="DE119" s="153"/>
      <c r="DF119" s="153"/>
      <c r="DG119" s="153"/>
      <c r="DH119" s="153"/>
      <c r="DI119" s="153"/>
      <c r="DJ119" s="153"/>
      <c r="DK119" s="153"/>
      <c r="DL119" s="153"/>
      <c r="DM119" s="153"/>
      <c r="DN119" s="153"/>
      <c r="DO119" s="153"/>
      <c r="DP119" s="153"/>
      <c r="DQ119" s="153"/>
      <c r="DR119" s="153"/>
      <c r="DS119" s="153"/>
      <c r="DT119" s="153"/>
      <c r="DU119" s="153"/>
      <c r="DV119" s="153"/>
      <c r="DW119" s="153"/>
      <c r="DX119" s="153"/>
      <c r="DY119" s="153"/>
      <c r="DZ119" s="153"/>
      <c r="EA119" s="153"/>
      <c r="EB119" s="153"/>
      <c r="EC119" s="153"/>
      <c r="ED119" s="153"/>
      <c r="EE119" s="153"/>
      <c r="EF119" s="153"/>
      <c r="EG119" s="153"/>
      <c r="EH119" s="153"/>
      <c r="EI119" s="153"/>
      <c r="EJ119" s="153"/>
      <c r="EK119" s="153"/>
      <c r="EL119" s="153"/>
      <c r="EM119" s="153"/>
      <c r="EN119" s="153"/>
      <c r="EO119" s="153"/>
      <c r="EP119" s="153"/>
      <c r="EQ119" s="153"/>
      <c r="ER119" s="153"/>
      <c r="ES119" s="153"/>
      <c r="ET119" s="153"/>
      <c r="EU119" s="153"/>
      <c r="EV119" s="153"/>
      <c r="EW119" s="153"/>
      <c r="EX119" s="153"/>
      <c r="EY119" s="153"/>
      <c r="EZ119" s="153"/>
      <c r="FA119" s="153"/>
      <c r="FB119" s="153"/>
      <c r="FC119" s="153"/>
      <c r="FD119" s="153"/>
      <c r="FE119" s="153"/>
      <c r="FF119" s="153"/>
      <c r="FG119" s="153"/>
      <c r="FH119" s="153"/>
      <c r="FI119" s="153"/>
      <c r="FJ119" s="153"/>
      <c r="FK119" s="153"/>
      <c r="FL119" s="153"/>
      <c r="FM119" s="153"/>
      <c r="FN119" s="153"/>
      <c r="FO119" s="153"/>
      <c r="FP119" s="153"/>
      <c r="FQ119" s="153"/>
      <c r="FR119" s="153"/>
      <c r="FS119" s="153"/>
      <c r="FT119" s="153"/>
      <c r="FU119" s="153"/>
      <c r="FV119" s="153"/>
      <c r="FW119" s="153"/>
      <c r="FX119" s="153"/>
      <c r="FY119" s="153"/>
      <c r="FZ119" s="153"/>
    </row>
    <row r="120" spans="1:182" x14ac:dyDescent="0.2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153"/>
      <c r="BN120" s="153"/>
      <c r="BO120" s="153"/>
      <c r="BP120" s="153"/>
      <c r="BQ120" s="153"/>
      <c r="BR120" s="153"/>
      <c r="BS120" s="153"/>
      <c r="BT120" s="153"/>
      <c r="BU120" s="153"/>
      <c r="BV120" s="153"/>
      <c r="BW120" s="153"/>
      <c r="BX120" s="153"/>
      <c r="BY120" s="153"/>
      <c r="BZ120" s="153"/>
      <c r="CA120" s="153"/>
      <c r="CB120" s="153"/>
      <c r="CC120" s="153"/>
      <c r="CD120" s="153"/>
      <c r="CE120" s="153"/>
      <c r="CF120" s="153"/>
      <c r="CG120" s="153"/>
      <c r="CH120" s="153"/>
      <c r="CI120" s="153"/>
      <c r="CJ120" s="153"/>
      <c r="CK120" s="153"/>
      <c r="CL120" s="153"/>
      <c r="CM120" s="153"/>
      <c r="CN120" s="153"/>
      <c r="CO120" s="153"/>
      <c r="CP120" s="153"/>
      <c r="CQ120" s="153"/>
      <c r="CR120" s="153"/>
      <c r="CS120" s="153"/>
      <c r="CT120" s="153"/>
      <c r="CU120" s="153"/>
      <c r="CV120" s="153"/>
      <c r="CW120" s="153"/>
      <c r="CX120" s="153"/>
      <c r="CY120" s="153"/>
      <c r="CZ120" s="153"/>
      <c r="DA120" s="153"/>
      <c r="DB120" s="153"/>
      <c r="DC120" s="153"/>
      <c r="DD120" s="153"/>
      <c r="DE120" s="153"/>
      <c r="DF120" s="153"/>
      <c r="DG120" s="153"/>
      <c r="DH120" s="153"/>
      <c r="DI120" s="153"/>
      <c r="DJ120" s="153"/>
      <c r="DK120" s="153"/>
      <c r="DL120" s="153"/>
      <c r="DM120" s="153"/>
      <c r="DN120" s="153"/>
      <c r="DO120" s="153"/>
      <c r="DP120" s="153"/>
      <c r="DQ120" s="153"/>
      <c r="DR120" s="153"/>
      <c r="DS120" s="153"/>
      <c r="DT120" s="153"/>
      <c r="DU120" s="153"/>
      <c r="DV120" s="153"/>
      <c r="DW120" s="153"/>
      <c r="DX120" s="153"/>
      <c r="DY120" s="153"/>
      <c r="DZ120" s="153"/>
      <c r="EA120" s="153"/>
      <c r="EB120" s="153"/>
      <c r="EC120" s="153"/>
      <c r="ED120" s="153"/>
      <c r="EE120" s="153"/>
      <c r="EF120" s="153"/>
      <c r="EG120" s="153"/>
      <c r="EH120" s="153"/>
      <c r="EI120" s="153"/>
      <c r="EJ120" s="153"/>
      <c r="EK120" s="153"/>
      <c r="EL120" s="153"/>
      <c r="EM120" s="153"/>
      <c r="EN120" s="153"/>
      <c r="EO120" s="153"/>
      <c r="EP120" s="153"/>
      <c r="EQ120" s="153"/>
      <c r="ER120" s="153"/>
      <c r="ES120" s="153"/>
      <c r="ET120" s="153"/>
      <c r="EU120" s="153"/>
      <c r="EV120" s="153"/>
      <c r="EW120" s="153"/>
      <c r="EX120" s="153"/>
      <c r="EY120" s="153"/>
      <c r="EZ120" s="153"/>
      <c r="FA120" s="153"/>
      <c r="FB120" s="153"/>
      <c r="FC120" s="153"/>
      <c r="FD120" s="153"/>
      <c r="FE120" s="153"/>
      <c r="FF120" s="153"/>
      <c r="FG120" s="153"/>
      <c r="FH120" s="153"/>
      <c r="FI120" s="153"/>
      <c r="FJ120" s="153"/>
      <c r="FK120" s="153"/>
      <c r="FL120" s="153"/>
      <c r="FM120" s="153"/>
      <c r="FN120" s="153"/>
      <c r="FO120" s="153"/>
      <c r="FP120" s="153"/>
      <c r="FQ120" s="153"/>
      <c r="FR120" s="153"/>
      <c r="FS120" s="153"/>
      <c r="FT120" s="153"/>
      <c r="FU120" s="153"/>
      <c r="FV120" s="153"/>
      <c r="FW120" s="153"/>
      <c r="FX120" s="153"/>
      <c r="FY120" s="153"/>
      <c r="FZ120" s="153"/>
    </row>
    <row r="121" spans="1:182" x14ac:dyDescent="0.2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153"/>
      <c r="BN121" s="153"/>
      <c r="BO121" s="153"/>
      <c r="BP121" s="153"/>
      <c r="BQ121" s="153"/>
      <c r="BR121" s="153"/>
      <c r="BS121" s="153"/>
      <c r="BT121" s="153"/>
      <c r="BU121" s="153"/>
      <c r="BV121" s="153"/>
      <c r="BW121" s="153"/>
      <c r="BX121" s="153"/>
      <c r="BY121" s="153"/>
      <c r="BZ121" s="153"/>
      <c r="CA121" s="153"/>
      <c r="CB121" s="153"/>
      <c r="CC121" s="153"/>
      <c r="CD121" s="153"/>
      <c r="CE121" s="153"/>
      <c r="CF121" s="153"/>
      <c r="CG121" s="153"/>
      <c r="CH121" s="153"/>
      <c r="CI121" s="153"/>
      <c r="CJ121" s="153"/>
      <c r="CK121" s="153"/>
      <c r="CL121" s="153"/>
      <c r="CM121" s="153"/>
      <c r="CN121" s="153"/>
      <c r="CO121" s="153"/>
      <c r="CP121" s="153"/>
      <c r="CQ121" s="153"/>
      <c r="CR121" s="153"/>
      <c r="CS121" s="153"/>
      <c r="CT121" s="153"/>
      <c r="CU121" s="153"/>
      <c r="CV121" s="153"/>
      <c r="CW121" s="153"/>
      <c r="CX121" s="153"/>
      <c r="CY121" s="153"/>
      <c r="CZ121" s="153"/>
      <c r="DA121" s="153"/>
      <c r="DB121" s="153"/>
      <c r="DC121" s="153"/>
      <c r="DD121" s="153"/>
      <c r="DE121" s="153"/>
      <c r="DF121" s="153"/>
      <c r="DG121" s="153"/>
      <c r="DH121" s="153"/>
      <c r="DI121" s="153"/>
      <c r="DJ121" s="153"/>
      <c r="DK121" s="153"/>
      <c r="DL121" s="153"/>
      <c r="DM121" s="153"/>
      <c r="DN121" s="153"/>
      <c r="DO121" s="153"/>
      <c r="DP121" s="153"/>
      <c r="DQ121" s="153"/>
      <c r="DR121" s="153"/>
      <c r="DS121" s="153"/>
      <c r="DT121" s="153"/>
      <c r="DU121" s="153"/>
      <c r="DV121" s="153"/>
      <c r="DW121" s="153"/>
      <c r="DX121" s="153"/>
      <c r="DY121" s="153"/>
      <c r="DZ121" s="153"/>
      <c r="EA121" s="153"/>
      <c r="EB121" s="153"/>
      <c r="EC121" s="153"/>
      <c r="ED121" s="153"/>
      <c r="EE121" s="153"/>
      <c r="EF121" s="153"/>
      <c r="EG121" s="153"/>
      <c r="EH121" s="153"/>
      <c r="EI121" s="153"/>
      <c r="EJ121" s="153"/>
      <c r="EK121" s="153"/>
      <c r="EL121" s="153"/>
      <c r="EM121" s="153"/>
      <c r="EN121" s="153"/>
      <c r="EO121" s="153"/>
      <c r="EP121" s="153"/>
      <c r="EQ121" s="153"/>
      <c r="ER121" s="153"/>
      <c r="ES121" s="153"/>
      <c r="ET121" s="153"/>
      <c r="EU121" s="153"/>
      <c r="EV121" s="153"/>
      <c r="EW121" s="153"/>
      <c r="EX121" s="153"/>
      <c r="EY121" s="153"/>
      <c r="EZ121" s="153"/>
      <c r="FA121" s="153"/>
      <c r="FB121" s="153"/>
      <c r="FC121" s="153"/>
      <c r="FD121" s="153"/>
      <c r="FE121" s="153"/>
      <c r="FF121" s="153"/>
      <c r="FG121" s="153"/>
      <c r="FH121" s="153"/>
      <c r="FI121" s="153"/>
      <c r="FJ121" s="153"/>
      <c r="FK121" s="153"/>
      <c r="FL121" s="153"/>
      <c r="FM121" s="153"/>
      <c r="FN121" s="153"/>
      <c r="FO121" s="153"/>
      <c r="FP121" s="153"/>
      <c r="FQ121" s="153"/>
      <c r="FR121" s="153"/>
      <c r="FS121" s="153"/>
      <c r="FT121" s="153"/>
      <c r="FU121" s="153"/>
      <c r="FV121" s="153"/>
      <c r="FW121" s="153"/>
      <c r="FX121" s="153"/>
      <c r="FY121" s="153"/>
      <c r="FZ121" s="153"/>
    </row>
    <row r="122" spans="1:182" x14ac:dyDescent="0.2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153"/>
      <c r="BN122" s="153"/>
      <c r="BO122" s="153"/>
      <c r="BP122" s="153"/>
      <c r="BQ122" s="153"/>
      <c r="BR122" s="153"/>
      <c r="BS122" s="153"/>
      <c r="BT122" s="153"/>
      <c r="BU122" s="153"/>
      <c r="BV122" s="153"/>
      <c r="BW122" s="153"/>
      <c r="BX122" s="153"/>
      <c r="BY122" s="153"/>
      <c r="BZ122" s="153"/>
      <c r="CA122" s="153"/>
      <c r="CB122" s="153"/>
      <c r="CC122" s="153"/>
      <c r="CD122" s="153"/>
      <c r="CE122" s="153"/>
      <c r="CF122" s="153"/>
      <c r="CG122" s="153"/>
      <c r="CH122" s="153"/>
      <c r="CI122" s="153"/>
      <c r="CJ122" s="153"/>
      <c r="CK122" s="153"/>
      <c r="CL122" s="153"/>
      <c r="CM122" s="153"/>
      <c r="CN122" s="153"/>
      <c r="CO122" s="153"/>
      <c r="CP122" s="153"/>
      <c r="CQ122" s="153"/>
      <c r="CR122" s="153"/>
      <c r="CS122" s="153"/>
      <c r="CT122" s="153"/>
      <c r="CU122" s="153"/>
      <c r="CV122" s="153"/>
      <c r="CW122" s="153"/>
      <c r="CX122" s="153"/>
      <c r="CY122" s="153"/>
      <c r="CZ122" s="153"/>
      <c r="DA122" s="153"/>
      <c r="DB122" s="153"/>
      <c r="DC122" s="153"/>
      <c r="DD122" s="153"/>
      <c r="DE122" s="153"/>
      <c r="DF122" s="153"/>
      <c r="DG122" s="153"/>
      <c r="DH122" s="153"/>
      <c r="DI122" s="153"/>
      <c r="DJ122" s="153"/>
      <c r="DK122" s="153"/>
      <c r="DL122" s="153"/>
      <c r="DM122" s="153"/>
      <c r="DN122" s="153"/>
      <c r="DO122" s="153"/>
      <c r="DP122" s="153"/>
      <c r="DQ122" s="153"/>
      <c r="DR122" s="153"/>
      <c r="DS122" s="153"/>
      <c r="DT122" s="153"/>
      <c r="DU122" s="153"/>
      <c r="DV122" s="153"/>
      <c r="DW122" s="153"/>
      <c r="DX122" s="153"/>
      <c r="DY122" s="153"/>
      <c r="DZ122" s="153"/>
      <c r="EA122" s="153"/>
      <c r="EB122" s="153"/>
      <c r="EC122" s="153"/>
      <c r="ED122" s="153"/>
      <c r="EE122" s="153"/>
      <c r="EF122" s="153"/>
      <c r="EG122" s="153"/>
      <c r="EH122" s="153"/>
      <c r="EI122" s="153"/>
      <c r="EJ122" s="153"/>
      <c r="EK122" s="153"/>
      <c r="EL122" s="153"/>
      <c r="EM122" s="153"/>
      <c r="EN122" s="153"/>
      <c r="EO122" s="153"/>
      <c r="EP122" s="153"/>
      <c r="EQ122" s="153"/>
      <c r="ER122" s="153"/>
      <c r="ES122" s="153"/>
      <c r="ET122" s="153"/>
      <c r="EU122" s="153"/>
      <c r="EV122" s="153"/>
      <c r="EW122" s="153"/>
      <c r="EX122" s="153"/>
      <c r="EY122" s="153"/>
      <c r="EZ122" s="153"/>
      <c r="FA122" s="153"/>
      <c r="FB122" s="153"/>
      <c r="FC122" s="153"/>
      <c r="FD122" s="153"/>
      <c r="FE122" s="153"/>
      <c r="FF122" s="153"/>
      <c r="FG122" s="153"/>
      <c r="FH122" s="153"/>
      <c r="FI122" s="153"/>
      <c r="FJ122" s="153"/>
      <c r="FK122" s="153"/>
      <c r="FL122" s="153"/>
      <c r="FM122" s="153"/>
      <c r="FN122" s="153"/>
      <c r="FO122" s="153"/>
      <c r="FP122" s="153"/>
      <c r="FQ122" s="153"/>
      <c r="FR122" s="153"/>
      <c r="FS122" s="153"/>
      <c r="FT122" s="153"/>
      <c r="FU122" s="153"/>
      <c r="FV122" s="153"/>
      <c r="FW122" s="153"/>
      <c r="FX122" s="153"/>
      <c r="FY122" s="153"/>
      <c r="FZ122" s="153"/>
    </row>
    <row r="123" spans="1:182" x14ac:dyDescent="0.2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  <c r="BJ123" s="153"/>
      <c r="BK123" s="153"/>
      <c r="BL123" s="153"/>
      <c r="BM123" s="153"/>
      <c r="BN123" s="153"/>
      <c r="BO123" s="153"/>
      <c r="BP123" s="153"/>
      <c r="BQ123" s="153"/>
      <c r="BR123" s="153"/>
      <c r="BS123" s="153"/>
      <c r="BT123" s="153"/>
      <c r="BU123" s="153"/>
      <c r="BV123" s="153"/>
      <c r="BW123" s="153"/>
      <c r="BX123" s="153"/>
      <c r="BY123" s="153"/>
      <c r="BZ123" s="153"/>
      <c r="CA123" s="153"/>
      <c r="CB123" s="153"/>
      <c r="CC123" s="153"/>
      <c r="CD123" s="153"/>
      <c r="CE123" s="153"/>
      <c r="CF123" s="153"/>
      <c r="CG123" s="153"/>
      <c r="CH123" s="153"/>
      <c r="CI123" s="153"/>
      <c r="CJ123" s="153"/>
      <c r="CK123" s="153"/>
      <c r="CL123" s="153"/>
      <c r="CM123" s="153"/>
      <c r="CN123" s="153"/>
      <c r="CO123" s="153"/>
      <c r="CP123" s="153"/>
      <c r="CQ123" s="153"/>
      <c r="CR123" s="153"/>
      <c r="CS123" s="153"/>
      <c r="CT123" s="153"/>
      <c r="CU123" s="153"/>
      <c r="CV123" s="153"/>
      <c r="CW123" s="153"/>
      <c r="CX123" s="153"/>
      <c r="CY123" s="153"/>
      <c r="CZ123" s="153"/>
      <c r="DA123" s="153"/>
      <c r="DB123" s="153"/>
      <c r="DC123" s="153"/>
      <c r="DD123" s="153"/>
      <c r="DE123" s="153"/>
      <c r="DF123" s="153"/>
      <c r="DG123" s="153"/>
      <c r="DH123" s="153"/>
      <c r="DI123" s="153"/>
      <c r="DJ123" s="153"/>
      <c r="DK123" s="153"/>
      <c r="DL123" s="153"/>
      <c r="DM123" s="153"/>
      <c r="DN123" s="153"/>
      <c r="DO123" s="153"/>
      <c r="DP123" s="153"/>
      <c r="DQ123" s="153"/>
      <c r="DR123" s="153"/>
      <c r="DS123" s="153"/>
      <c r="DT123" s="153"/>
      <c r="DU123" s="153"/>
      <c r="DV123" s="153"/>
      <c r="DW123" s="153"/>
      <c r="DX123" s="153"/>
      <c r="DY123" s="153"/>
      <c r="DZ123" s="153"/>
      <c r="EA123" s="153"/>
      <c r="EB123" s="153"/>
      <c r="EC123" s="153"/>
      <c r="ED123" s="153"/>
      <c r="EE123" s="153"/>
      <c r="EF123" s="153"/>
      <c r="EG123" s="153"/>
      <c r="EH123" s="153"/>
      <c r="EI123" s="153"/>
      <c r="EJ123" s="153"/>
      <c r="EK123" s="153"/>
      <c r="EL123" s="153"/>
      <c r="EM123" s="153"/>
      <c r="EN123" s="153"/>
      <c r="EO123" s="153"/>
      <c r="EP123" s="153"/>
      <c r="EQ123" s="153"/>
      <c r="ER123" s="153"/>
      <c r="ES123" s="153"/>
      <c r="ET123" s="153"/>
      <c r="EU123" s="153"/>
      <c r="EV123" s="153"/>
      <c r="EW123" s="153"/>
      <c r="EX123" s="153"/>
      <c r="EY123" s="153"/>
      <c r="EZ123" s="153"/>
      <c r="FA123" s="153"/>
      <c r="FB123" s="153"/>
      <c r="FC123" s="153"/>
      <c r="FD123" s="153"/>
      <c r="FE123" s="153"/>
      <c r="FF123" s="153"/>
      <c r="FG123" s="153"/>
      <c r="FH123" s="153"/>
      <c r="FI123" s="153"/>
      <c r="FJ123" s="153"/>
      <c r="FK123" s="153"/>
      <c r="FL123" s="153"/>
      <c r="FM123" s="153"/>
      <c r="FN123" s="153"/>
      <c r="FO123" s="153"/>
      <c r="FP123" s="153"/>
      <c r="FQ123" s="153"/>
      <c r="FR123" s="153"/>
      <c r="FS123" s="153"/>
      <c r="FT123" s="153"/>
      <c r="FU123" s="153"/>
      <c r="FV123" s="153"/>
      <c r="FW123" s="153"/>
      <c r="FX123" s="153"/>
      <c r="FY123" s="153"/>
      <c r="FZ123" s="153"/>
    </row>
    <row r="124" spans="1:182" x14ac:dyDescent="0.2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153"/>
      <c r="BN124" s="153"/>
      <c r="BO124" s="153"/>
      <c r="BP124" s="153"/>
      <c r="BQ124" s="153"/>
      <c r="BR124" s="153"/>
      <c r="BS124" s="153"/>
      <c r="BT124" s="153"/>
      <c r="BU124" s="153"/>
      <c r="BV124" s="153"/>
      <c r="BW124" s="153"/>
      <c r="BX124" s="153"/>
      <c r="BY124" s="153"/>
      <c r="BZ124" s="153"/>
      <c r="CA124" s="153"/>
      <c r="CB124" s="153"/>
      <c r="CC124" s="153"/>
      <c r="CD124" s="153"/>
      <c r="CE124" s="153"/>
      <c r="CF124" s="153"/>
      <c r="CG124" s="153"/>
      <c r="CH124" s="153"/>
      <c r="CI124" s="153"/>
      <c r="CJ124" s="153"/>
      <c r="CK124" s="153"/>
      <c r="CL124" s="153"/>
      <c r="CM124" s="153"/>
      <c r="CN124" s="153"/>
      <c r="CO124" s="153"/>
      <c r="CP124" s="153"/>
      <c r="CQ124" s="153"/>
      <c r="CR124" s="153"/>
      <c r="CS124" s="153"/>
      <c r="CT124" s="153"/>
      <c r="CU124" s="153"/>
      <c r="CV124" s="153"/>
      <c r="CW124" s="153"/>
      <c r="CX124" s="153"/>
      <c r="CY124" s="153"/>
      <c r="CZ124" s="153"/>
      <c r="DA124" s="153"/>
      <c r="DB124" s="153"/>
      <c r="DC124" s="153"/>
      <c r="DD124" s="153"/>
      <c r="DE124" s="153"/>
      <c r="DF124" s="153"/>
      <c r="DG124" s="153"/>
      <c r="DH124" s="153"/>
      <c r="DI124" s="153"/>
      <c r="DJ124" s="153"/>
      <c r="DK124" s="153"/>
      <c r="DL124" s="153"/>
      <c r="DM124" s="153"/>
      <c r="DN124" s="153"/>
      <c r="DO124" s="153"/>
      <c r="DP124" s="153"/>
      <c r="DQ124" s="153"/>
      <c r="DR124" s="153"/>
      <c r="DS124" s="153"/>
      <c r="DT124" s="153"/>
      <c r="DU124" s="153"/>
      <c r="DV124" s="153"/>
      <c r="DW124" s="153"/>
      <c r="DX124" s="153"/>
      <c r="DY124" s="153"/>
      <c r="DZ124" s="153"/>
      <c r="EA124" s="153"/>
      <c r="EB124" s="153"/>
      <c r="EC124" s="153"/>
      <c r="ED124" s="153"/>
      <c r="EE124" s="153"/>
      <c r="EF124" s="153"/>
      <c r="EG124" s="153"/>
      <c r="EH124" s="153"/>
      <c r="EI124" s="153"/>
      <c r="EJ124" s="153"/>
      <c r="EK124" s="153"/>
      <c r="EL124" s="153"/>
      <c r="EM124" s="153"/>
      <c r="EN124" s="153"/>
      <c r="EO124" s="153"/>
      <c r="EP124" s="153"/>
      <c r="EQ124" s="153"/>
      <c r="ER124" s="153"/>
      <c r="ES124" s="153"/>
      <c r="ET124" s="153"/>
      <c r="EU124" s="153"/>
      <c r="EV124" s="153"/>
      <c r="EW124" s="153"/>
      <c r="EX124" s="153"/>
      <c r="EY124" s="153"/>
      <c r="EZ124" s="153"/>
      <c r="FA124" s="153"/>
      <c r="FB124" s="153"/>
      <c r="FC124" s="153"/>
      <c r="FD124" s="153"/>
      <c r="FE124" s="153"/>
      <c r="FF124" s="153"/>
      <c r="FG124" s="153"/>
      <c r="FH124" s="153"/>
      <c r="FI124" s="153"/>
      <c r="FJ124" s="153"/>
      <c r="FK124" s="153"/>
      <c r="FL124" s="153"/>
      <c r="FM124" s="153"/>
      <c r="FN124" s="153"/>
      <c r="FO124" s="153"/>
      <c r="FP124" s="153"/>
      <c r="FQ124" s="153"/>
      <c r="FR124" s="153"/>
      <c r="FS124" s="153"/>
      <c r="FT124" s="153"/>
      <c r="FU124" s="153"/>
      <c r="FV124" s="153"/>
      <c r="FW124" s="153"/>
      <c r="FX124" s="153"/>
      <c r="FY124" s="153"/>
      <c r="FZ124" s="153"/>
    </row>
    <row r="125" spans="1:182" x14ac:dyDescent="0.2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  <c r="BJ125" s="153"/>
      <c r="BK125" s="153"/>
      <c r="BL125" s="153"/>
      <c r="BM125" s="153"/>
      <c r="BN125" s="153"/>
      <c r="BO125" s="153"/>
      <c r="BP125" s="153"/>
      <c r="BQ125" s="153"/>
      <c r="BR125" s="153"/>
      <c r="BS125" s="153"/>
      <c r="BT125" s="153"/>
      <c r="BU125" s="153"/>
      <c r="BV125" s="153"/>
      <c r="BW125" s="153"/>
      <c r="BX125" s="153"/>
      <c r="BY125" s="153"/>
      <c r="BZ125" s="153"/>
      <c r="CA125" s="153"/>
      <c r="CB125" s="153"/>
      <c r="CC125" s="153"/>
      <c r="CD125" s="153"/>
      <c r="CE125" s="153"/>
      <c r="CF125" s="153"/>
      <c r="CG125" s="153"/>
      <c r="CH125" s="153"/>
      <c r="CI125" s="153"/>
      <c r="CJ125" s="153"/>
      <c r="CK125" s="153"/>
      <c r="CL125" s="153"/>
      <c r="CM125" s="153"/>
      <c r="CN125" s="153"/>
      <c r="CO125" s="153"/>
      <c r="CP125" s="153"/>
      <c r="CQ125" s="153"/>
      <c r="CR125" s="153"/>
      <c r="CS125" s="153"/>
      <c r="CT125" s="153"/>
      <c r="CU125" s="153"/>
      <c r="CV125" s="153"/>
      <c r="CW125" s="153"/>
      <c r="CX125" s="153"/>
      <c r="CY125" s="153"/>
      <c r="CZ125" s="153"/>
      <c r="DA125" s="153"/>
      <c r="DB125" s="153"/>
      <c r="DC125" s="153"/>
      <c r="DD125" s="153"/>
      <c r="DE125" s="153"/>
      <c r="DF125" s="153"/>
      <c r="DG125" s="153"/>
      <c r="DH125" s="153"/>
      <c r="DI125" s="153"/>
      <c r="DJ125" s="153"/>
      <c r="DK125" s="153"/>
      <c r="DL125" s="153"/>
      <c r="DM125" s="153"/>
      <c r="DN125" s="153"/>
      <c r="DO125" s="153"/>
      <c r="DP125" s="153"/>
      <c r="DQ125" s="153"/>
      <c r="DR125" s="153"/>
      <c r="DS125" s="153"/>
      <c r="DT125" s="153"/>
      <c r="DU125" s="153"/>
      <c r="DV125" s="153"/>
      <c r="DW125" s="153"/>
      <c r="DX125" s="153"/>
      <c r="DY125" s="153"/>
      <c r="DZ125" s="153"/>
      <c r="EA125" s="153"/>
      <c r="EB125" s="153"/>
      <c r="EC125" s="153"/>
      <c r="ED125" s="153"/>
      <c r="EE125" s="153"/>
      <c r="EF125" s="153"/>
      <c r="EG125" s="153"/>
      <c r="EH125" s="153"/>
      <c r="EI125" s="153"/>
      <c r="EJ125" s="153"/>
      <c r="EK125" s="153"/>
      <c r="EL125" s="153"/>
      <c r="EM125" s="153"/>
      <c r="EN125" s="153"/>
      <c r="EO125" s="153"/>
      <c r="EP125" s="153"/>
      <c r="EQ125" s="153"/>
      <c r="ER125" s="153"/>
      <c r="ES125" s="153"/>
      <c r="ET125" s="153"/>
      <c r="EU125" s="153"/>
      <c r="EV125" s="153"/>
      <c r="EW125" s="153"/>
      <c r="EX125" s="153"/>
      <c r="EY125" s="153"/>
      <c r="EZ125" s="153"/>
      <c r="FA125" s="153"/>
      <c r="FB125" s="153"/>
      <c r="FC125" s="153"/>
      <c r="FD125" s="153"/>
      <c r="FE125" s="153"/>
      <c r="FF125" s="153"/>
      <c r="FG125" s="153"/>
      <c r="FH125" s="153"/>
      <c r="FI125" s="153"/>
      <c r="FJ125" s="153"/>
      <c r="FK125" s="153"/>
      <c r="FL125" s="153"/>
      <c r="FM125" s="153"/>
      <c r="FN125" s="153"/>
      <c r="FO125" s="153"/>
      <c r="FP125" s="153"/>
      <c r="FQ125" s="153"/>
      <c r="FR125" s="153"/>
      <c r="FS125" s="153"/>
      <c r="FT125" s="153"/>
      <c r="FU125" s="153"/>
      <c r="FV125" s="153"/>
      <c r="FW125" s="153"/>
      <c r="FX125" s="153"/>
      <c r="FY125" s="153"/>
      <c r="FZ125" s="153"/>
    </row>
    <row r="126" spans="1:182" x14ac:dyDescent="0.2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  <c r="BI126" s="153"/>
      <c r="BJ126" s="153"/>
      <c r="BK126" s="153"/>
      <c r="BL126" s="153"/>
      <c r="BM126" s="153"/>
      <c r="BN126" s="153"/>
      <c r="BO126" s="153"/>
      <c r="BP126" s="153"/>
      <c r="BQ126" s="153"/>
      <c r="BR126" s="153"/>
      <c r="BS126" s="153"/>
      <c r="BT126" s="153"/>
      <c r="BU126" s="153"/>
      <c r="BV126" s="153"/>
      <c r="BW126" s="153"/>
      <c r="BX126" s="153"/>
      <c r="BY126" s="153"/>
      <c r="BZ126" s="153"/>
      <c r="CA126" s="153"/>
      <c r="CB126" s="153"/>
      <c r="CC126" s="153"/>
      <c r="CD126" s="153"/>
      <c r="CE126" s="153"/>
      <c r="CF126" s="153"/>
      <c r="CG126" s="153"/>
      <c r="CH126" s="153"/>
      <c r="CI126" s="153"/>
      <c r="CJ126" s="153"/>
      <c r="CK126" s="153"/>
      <c r="CL126" s="153"/>
      <c r="CM126" s="153"/>
      <c r="CN126" s="153"/>
      <c r="CO126" s="153"/>
      <c r="CP126" s="153"/>
      <c r="CQ126" s="153"/>
      <c r="CR126" s="153"/>
      <c r="CS126" s="153"/>
      <c r="CT126" s="153"/>
      <c r="CU126" s="153"/>
      <c r="CV126" s="153"/>
      <c r="CW126" s="153"/>
      <c r="CX126" s="153"/>
      <c r="CY126" s="153"/>
      <c r="CZ126" s="153"/>
      <c r="DA126" s="153"/>
      <c r="DB126" s="153"/>
      <c r="DC126" s="153"/>
      <c r="DD126" s="153"/>
      <c r="DE126" s="153"/>
      <c r="DF126" s="153"/>
      <c r="DG126" s="153"/>
      <c r="DH126" s="153"/>
      <c r="DI126" s="153"/>
      <c r="DJ126" s="153"/>
      <c r="DK126" s="153"/>
      <c r="DL126" s="153"/>
      <c r="DM126" s="153"/>
      <c r="DN126" s="153"/>
      <c r="DO126" s="153"/>
      <c r="DP126" s="153"/>
      <c r="DQ126" s="153"/>
      <c r="DR126" s="153"/>
      <c r="DS126" s="153"/>
      <c r="DT126" s="153"/>
      <c r="DU126" s="153"/>
      <c r="DV126" s="153"/>
      <c r="DW126" s="153"/>
      <c r="DX126" s="153"/>
      <c r="DY126" s="153"/>
      <c r="DZ126" s="153"/>
      <c r="EA126" s="153"/>
      <c r="EB126" s="153"/>
      <c r="EC126" s="153"/>
      <c r="ED126" s="153"/>
      <c r="EE126" s="153"/>
      <c r="EF126" s="153"/>
      <c r="EG126" s="153"/>
      <c r="EH126" s="153"/>
      <c r="EI126" s="153"/>
      <c r="EJ126" s="153"/>
      <c r="EK126" s="153"/>
      <c r="EL126" s="153"/>
      <c r="EM126" s="153"/>
      <c r="EN126" s="153"/>
      <c r="EO126" s="153"/>
      <c r="EP126" s="153"/>
      <c r="EQ126" s="153"/>
      <c r="ER126" s="153"/>
      <c r="ES126" s="153"/>
      <c r="ET126" s="153"/>
      <c r="EU126" s="153"/>
      <c r="EV126" s="153"/>
      <c r="EW126" s="153"/>
      <c r="EX126" s="153"/>
      <c r="EY126" s="153"/>
      <c r="EZ126" s="153"/>
      <c r="FA126" s="153"/>
      <c r="FB126" s="153"/>
      <c r="FC126" s="153"/>
      <c r="FD126" s="153"/>
      <c r="FE126" s="153"/>
      <c r="FF126" s="153"/>
      <c r="FG126" s="153"/>
      <c r="FH126" s="153"/>
      <c r="FI126" s="153"/>
      <c r="FJ126" s="153"/>
      <c r="FK126" s="153"/>
      <c r="FL126" s="153"/>
      <c r="FM126" s="153"/>
      <c r="FN126" s="153"/>
      <c r="FO126" s="153"/>
      <c r="FP126" s="153"/>
      <c r="FQ126" s="153"/>
      <c r="FR126" s="153"/>
      <c r="FS126" s="153"/>
      <c r="FT126" s="153"/>
      <c r="FU126" s="153"/>
      <c r="FV126" s="153"/>
      <c r="FW126" s="153"/>
      <c r="FX126" s="153"/>
      <c r="FY126" s="153"/>
      <c r="FZ126" s="153"/>
    </row>
    <row r="127" spans="1:182" x14ac:dyDescent="0.2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  <c r="BI127" s="153"/>
      <c r="BJ127" s="153"/>
      <c r="BK127" s="153"/>
      <c r="BL127" s="153"/>
      <c r="BM127" s="153"/>
      <c r="BN127" s="153"/>
      <c r="BO127" s="153"/>
      <c r="BP127" s="153"/>
      <c r="BQ127" s="153"/>
      <c r="BR127" s="153"/>
      <c r="BS127" s="153"/>
      <c r="BT127" s="153"/>
      <c r="BU127" s="153"/>
      <c r="BV127" s="153"/>
      <c r="BW127" s="153"/>
      <c r="BX127" s="153"/>
      <c r="BY127" s="153"/>
      <c r="BZ127" s="153"/>
      <c r="CA127" s="153"/>
      <c r="CB127" s="153"/>
      <c r="CC127" s="153"/>
      <c r="CD127" s="153"/>
      <c r="CE127" s="153"/>
      <c r="CF127" s="153"/>
      <c r="CG127" s="153"/>
      <c r="CH127" s="153"/>
      <c r="CI127" s="153"/>
      <c r="CJ127" s="153"/>
      <c r="CK127" s="153"/>
      <c r="CL127" s="153"/>
      <c r="CM127" s="153"/>
      <c r="CN127" s="153"/>
      <c r="CO127" s="153"/>
      <c r="CP127" s="153"/>
      <c r="CQ127" s="153"/>
      <c r="CR127" s="153"/>
      <c r="CS127" s="153"/>
      <c r="CT127" s="153"/>
      <c r="CU127" s="153"/>
      <c r="CV127" s="153"/>
      <c r="CW127" s="153"/>
      <c r="CX127" s="153"/>
      <c r="CY127" s="153"/>
      <c r="CZ127" s="153"/>
      <c r="DA127" s="153"/>
      <c r="DB127" s="153"/>
      <c r="DC127" s="153"/>
      <c r="DD127" s="153"/>
      <c r="DE127" s="153"/>
      <c r="DF127" s="153"/>
      <c r="DG127" s="153"/>
      <c r="DH127" s="153"/>
      <c r="DI127" s="153"/>
      <c r="DJ127" s="153"/>
      <c r="DK127" s="153"/>
      <c r="DL127" s="153"/>
      <c r="DM127" s="153"/>
      <c r="DN127" s="153"/>
      <c r="DO127" s="153"/>
      <c r="DP127" s="153"/>
      <c r="DQ127" s="153"/>
      <c r="DR127" s="153"/>
      <c r="DS127" s="153"/>
      <c r="DT127" s="153"/>
      <c r="DU127" s="153"/>
      <c r="DV127" s="153"/>
      <c r="DW127" s="153"/>
      <c r="DX127" s="153"/>
      <c r="DY127" s="153"/>
      <c r="DZ127" s="153"/>
      <c r="EA127" s="153"/>
      <c r="EB127" s="153"/>
      <c r="EC127" s="153"/>
      <c r="ED127" s="153"/>
      <c r="EE127" s="153"/>
      <c r="EF127" s="153"/>
      <c r="EG127" s="153"/>
      <c r="EH127" s="153"/>
      <c r="EI127" s="153"/>
      <c r="EJ127" s="153"/>
      <c r="EK127" s="153"/>
      <c r="EL127" s="153"/>
      <c r="EM127" s="153"/>
      <c r="EN127" s="153"/>
      <c r="EO127" s="153"/>
      <c r="EP127" s="153"/>
      <c r="EQ127" s="153"/>
      <c r="ER127" s="153"/>
      <c r="ES127" s="153"/>
      <c r="ET127" s="153"/>
      <c r="EU127" s="153"/>
      <c r="EV127" s="153"/>
      <c r="EW127" s="153"/>
      <c r="EX127" s="153"/>
      <c r="EY127" s="153"/>
      <c r="EZ127" s="153"/>
      <c r="FA127" s="153"/>
      <c r="FB127" s="153"/>
      <c r="FC127" s="153"/>
      <c r="FD127" s="153"/>
      <c r="FE127" s="153"/>
      <c r="FF127" s="153"/>
      <c r="FG127" s="153"/>
      <c r="FH127" s="153"/>
      <c r="FI127" s="153"/>
      <c r="FJ127" s="153"/>
      <c r="FK127" s="153"/>
      <c r="FL127" s="153"/>
      <c r="FM127" s="153"/>
      <c r="FN127" s="153"/>
      <c r="FO127" s="153"/>
      <c r="FP127" s="153"/>
      <c r="FQ127" s="153"/>
      <c r="FR127" s="153"/>
      <c r="FS127" s="153"/>
      <c r="FT127" s="153"/>
      <c r="FU127" s="153"/>
      <c r="FV127" s="153"/>
      <c r="FW127" s="153"/>
      <c r="FX127" s="153"/>
      <c r="FY127" s="153"/>
      <c r="FZ127" s="153"/>
    </row>
    <row r="128" spans="1:182" x14ac:dyDescent="0.2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  <c r="BI128" s="153"/>
      <c r="BJ128" s="153"/>
      <c r="BK128" s="153"/>
      <c r="BL128" s="153"/>
      <c r="BM128" s="153"/>
      <c r="BN128" s="153"/>
      <c r="BO128" s="153"/>
      <c r="BP128" s="153"/>
      <c r="BQ128" s="153"/>
      <c r="BR128" s="153"/>
      <c r="BS128" s="153"/>
      <c r="BT128" s="153"/>
      <c r="BU128" s="153"/>
      <c r="BV128" s="153"/>
      <c r="BW128" s="153"/>
      <c r="BX128" s="153"/>
      <c r="BY128" s="153"/>
      <c r="BZ128" s="153"/>
      <c r="CA128" s="153"/>
      <c r="CB128" s="153"/>
      <c r="CC128" s="153"/>
      <c r="CD128" s="153"/>
      <c r="CE128" s="153"/>
      <c r="CF128" s="153"/>
      <c r="CG128" s="153"/>
      <c r="CH128" s="153"/>
      <c r="CI128" s="153"/>
      <c r="CJ128" s="153"/>
      <c r="CK128" s="153"/>
      <c r="CL128" s="153"/>
      <c r="CM128" s="153"/>
      <c r="CN128" s="153"/>
      <c r="CO128" s="153"/>
      <c r="CP128" s="153"/>
      <c r="CQ128" s="153"/>
      <c r="CR128" s="153"/>
      <c r="CS128" s="153"/>
      <c r="CT128" s="153"/>
      <c r="CU128" s="153"/>
      <c r="CV128" s="153"/>
      <c r="CW128" s="153"/>
      <c r="CX128" s="153"/>
      <c r="CY128" s="153"/>
      <c r="CZ128" s="153"/>
      <c r="DA128" s="153"/>
      <c r="DB128" s="153"/>
      <c r="DC128" s="153"/>
      <c r="DD128" s="153"/>
      <c r="DE128" s="153"/>
      <c r="DF128" s="153"/>
      <c r="DG128" s="153"/>
      <c r="DH128" s="153"/>
      <c r="DI128" s="153"/>
      <c r="DJ128" s="153"/>
      <c r="DK128" s="153"/>
      <c r="DL128" s="153"/>
      <c r="DM128" s="153"/>
      <c r="DN128" s="153"/>
      <c r="DO128" s="153"/>
      <c r="DP128" s="153"/>
      <c r="DQ128" s="153"/>
      <c r="DR128" s="153"/>
      <c r="DS128" s="153"/>
      <c r="DT128" s="153"/>
      <c r="DU128" s="153"/>
      <c r="DV128" s="153"/>
      <c r="DW128" s="153"/>
      <c r="DX128" s="153"/>
      <c r="DY128" s="153"/>
      <c r="DZ128" s="153"/>
      <c r="EA128" s="153"/>
      <c r="EB128" s="153"/>
      <c r="EC128" s="153"/>
      <c r="ED128" s="153"/>
      <c r="EE128" s="153"/>
      <c r="EF128" s="153"/>
      <c r="EG128" s="153"/>
      <c r="EH128" s="153"/>
      <c r="EI128" s="153"/>
      <c r="EJ128" s="153"/>
      <c r="EK128" s="153"/>
      <c r="EL128" s="153"/>
      <c r="EM128" s="153"/>
      <c r="EN128" s="153"/>
      <c r="EO128" s="153"/>
      <c r="EP128" s="153"/>
      <c r="EQ128" s="153"/>
      <c r="ER128" s="153"/>
      <c r="ES128" s="153"/>
      <c r="ET128" s="153"/>
      <c r="EU128" s="153"/>
      <c r="EV128" s="153"/>
      <c r="EW128" s="153"/>
      <c r="EX128" s="153"/>
      <c r="EY128" s="153"/>
      <c r="EZ128" s="153"/>
      <c r="FA128" s="153"/>
      <c r="FB128" s="153"/>
      <c r="FC128" s="153"/>
      <c r="FD128" s="153"/>
      <c r="FE128" s="153"/>
      <c r="FF128" s="153"/>
      <c r="FG128" s="153"/>
      <c r="FH128" s="153"/>
      <c r="FI128" s="153"/>
      <c r="FJ128" s="153"/>
      <c r="FK128" s="153"/>
      <c r="FL128" s="153"/>
      <c r="FM128" s="153"/>
      <c r="FN128" s="153"/>
      <c r="FO128" s="153"/>
      <c r="FP128" s="153"/>
      <c r="FQ128" s="153"/>
      <c r="FR128" s="153"/>
      <c r="FS128" s="153"/>
      <c r="FT128" s="153"/>
      <c r="FU128" s="153"/>
      <c r="FV128" s="153"/>
      <c r="FW128" s="153"/>
      <c r="FX128" s="153"/>
      <c r="FY128" s="153"/>
      <c r="FZ128" s="153"/>
    </row>
  </sheetData>
  <sheetProtection password="F88E" sheet="1" objects="1" scenarios="1" formatColumns="0"/>
  <customSheetViews>
    <customSheetView guid="{4BF10618-D357-11D5-9338-EFF21189730A}" showGridLines="0" showRowCol="0" outlineSymbols="0" showRuler="0">
      <selection activeCell="B28" sqref="B28"/>
      <pageMargins left="0.31496062992125984" right="0.51181102362204722" top="0.98425196850393704" bottom="0.98425196850393704" header="0" footer="0"/>
      <printOptions horizontalCentered="1"/>
      <pageSetup scale="60" orientation="landscape" horizontalDpi="180" verticalDpi="180" r:id="rId1"/>
      <headerFooter alignWithMargins="0"/>
    </customSheetView>
  </customSheetViews>
  <mergeCells count="4">
    <mergeCell ref="A1:G1"/>
    <mergeCell ref="A2:G2"/>
    <mergeCell ref="A3:G3"/>
    <mergeCell ref="A4:G4"/>
  </mergeCells>
  <phoneticPr fontId="11" type="noConversion"/>
  <printOptions horizontalCentered="1"/>
  <pageMargins left="0.31496062992125984" right="0.51181102362204722" top="0.98425196850393704" bottom="0.98425196850393704" header="0" footer="0"/>
  <pageSetup scale="60" orientation="landscape" horizontalDpi="180" verticalDpi="180" r:id="rId2"/>
  <headerFooter alignWithMargins="0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R42"/>
  <sheetViews>
    <sheetView showGridLines="0" showOutlineSymbols="0" topLeftCell="A10" zoomScale="115" zoomScaleNormal="115" workbookViewId="0">
      <selection activeCell="A2" sqref="A2:G29"/>
    </sheetView>
  </sheetViews>
  <sheetFormatPr baseColWidth="10" defaultRowHeight="12.75" x14ac:dyDescent="0.2"/>
  <cols>
    <col min="1" max="1" width="27" style="1" customWidth="1"/>
    <col min="2" max="17" width="10.7109375" style="1" customWidth="1"/>
    <col min="18" max="16384" width="11.42578125" style="1"/>
  </cols>
  <sheetData>
    <row r="1" spans="1:17" ht="18" x14ac:dyDescent="0.25">
      <c r="A1" s="662" t="str">
        <f>financiación!A1</f>
        <v>PREFACTIBILIDAD PARA LA CREACIÓN DE UN PRODUCTO; PARA LA FABRICACION DE BLOQUE CON COMPONENTE DE MATERIAL PET</v>
      </c>
      <c r="B1" s="662"/>
      <c r="C1" s="662"/>
      <c r="D1" s="662"/>
      <c r="E1" s="662"/>
      <c r="F1" s="662"/>
      <c r="G1" s="662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 x14ac:dyDescent="0.2">
      <c r="A2" s="666" t="s">
        <v>68</v>
      </c>
      <c r="B2" s="666"/>
      <c r="C2" s="666"/>
      <c r="D2" s="666"/>
      <c r="E2" s="666"/>
      <c r="F2" s="666"/>
      <c r="G2" s="666"/>
      <c r="H2" s="245"/>
      <c r="I2" s="245"/>
      <c r="J2" s="245"/>
      <c r="K2" s="245"/>
      <c r="L2" s="245"/>
      <c r="M2" s="245"/>
      <c r="N2" s="245"/>
      <c r="O2" s="245"/>
      <c r="P2" s="245"/>
      <c r="Q2" s="245"/>
    </row>
    <row r="3" spans="1:17" x14ac:dyDescent="0.2">
      <c r="A3" s="667" t="str">
        <f>IF(Inicio!$E$51="Años","En Años","En Meses")</f>
        <v>En Años</v>
      </c>
      <c r="B3" s="667"/>
      <c r="C3" s="667"/>
      <c r="D3" s="667"/>
      <c r="E3" s="667"/>
      <c r="F3" s="667"/>
      <c r="G3" s="667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ht="13.5" thickBot="1" x14ac:dyDescent="0.25">
      <c r="A4" s="668" t="s">
        <v>276</v>
      </c>
      <c r="B4" s="668"/>
      <c r="C4" s="668"/>
      <c r="D4" s="668"/>
      <c r="E4" s="668"/>
      <c r="F4" s="668"/>
      <c r="G4" s="668"/>
      <c r="H4" s="246"/>
      <c r="I4" s="246"/>
      <c r="J4" s="246"/>
      <c r="K4" s="246"/>
      <c r="L4" s="246"/>
      <c r="M4" s="246"/>
      <c r="N4" s="246"/>
      <c r="O4" s="246"/>
      <c r="P4" s="246"/>
      <c r="Q4" s="246"/>
    </row>
    <row r="5" spans="1:17" ht="13.5" thickBot="1" x14ac:dyDescent="0.25">
      <c r="A5" s="240" t="s">
        <v>4</v>
      </c>
      <c r="B5" s="240">
        <v>0</v>
      </c>
      <c r="C5" s="240">
        <v>1</v>
      </c>
      <c r="D5" s="292">
        <v>2</v>
      </c>
      <c r="E5" s="292">
        <v>3</v>
      </c>
      <c r="F5" s="292">
        <v>4</v>
      </c>
      <c r="G5" s="292">
        <v>5</v>
      </c>
      <c r="H5" s="292">
        <v>6</v>
      </c>
      <c r="I5" s="292">
        <v>7</v>
      </c>
      <c r="J5" s="292">
        <v>8</v>
      </c>
      <c r="K5" s="292">
        <v>9</v>
      </c>
      <c r="L5" s="292">
        <v>10</v>
      </c>
      <c r="M5" s="292">
        <v>11</v>
      </c>
      <c r="N5" s="292">
        <v>12</v>
      </c>
      <c r="O5" s="292">
        <v>13</v>
      </c>
      <c r="P5" s="292">
        <v>14</v>
      </c>
      <c r="Q5" s="315">
        <v>15</v>
      </c>
    </row>
    <row r="6" spans="1:17" x14ac:dyDescent="0.2">
      <c r="A6" s="227" t="s">
        <v>6</v>
      </c>
      <c r="B6" s="239"/>
      <c r="C6" s="316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317"/>
    </row>
    <row r="7" spans="1:17" x14ac:dyDescent="0.2">
      <c r="A7" s="242" t="s">
        <v>265</v>
      </c>
      <c r="B7" s="239">
        <v>0</v>
      </c>
      <c r="C7" s="250">
        <f>+'presupuesto compras y ventas'!B47</f>
        <v>2433692.7999999998</v>
      </c>
      <c r="D7" s="297">
        <f>+'presupuesto compras y ventas'!C47</f>
        <v>2770891.1999999997</v>
      </c>
      <c r="E7" s="297">
        <f>+'presupuesto compras y ventas'!D47</f>
        <v>3006416.9519999996</v>
      </c>
      <c r="F7" s="297">
        <f>+'presupuesto compras y ventas'!E47</f>
        <v>3258568.0511999996</v>
      </c>
      <c r="G7" s="297">
        <f>+'presupuesto compras y ventas'!F47</f>
        <v>3564058.8059999994</v>
      </c>
      <c r="H7" s="297">
        <f>+'presupuesto compras y ventas'!G47</f>
        <v>0</v>
      </c>
      <c r="I7" s="297">
        <f>+'presupuesto compras y ventas'!H47</f>
        <v>0</v>
      </c>
      <c r="J7" s="297">
        <f>+'presupuesto compras y ventas'!I47</f>
        <v>0</v>
      </c>
      <c r="K7" s="297">
        <f>+'presupuesto compras y ventas'!J47</f>
        <v>0</v>
      </c>
      <c r="L7" s="297">
        <f>+'presupuesto compras y ventas'!K47</f>
        <v>0</v>
      </c>
      <c r="M7" s="297">
        <f>+'presupuesto compras y ventas'!L47</f>
        <v>0</v>
      </c>
      <c r="N7" s="297">
        <f>+'presupuesto compras y ventas'!M47</f>
        <v>0</v>
      </c>
      <c r="O7" s="297">
        <f>+'presupuesto compras y ventas'!N47</f>
        <v>0</v>
      </c>
      <c r="P7" s="297">
        <f>+'presupuesto compras y ventas'!O47</f>
        <v>0</v>
      </c>
      <c r="Q7" s="313">
        <f>+'presupuesto compras y ventas'!P47</f>
        <v>0</v>
      </c>
    </row>
    <row r="8" spans="1:17" x14ac:dyDescent="0.2">
      <c r="A8" s="242" t="s">
        <v>380</v>
      </c>
      <c r="B8" s="239"/>
      <c r="C8" s="250">
        <v>0</v>
      </c>
      <c r="D8" s="297">
        <f>IF(Inicio!$E$49&gt;=D5,(IF(Inicio!$E$51="AÑOS",(+'presupuesto compras y ventas'!B46),('presupuesto compras y ventas'!B41))),0)</f>
        <v>0</v>
      </c>
      <c r="E8" s="297">
        <f>IF(Inicio!$E$49&gt;=E5,(IF(Inicio!$E$51="AÑOS",(+'presupuesto compras y ventas'!C46),('presupuesto compras y ventas'!C41))),0)</f>
        <v>0</v>
      </c>
      <c r="F8" s="297">
        <f>IF(Inicio!$E$49&gt;=F5,(IF(Inicio!$E$51="AÑOS",(+'presupuesto compras y ventas'!D46),('presupuesto compras y ventas'!D41))),0)</f>
        <v>0</v>
      </c>
      <c r="G8" s="297">
        <f>IF(Inicio!$E$49&gt;=G5,(IF(Inicio!$E$51="AÑOS",(+'presupuesto compras y ventas'!E46),('presupuesto compras y ventas'!E41))),0)</f>
        <v>0</v>
      </c>
      <c r="H8" s="297">
        <f>IF(Inicio!$E$49&gt;=H5,(IF(Inicio!$E$51="AÑOS",(+'presupuesto compras y ventas'!F46),('presupuesto compras y ventas'!F41))),0)</f>
        <v>0</v>
      </c>
      <c r="I8" s="297">
        <f>IF(Inicio!$E$49&gt;=I5,(IF(Inicio!$E$51="AÑOS",(+'presupuesto compras y ventas'!G46),('presupuesto compras y ventas'!G41))),0)</f>
        <v>0</v>
      </c>
      <c r="J8" s="297">
        <f>IF(Inicio!$E$49&gt;=J5,(IF(Inicio!$E$51="AÑOS",(+'presupuesto compras y ventas'!H46),('presupuesto compras y ventas'!H41))),0)</f>
        <v>0</v>
      </c>
      <c r="K8" s="297">
        <f>IF(Inicio!$E$49&gt;=K5,(IF(Inicio!$E$51="AÑOS",(+'presupuesto compras y ventas'!I46),('presupuesto compras y ventas'!I41))),0)</f>
        <v>0</v>
      </c>
      <c r="L8" s="297">
        <f>IF(Inicio!$E$49&gt;=L5,(IF(Inicio!$E$51="AÑOS",(+'presupuesto compras y ventas'!J46),('presupuesto compras y ventas'!J41))),0)</f>
        <v>0</v>
      </c>
      <c r="M8" s="297">
        <f>IF(Inicio!$E$49&gt;=M5,(IF(Inicio!$E$51="AÑOS",(+'presupuesto compras y ventas'!K46),('presupuesto compras y ventas'!K41))),0)</f>
        <v>0</v>
      </c>
      <c r="N8" s="297">
        <f>IF(Inicio!$E$49&gt;=N5,(IF(Inicio!$E$51="AÑOS",(+'presupuesto compras y ventas'!L46),('presupuesto compras y ventas'!L41))),0)</f>
        <v>0</v>
      </c>
      <c r="O8" s="297">
        <f>IF(Inicio!$E$49&gt;=O5,(IF(Inicio!$E$51="AÑOS",(+'presupuesto compras y ventas'!M46),('presupuesto compras y ventas'!M41))),0)</f>
        <v>0</v>
      </c>
      <c r="P8" s="297">
        <f>IF(Inicio!$E$49&gt;=P5,(IF(Inicio!$E$51="AÑOS",(+'presupuesto compras y ventas'!N46),('presupuesto compras y ventas'!N41))),0)</f>
        <v>0</v>
      </c>
      <c r="Q8" s="313">
        <f>IF(Inicio!$E$49&gt;=Q5,(IF(Inicio!$E$51="AÑOS",(+'presupuesto compras y ventas'!O46),('presupuesto compras y ventas'!O41))),0)</f>
        <v>0</v>
      </c>
    </row>
    <row r="9" spans="1:17" x14ac:dyDescent="0.2">
      <c r="A9" s="242" t="s">
        <v>8</v>
      </c>
      <c r="B9" s="239">
        <v>0</v>
      </c>
      <c r="C9" s="250">
        <f>IF(C$5&lt;=Inicio!$E$49,+B29,0)</f>
        <v>181635.87354507996</v>
      </c>
      <c r="D9" s="297">
        <f>IF(D$5&lt;=Inicio!$E$49,+C29,0)</f>
        <v>334574.15140893962</v>
      </c>
      <c r="E9" s="297">
        <f>IF(E$5&lt;=Inicio!$E$49,+D29,0)</f>
        <v>556994.28979538986</v>
      </c>
      <c r="F9" s="297">
        <f>IF(F$5&lt;=Inicio!$E$49,+E29,0)</f>
        <v>808500.69004836865</v>
      </c>
      <c r="G9" s="297">
        <f>IF(G$5&lt;=Inicio!$E$49,+F29,0)</f>
        <v>1118791.7218290088</v>
      </c>
      <c r="H9" s="297">
        <f>IF(H$5&lt;=Inicio!$E$49,+G29,0)</f>
        <v>0</v>
      </c>
      <c r="I9" s="297">
        <f>IF(I$5&lt;=Inicio!$E$49,+H29,0)</f>
        <v>0</v>
      </c>
      <c r="J9" s="297">
        <f>IF(J$5&lt;=Inicio!$E$49,+I29,0)</f>
        <v>0</v>
      </c>
      <c r="K9" s="297">
        <f>IF(K$5&lt;=Inicio!$E$49,+J29,0)</f>
        <v>0</v>
      </c>
      <c r="L9" s="297">
        <f>IF(L$5&lt;=Inicio!$E$49,+K29,0)</f>
        <v>0</v>
      </c>
      <c r="M9" s="297">
        <f>IF(M$5&lt;=Inicio!$E$49,+L29,0)</f>
        <v>0</v>
      </c>
      <c r="N9" s="297">
        <f>IF(N$5&lt;=Inicio!$E$49,+M29,0)</f>
        <v>0</v>
      </c>
      <c r="O9" s="297">
        <f>IF(O$5&lt;=Inicio!$E$49,+N29,0)</f>
        <v>0</v>
      </c>
      <c r="P9" s="297">
        <f>IF(P$5&lt;=Inicio!$E$49,+O29,0)</f>
        <v>0</v>
      </c>
      <c r="Q9" s="313">
        <f>IF(Q$5&lt;=Inicio!$E$49,+P29,0)</f>
        <v>0</v>
      </c>
    </row>
    <row r="10" spans="1:17" x14ac:dyDescent="0.2">
      <c r="A10" s="242" t="s">
        <v>135</v>
      </c>
      <c r="B10" s="239">
        <f>+financiación!B7+financiación!B18+financiación!B29</f>
        <v>150730.76206352399</v>
      </c>
      <c r="C10" s="250">
        <v>0</v>
      </c>
      <c r="D10" s="297">
        <v>0</v>
      </c>
      <c r="E10" s="297">
        <v>0</v>
      </c>
      <c r="F10" s="297">
        <v>0</v>
      </c>
      <c r="G10" s="297">
        <v>0</v>
      </c>
      <c r="H10" s="297">
        <v>0</v>
      </c>
      <c r="I10" s="297">
        <v>0</v>
      </c>
      <c r="J10" s="297">
        <v>0</v>
      </c>
      <c r="K10" s="297">
        <v>0</v>
      </c>
      <c r="L10" s="297">
        <v>0</v>
      </c>
      <c r="M10" s="297">
        <v>0</v>
      </c>
      <c r="N10" s="297">
        <v>0</v>
      </c>
      <c r="O10" s="297">
        <v>0</v>
      </c>
      <c r="P10" s="297">
        <v>0</v>
      </c>
      <c r="Q10" s="313">
        <v>0</v>
      </c>
    </row>
    <row r="11" spans="1:17" x14ac:dyDescent="0.2">
      <c r="A11" s="242" t="s">
        <v>13</v>
      </c>
      <c r="B11" s="239">
        <f>IF(Inicio!C229=1,+'inversión inicial'!C28,+Inicio!F231)</f>
        <v>351705.11148155597</v>
      </c>
      <c r="C11" s="250">
        <v>0</v>
      </c>
      <c r="D11" s="297">
        <v>0</v>
      </c>
      <c r="E11" s="297">
        <v>0</v>
      </c>
      <c r="F11" s="297">
        <v>0</v>
      </c>
      <c r="G11" s="297">
        <v>0</v>
      </c>
      <c r="H11" s="297">
        <v>0</v>
      </c>
      <c r="I11" s="297">
        <v>0</v>
      </c>
      <c r="J11" s="297">
        <v>0</v>
      </c>
      <c r="K11" s="297">
        <v>0</v>
      </c>
      <c r="L11" s="297">
        <v>0</v>
      </c>
      <c r="M11" s="297">
        <v>0</v>
      </c>
      <c r="N11" s="297">
        <v>0</v>
      </c>
      <c r="O11" s="297">
        <v>0</v>
      </c>
      <c r="P11" s="297">
        <v>0</v>
      </c>
      <c r="Q11" s="313">
        <v>0</v>
      </c>
    </row>
    <row r="12" spans="1:17" ht="13.5" thickBot="1" x14ac:dyDescent="0.25">
      <c r="A12" s="263"/>
      <c r="B12" s="251"/>
      <c r="C12" s="308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305"/>
    </row>
    <row r="13" spans="1:17" ht="13.5" thickBot="1" x14ac:dyDescent="0.25">
      <c r="A13" s="318" t="s">
        <v>9</v>
      </c>
      <c r="B13" s="319">
        <f t="shared" ref="B13:Q13" si="0">SUM(B7:B12)</f>
        <v>502435.87354507996</v>
      </c>
      <c r="C13" s="320">
        <f t="shared" si="0"/>
        <v>2615328.6735450798</v>
      </c>
      <c r="D13" s="320">
        <f t="shared" si="0"/>
        <v>3105465.3514089393</v>
      </c>
      <c r="E13" s="320">
        <f t="shared" si="0"/>
        <v>3563411.2417953894</v>
      </c>
      <c r="F13" s="320">
        <f t="shared" si="0"/>
        <v>4067068.7412483683</v>
      </c>
      <c r="G13" s="320">
        <f t="shared" si="0"/>
        <v>4682850.5278290082</v>
      </c>
      <c r="H13" s="320">
        <f t="shared" si="0"/>
        <v>0</v>
      </c>
      <c r="I13" s="320">
        <f t="shared" si="0"/>
        <v>0</v>
      </c>
      <c r="J13" s="320">
        <f t="shared" si="0"/>
        <v>0</v>
      </c>
      <c r="K13" s="320">
        <f t="shared" si="0"/>
        <v>0</v>
      </c>
      <c r="L13" s="320">
        <f t="shared" si="0"/>
        <v>0</v>
      </c>
      <c r="M13" s="320">
        <f t="shared" si="0"/>
        <v>0</v>
      </c>
      <c r="N13" s="320">
        <f t="shared" si="0"/>
        <v>0</v>
      </c>
      <c r="O13" s="320">
        <f t="shared" si="0"/>
        <v>0</v>
      </c>
      <c r="P13" s="320">
        <f t="shared" si="0"/>
        <v>0</v>
      </c>
      <c r="Q13" s="321">
        <f t="shared" si="0"/>
        <v>0</v>
      </c>
    </row>
    <row r="14" spans="1:17" x14ac:dyDescent="0.2">
      <c r="A14" s="242"/>
      <c r="B14" s="239"/>
      <c r="C14" s="316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317"/>
    </row>
    <row r="15" spans="1:17" x14ac:dyDescent="0.2">
      <c r="A15" s="227" t="s">
        <v>10</v>
      </c>
      <c r="B15" s="239"/>
      <c r="C15" s="250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313"/>
    </row>
    <row r="16" spans="1:17" x14ac:dyDescent="0.2">
      <c r="A16" s="242" t="s">
        <v>266</v>
      </c>
      <c r="B16" s="234"/>
      <c r="C16" s="250">
        <f>IF(Inicio!$E$49&gt;=C5,(IF(Inicio!$E$51="Años",(+'presupuesto compras y ventas'!B81),('presupuesto compras y ventas'!B83))),0)</f>
        <v>1199952.2558034188</v>
      </c>
      <c r="D16" s="297">
        <f>IF(Inicio!$E$49&gt;=D5,(IF(Inicio!$E$51="Años",(+'presupuesto compras y ventas'!C81),('presupuesto compras y ventas'!C81))),0)</f>
        <v>1343323.3281581197</v>
      </c>
      <c r="E16" s="297">
        <f>IF(Inicio!$E$49&gt;=E5,(IF(Inicio!$E$51="Años",(+'presupuesto compras y ventas'!D81),('presupuesto compras y ventas'!D81))),0)</f>
        <v>1456280.0957290381</v>
      </c>
      <c r="F16" s="297">
        <f>IF(Inicio!$E$49&gt;=F5,(IF(Inicio!$E$51="Años",(+'presupuesto compras y ventas'!E81),('presupuesto compras y ventas'!E81))),0)</f>
        <v>1578390.2957574227</v>
      </c>
      <c r="G16" s="297">
        <f>IF(Inicio!$E$49&gt;=G5,(IF(Inicio!$E$51="Años",(+'presupuesto compras y ventas'!F81),('presupuesto compras y ventas'!F81))),0)</f>
        <v>1726643.7006894518</v>
      </c>
      <c r="H16" s="297">
        <f>IF(Inicio!$E$49&gt;=H5,(IF(Inicio!$E$51="Años",(+'presupuesto compras y ventas'!G81),('presupuesto compras y ventas'!G81))),0)</f>
        <v>0</v>
      </c>
      <c r="I16" s="297">
        <f>IF(Inicio!$E$49&gt;=I5,(IF(Inicio!$E$51="Años",(+'presupuesto compras y ventas'!H81),('presupuesto compras y ventas'!H81))),0)</f>
        <v>0</v>
      </c>
      <c r="J16" s="297">
        <f>IF(Inicio!$E$49&gt;=J5,(IF(Inicio!$E$51="Años",(+'presupuesto compras y ventas'!I81),('presupuesto compras y ventas'!I81))),0)</f>
        <v>0</v>
      </c>
      <c r="K16" s="297">
        <f>IF(Inicio!$E$49&gt;=K5,(IF(Inicio!$E$51="Años",(+'presupuesto compras y ventas'!J81),('presupuesto compras y ventas'!J81))),0)</f>
        <v>0</v>
      </c>
      <c r="L16" s="297">
        <f>IF(Inicio!$E$49&gt;=L5,(IF(Inicio!$E$51="Años",(+'presupuesto compras y ventas'!K81),('presupuesto compras y ventas'!K81))),0)</f>
        <v>0</v>
      </c>
      <c r="M16" s="297">
        <f>IF(Inicio!$E$49&gt;=M5,(IF(Inicio!$E$51="Años",(+'presupuesto compras y ventas'!L81),('presupuesto compras y ventas'!L81))),0)</f>
        <v>0</v>
      </c>
      <c r="N16" s="297">
        <f>IF(Inicio!$E$49&gt;=N5,(IF(Inicio!$E$51="Años",(+'presupuesto compras y ventas'!M81),('presupuesto compras y ventas'!M81))),0)</f>
        <v>0</v>
      </c>
      <c r="O16" s="297">
        <f>IF(Inicio!$E$49&gt;=O5,(IF(Inicio!$E$51="Años",(+'presupuesto compras y ventas'!N81),('presupuesto compras y ventas'!N81))),0)</f>
        <v>0</v>
      </c>
      <c r="P16" s="297">
        <f>IF(Inicio!$E$49&gt;=P5,(IF(Inicio!$E$51="Años",(+'presupuesto compras y ventas'!O81),('presupuesto compras y ventas'!O81))),0)</f>
        <v>0</v>
      </c>
      <c r="Q16" s="313">
        <f>IF(Inicio!$E$49&gt;=Q5,(IF(Inicio!$E$51="Años",(+'presupuesto compras y ventas'!P81),('presupuesto compras y ventas'!P81))),0)</f>
        <v>0</v>
      </c>
    </row>
    <row r="17" spans="1:18" x14ac:dyDescent="0.2">
      <c r="A17" s="242" t="s">
        <v>381</v>
      </c>
      <c r="B17" s="234"/>
      <c r="C17" s="250">
        <v>0</v>
      </c>
      <c r="D17" s="297">
        <f>IF(Inicio!$E$49&gt;=D5,(IF(Inicio!$E$51="AÑOS",(+'presupuesto compras y ventas'!B80),('presupuesto compras y ventas'!B77))),0)</f>
        <v>47998.090232136747</v>
      </c>
      <c r="E17" s="297">
        <f>IF(Inicio!$E$49&gt;=E5,(IF(Inicio!$E$51="AÑOS",(+'presupuesto compras y ventas'!C80),('presupuesto compras y ventas'!C77))),0)</f>
        <v>53732.933126324788</v>
      </c>
      <c r="F17" s="297">
        <f>IF(Inicio!$E$49&gt;=F5,(IF(Inicio!$E$51="AÑOS",(+'presupuesto compras y ventas'!D80),('presupuesto compras y ventas'!D77))),0)</f>
        <v>58251.203829161524</v>
      </c>
      <c r="G17" s="297">
        <f>IF(Inicio!$E$49&gt;=G5,(IF(Inicio!$E$51="AÑOS",(+'presupuesto compras y ventas'!E80),('presupuesto compras y ventas'!E77))),0)</f>
        <v>63135.611830296904</v>
      </c>
      <c r="H17" s="297">
        <f>IF(Inicio!$E$49&gt;=H5,(IF(Inicio!$E$51="AÑOS",(+'presupuesto compras y ventas'!F80),('presupuesto compras y ventas'!F77))),0)</f>
        <v>0</v>
      </c>
      <c r="I17" s="297">
        <f>IF(Inicio!$E$49&gt;=I5,(IF(Inicio!$E$51="AÑOS",(+'presupuesto compras y ventas'!G80),('presupuesto compras y ventas'!G77))),0)</f>
        <v>0</v>
      </c>
      <c r="J17" s="297">
        <f>IF(Inicio!$E$49&gt;=J5,(IF(Inicio!$E$51="AÑOS",(+'presupuesto compras y ventas'!H80),('presupuesto compras y ventas'!H77))),0)</f>
        <v>0</v>
      </c>
      <c r="K17" s="297">
        <f>IF(Inicio!$E$49&gt;=K5,(IF(Inicio!$E$51="AÑOS",(+'presupuesto compras y ventas'!I80),('presupuesto compras y ventas'!I77))),0)</f>
        <v>0</v>
      </c>
      <c r="L17" s="297">
        <f>IF(Inicio!$E$49&gt;=L5,(IF(Inicio!$E$51="AÑOS",(+'presupuesto compras y ventas'!J80),('presupuesto compras y ventas'!J77))),0)</f>
        <v>0</v>
      </c>
      <c r="M17" s="297">
        <f>IF(Inicio!$E$49&gt;=M5,(IF(Inicio!$E$51="AÑOS",(+'presupuesto compras y ventas'!K80),('presupuesto compras y ventas'!K77))),0)</f>
        <v>0</v>
      </c>
      <c r="N17" s="297">
        <f>IF(Inicio!$E$49&gt;=N5,(IF(Inicio!$E$51="AÑOS",(+'presupuesto compras y ventas'!L80),('presupuesto compras y ventas'!L77))),0)</f>
        <v>0</v>
      </c>
      <c r="O17" s="297">
        <f>IF(Inicio!$E$49&gt;=O5,(IF(Inicio!$E$51="AÑOS",(+'presupuesto compras y ventas'!M80),('presupuesto compras y ventas'!M77))),0)</f>
        <v>0</v>
      </c>
      <c r="P17" s="297">
        <f>IF(Inicio!$E$49&gt;=P5,(IF(Inicio!$E$51="AÑOS",(+'presupuesto compras y ventas'!N80),('presupuesto compras y ventas'!N77))),0)</f>
        <v>0</v>
      </c>
      <c r="Q17" s="313">
        <f>IF(Inicio!$E$49&gt;=Q5,(IF(Inicio!$E$51="AÑOS",(+'presupuesto compras y ventas'!O80),('presupuesto compras y ventas'!O77))),0)</f>
        <v>0</v>
      </c>
    </row>
    <row r="18" spans="1:18" x14ac:dyDescent="0.2">
      <c r="A18" s="242" t="s">
        <v>382</v>
      </c>
      <c r="B18" s="234"/>
      <c r="C18" s="250">
        <f>+'presupuesto compras y ventas'!B7</f>
        <v>387394.65017376002</v>
      </c>
      <c r="D18" s="297">
        <f>+'presupuesto compras y ventas'!C7</f>
        <v>397079.51642810396</v>
      </c>
      <c r="E18" s="297">
        <f>+'presupuesto compras y ventas'!D7</f>
        <v>407006.50433880655</v>
      </c>
      <c r="F18" s="297">
        <f>+'presupuesto compras y ventas'!E7</f>
        <v>417181.66694727668</v>
      </c>
      <c r="G18" s="297">
        <f>+'presupuesto compras y ventas'!F7</f>
        <v>427611.20862095867</v>
      </c>
      <c r="H18" s="297">
        <f>+'presupuesto compras y ventas'!G7</f>
        <v>0</v>
      </c>
      <c r="I18" s="297">
        <f>+'presupuesto compras y ventas'!H7</f>
        <v>0</v>
      </c>
      <c r="J18" s="297">
        <f>+'presupuesto compras y ventas'!I7</f>
        <v>0</v>
      </c>
      <c r="K18" s="297">
        <f>+'presupuesto compras y ventas'!J7</f>
        <v>0</v>
      </c>
      <c r="L18" s="297">
        <f>+'presupuesto compras y ventas'!K7</f>
        <v>0</v>
      </c>
      <c r="M18" s="297">
        <f>+'presupuesto compras y ventas'!L7</f>
        <v>0</v>
      </c>
      <c r="N18" s="297">
        <f>+'presupuesto compras y ventas'!M7</f>
        <v>0</v>
      </c>
      <c r="O18" s="297">
        <f>+'presupuesto compras y ventas'!N7</f>
        <v>0</v>
      </c>
      <c r="P18" s="297">
        <f>+'presupuesto compras y ventas'!O7</f>
        <v>0</v>
      </c>
      <c r="Q18" s="313">
        <f>+'presupuesto compras y ventas'!P7</f>
        <v>0</v>
      </c>
    </row>
    <row r="19" spans="1:18" x14ac:dyDescent="0.2">
      <c r="A19" s="242" t="s">
        <v>383</v>
      </c>
      <c r="B19" s="234"/>
      <c r="C19" s="250">
        <f>+'presupuesto compras y ventas'!B8</f>
        <v>135600</v>
      </c>
      <c r="D19" s="297">
        <f>+'presupuesto compras y ventas'!C8</f>
        <v>138990</v>
      </c>
      <c r="E19" s="297">
        <f>+'presupuesto compras y ventas'!D8</f>
        <v>142464.75</v>
      </c>
      <c r="F19" s="297">
        <f>+'presupuesto compras y ventas'!E8</f>
        <v>146026.36874999999</v>
      </c>
      <c r="G19" s="297">
        <f>+'presupuesto compras y ventas'!F8</f>
        <v>149677.02796875002</v>
      </c>
      <c r="H19" s="297">
        <f>+'presupuesto compras y ventas'!G8</f>
        <v>0</v>
      </c>
      <c r="I19" s="297">
        <f>+'presupuesto compras y ventas'!H8</f>
        <v>0</v>
      </c>
      <c r="J19" s="297">
        <f>+'presupuesto compras y ventas'!I8</f>
        <v>0</v>
      </c>
      <c r="K19" s="297">
        <f>+'presupuesto compras y ventas'!J8</f>
        <v>0</v>
      </c>
      <c r="L19" s="297">
        <f>+'presupuesto compras y ventas'!K8</f>
        <v>0</v>
      </c>
      <c r="M19" s="297">
        <f>+'presupuesto compras y ventas'!L8</f>
        <v>0</v>
      </c>
      <c r="N19" s="297">
        <f>+'presupuesto compras y ventas'!M8</f>
        <v>0</v>
      </c>
      <c r="O19" s="297">
        <f>+'presupuesto compras y ventas'!N8</f>
        <v>0</v>
      </c>
      <c r="P19" s="297">
        <f>+'presupuesto compras y ventas'!O8</f>
        <v>0</v>
      </c>
      <c r="Q19" s="313">
        <f>+'presupuesto compras y ventas'!P8</f>
        <v>0</v>
      </c>
      <c r="R19" s="2"/>
    </row>
    <row r="20" spans="1:18" x14ac:dyDescent="0.2">
      <c r="A20" s="242" t="s">
        <v>99</v>
      </c>
      <c r="B20" s="234"/>
      <c r="C20" s="250">
        <f>+'análisis inversionista'!C15</f>
        <v>210600</v>
      </c>
      <c r="D20" s="297">
        <f>+'análisis inversionista'!D15</f>
        <v>215865</v>
      </c>
      <c r="E20" s="297">
        <f>+'análisis inversionista'!E15</f>
        <v>221261.625</v>
      </c>
      <c r="F20" s="297">
        <f>+'análisis inversionista'!F15</f>
        <v>226793.16562500002</v>
      </c>
      <c r="G20" s="297">
        <f>+'análisis inversionista'!G15</f>
        <v>232462.99476562502</v>
      </c>
      <c r="H20" s="297">
        <f>+'análisis inversionista'!H15</f>
        <v>0</v>
      </c>
      <c r="I20" s="297">
        <f>+'análisis inversionista'!I15</f>
        <v>0</v>
      </c>
      <c r="J20" s="297">
        <f>+'análisis inversionista'!J15</f>
        <v>0</v>
      </c>
      <c r="K20" s="297">
        <f>+'análisis inversionista'!K15</f>
        <v>0</v>
      </c>
      <c r="L20" s="297">
        <f>+'análisis inversionista'!L15</f>
        <v>0</v>
      </c>
      <c r="M20" s="297">
        <f>+'análisis inversionista'!M15</f>
        <v>0</v>
      </c>
      <c r="N20" s="297">
        <f>+'análisis inversionista'!N15</f>
        <v>0</v>
      </c>
      <c r="O20" s="297">
        <f>+'análisis inversionista'!O15</f>
        <v>0</v>
      </c>
      <c r="P20" s="297">
        <f>+'análisis inversionista'!P15</f>
        <v>0</v>
      </c>
      <c r="Q20" s="313">
        <f>+'análisis inversionista'!Q15</f>
        <v>0</v>
      </c>
    </row>
    <row r="21" spans="1:18" x14ac:dyDescent="0.2">
      <c r="A21" s="242" t="s">
        <v>100</v>
      </c>
      <c r="B21" s="234"/>
      <c r="C21" s="250">
        <f>IF(Inicio!$E$51="Años",(+'análisis inversionista'!C9),('análisis inversionista'!C9))</f>
        <v>311575.03338528005</v>
      </c>
      <c r="D21" s="297">
        <f>+'análisis inversionista'!D9</f>
        <v>319364.40921991202</v>
      </c>
      <c r="E21" s="297">
        <f>+'análisis inversionista'!E9</f>
        <v>327348.5194504098</v>
      </c>
      <c r="F21" s="297">
        <f>+'análisis inversionista'!F9</f>
        <v>335532.23243667011</v>
      </c>
      <c r="G21" s="297">
        <f>+'análisis inversionista'!G9</f>
        <v>343920.53824758681</v>
      </c>
      <c r="H21" s="297">
        <f>+'análisis inversionista'!H9</f>
        <v>0</v>
      </c>
      <c r="I21" s="297">
        <f>+'análisis inversionista'!I9</f>
        <v>0</v>
      </c>
      <c r="J21" s="297">
        <f>+'análisis inversionista'!J9</f>
        <v>0</v>
      </c>
      <c r="K21" s="297">
        <f>+'análisis inversionista'!K9</f>
        <v>0</v>
      </c>
      <c r="L21" s="297">
        <f>+'análisis inversionista'!L9</f>
        <v>0</v>
      </c>
      <c r="M21" s="297">
        <f>+'análisis inversionista'!M9</f>
        <v>0</v>
      </c>
      <c r="N21" s="297">
        <f>+'análisis inversionista'!N9</f>
        <v>0</v>
      </c>
      <c r="O21" s="297">
        <f>+'análisis inversionista'!O9</f>
        <v>0</v>
      </c>
      <c r="P21" s="297">
        <f>+'análisis inversionista'!P9</f>
        <v>0</v>
      </c>
      <c r="Q21" s="313">
        <f>+'análisis inversionista'!Q9</f>
        <v>0</v>
      </c>
    </row>
    <row r="22" spans="1:18" x14ac:dyDescent="0.2">
      <c r="A22" s="242" t="s">
        <v>139</v>
      </c>
      <c r="B22" s="234"/>
      <c r="C22" s="250">
        <f>+'análisis inversionista'!C38</f>
        <v>26210.676888903716</v>
      </c>
      <c r="D22" s="297">
        <f>+'análisis inversionista'!D38</f>
        <v>28045.424271126969</v>
      </c>
      <c r="E22" s="297">
        <f>+'análisis inversionista'!E38</f>
        <v>30008.603970105854</v>
      </c>
      <c r="F22" s="297">
        <f>+'análisis inversionista'!F38</f>
        <v>32109.20624801327</v>
      </c>
      <c r="G22" s="297">
        <f>+'análisis inversionista'!G38</f>
        <v>34356.850685374193</v>
      </c>
      <c r="H22" s="297">
        <f>+'análisis inversionista'!H38</f>
        <v>0</v>
      </c>
      <c r="I22" s="297">
        <f>+'análisis inversionista'!I38</f>
        <v>0</v>
      </c>
      <c r="J22" s="297">
        <f>+'análisis inversionista'!J38</f>
        <v>0</v>
      </c>
      <c r="K22" s="297">
        <f>+'análisis inversionista'!K38</f>
        <v>0</v>
      </c>
      <c r="L22" s="297">
        <f>+'análisis inversionista'!L38</f>
        <v>0</v>
      </c>
      <c r="M22" s="297">
        <f>+'análisis inversionista'!M38</f>
        <v>0</v>
      </c>
      <c r="N22" s="297">
        <f>+'análisis inversionista'!N38</f>
        <v>0</v>
      </c>
      <c r="O22" s="297">
        <f>+'análisis inversionista'!O38</f>
        <v>0</v>
      </c>
      <c r="P22" s="297">
        <f>+'análisis inversionista'!P38</f>
        <v>0</v>
      </c>
      <c r="Q22" s="313">
        <f>+'análisis inversionista'!Q38</f>
        <v>0</v>
      </c>
    </row>
    <row r="23" spans="1:18" x14ac:dyDescent="0.2">
      <c r="A23" s="242" t="s">
        <v>65</v>
      </c>
      <c r="B23" s="239">
        <f>+'inversión inicial'!B20</f>
        <v>299300</v>
      </c>
      <c r="C23" s="250">
        <v>0</v>
      </c>
      <c r="D23" s="297">
        <v>0</v>
      </c>
      <c r="E23" s="297">
        <v>0</v>
      </c>
      <c r="F23" s="297">
        <v>0</v>
      </c>
      <c r="G23" s="297">
        <v>0</v>
      </c>
      <c r="H23" s="297">
        <v>0</v>
      </c>
      <c r="I23" s="297">
        <v>0</v>
      </c>
      <c r="J23" s="297">
        <v>0</v>
      </c>
      <c r="K23" s="297">
        <v>0</v>
      </c>
      <c r="L23" s="297">
        <v>0</v>
      </c>
      <c r="M23" s="297">
        <v>0</v>
      </c>
      <c r="N23" s="297">
        <v>0</v>
      </c>
      <c r="O23" s="297">
        <v>0</v>
      </c>
      <c r="P23" s="297">
        <v>0</v>
      </c>
      <c r="Q23" s="313">
        <v>0</v>
      </c>
    </row>
    <row r="24" spans="1:18" x14ac:dyDescent="0.2">
      <c r="A24" s="242" t="s">
        <v>140</v>
      </c>
      <c r="B24" s="239">
        <f>+'inversión inicial'!B21</f>
        <v>21500</v>
      </c>
      <c r="C24" s="250">
        <v>0</v>
      </c>
      <c r="D24" s="297">
        <v>0</v>
      </c>
      <c r="E24" s="297">
        <v>0</v>
      </c>
      <c r="F24" s="297">
        <v>0</v>
      </c>
      <c r="G24" s="297">
        <v>0</v>
      </c>
      <c r="H24" s="297">
        <v>0</v>
      </c>
      <c r="I24" s="297">
        <v>0</v>
      </c>
      <c r="J24" s="297">
        <v>0</v>
      </c>
      <c r="K24" s="297">
        <v>0</v>
      </c>
      <c r="L24" s="297">
        <v>0</v>
      </c>
      <c r="M24" s="297">
        <v>0</v>
      </c>
      <c r="N24" s="297">
        <v>0</v>
      </c>
      <c r="O24" s="297">
        <v>0</v>
      </c>
      <c r="P24" s="297">
        <v>0</v>
      </c>
      <c r="Q24" s="313">
        <v>0</v>
      </c>
    </row>
    <row r="25" spans="1:18" x14ac:dyDescent="0.2">
      <c r="A25" s="242" t="s">
        <v>28</v>
      </c>
      <c r="B25" s="234"/>
      <c r="C25" s="250">
        <f>+'análisis inversionista'!C12</f>
        <v>9421.9058847775359</v>
      </c>
      <c r="D25" s="297">
        <f>+'análisis inversionista'!D12</f>
        <v>7587.1585025542772</v>
      </c>
      <c r="E25" s="297">
        <f>+'análisis inversionista'!E12</f>
        <v>5623.9788035753891</v>
      </c>
      <c r="F25" s="297">
        <f>+'análisis inversionista'!F12</f>
        <v>3523.3765256679794</v>
      </c>
      <c r="G25" s="297">
        <f>+'análisis inversionista'!G12</f>
        <v>1275.7320883070529</v>
      </c>
      <c r="H25" s="297">
        <f>+'análisis inversionista'!H12</f>
        <v>0</v>
      </c>
      <c r="I25" s="297">
        <f>+'análisis inversionista'!I12</f>
        <v>0</v>
      </c>
      <c r="J25" s="297">
        <f>+'análisis inversionista'!J12</f>
        <v>0</v>
      </c>
      <c r="K25" s="297">
        <f>+'análisis inversionista'!K12</f>
        <v>0</v>
      </c>
      <c r="L25" s="297">
        <f>+'análisis inversionista'!L12</f>
        <v>0</v>
      </c>
      <c r="M25" s="297">
        <f>+'análisis inversionista'!M12</f>
        <v>0</v>
      </c>
      <c r="N25" s="297">
        <f>+'análisis inversionista'!N12</f>
        <v>0</v>
      </c>
      <c r="O25" s="297">
        <f>+'análisis inversionista'!O12</f>
        <v>0</v>
      </c>
      <c r="P25" s="297">
        <f>+'análisis inversionista'!P12</f>
        <v>0</v>
      </c>
      <c r="Q25" s="313">
        <f>+'análisis inversionista'!Q12</f>
        <v>0</v>
      </c>
    </row>
    <row r="26" spans="1:18" ht="13.5" thickBot="1" x14ac:dyDescent="0.25">
      <c r="A26" s="263" t="s">
        <v>14</v>
      </c>
      <c r="B26" s="251">
        <v>0</v>
      </c>
      <c r="C26" s="308">
        <v>0</v>
      </c>
      <c r="D26" s="299">
        <f>IF(D$5&lt;=Inicio!$E$49,+'Estado de Resultado '!B42+'Estado de Resultado '!B21+'Estado de Resultado '!B43,0)</f>
        <v>50218.134801596578</v>
      </c>
      <c r="E26" s="299">
        <f>IF(E$5&lt;=Inicio!$E$49,+'Estado de Resultado '!C42+'Estado de Resultado '!C21+'Estado de Resultado '!C43,0)</f>
        <v>111183.54132876039</v>
      </c>
      <c r="F26" s="299">
        <f>IF(F$5&lt;=Inicio!$E$49,+'Estado de Resultado '!D42+'Estado de Resultado '!D21+'Estado de Resultado '!D43,0)</f>
        <v>150469.50330014742</v>
      </c>
      <c r="G26" s="299">
        <f>IF(G$5&lt;=Inicio!$E$49,+'Estado de Resultado '!E42+'Estado de Resultado '!E21+'Estado de Resultado '!E43,0)</f>
        <v>196400.91256673387</v>
      </c>
      <c r="H26" s="299">
        <f>IF(H$5&lt;=Inicio!$E$49,+'Estado de Resultado '!F42+'Estado de Resultado '!F21+'Estado de Resultado '!F43,0)</f>
        <v>0</v>
      </c>
      <c r="I26" s="299">
        <f>IF(I$5&lt;=Inicio!$E$49,+'Estado de Resultado '!G42+'Estado de Resultado '!G21+'Estado de Resultado '!G43,0)</f>
        <v>0</v>
      </c>
      <c r="J26" s="299">
        <f>IF(J$5&lt;=Inicio!$E$49,+'Estado de Resultado '!H42+'Estado de Resultado '!H21+'Estado de Resultado '!H43,0)</f>
        <v>0</v>
      </c>
      <c r="K26" s="299">
        <f>IF(K$5&lt;=Inicio!$E$49,+'Estado de Resultado '!I42+'Estado de Resultado '!I21+'Estado de Resultado '!I43,0)</f>
        <v>0</v>
      </c>
      <c r="L26" s="299">
        <f>IF(L$5&lt;=Inicio!$E$49,+'Estado de Resultado '!J42+'Estado de Resultado '!J21+'Estado de Resultado '!J43,0)</f>
        <v>0</v>
      </c>
      <c r="M26" s="299">
        <f>IF(M$5&lt;=Inicio!$E$49,+'Estado de Resultado '!K42+'Estado de Resultado '!K21+'Estado de Resultado '!K43,0)</f>
        <v>0</v>
      </c>
      <c r="N26" s="299">
        <f>IF(N$5&lt;=Inicio!$E$49,+'Estado de Resultado '!L42+'Estado de Resultado '!L21+'Estado de Resultado '!L43,0)</f>
        <v>0</v>
      </c>
      <c r="O26" s="299">
        <f>IF(O$5&lt;=Inicio!$E$49,+'Estado de Resultado '!M42+'Estado de Resultado '!M21+'Estado de Resultado '!M43,0)</f>
        <v>0</v>
      </c>
      <c r="P26" s="299">
        <f>IF(P$5&lt;=Inicio!$E$49,+'Estado de Resultado '!N42+'Estado de Resultado '!N21+'Estado de Resultado '!N43,0)</f>
        <v>0</v>
      </c>
      <c r="Q26" s="305">
        <f>IF(Q$5&lt;=Inicio!$E$49,+'Estado de Resultado '!O42+'Estado de Resultado '!O21+'Estado de Resultado '!O43,0)</f>
        <v>0</v>
      </c>
    </row>
    <row r="27" spans="1:18" ht="13.5" thickBot="1" x14ac:dyDescent="0.25">
      <c r="A27" s="322" t="s">
        <v>11</v>
      </c>
      <c r="B27" s="319">
        <f>SUM(B16:B26)</f>
        <v>320800</v>
      </c>
      <c r="C27" s="320">
        <f>SUM(C16:C26)</f>
        <v>2280754.5221361401</v>
      </c>
      <c r="D27" s="320">
        <f t="shared" ref="D27:Q27" si="1">SUM(D16:D26)</f>
        <v>2548471.0616135495</v>
      </c>
      <c r="E27" s="320">
        <f t="shared" si="1"/>
        <v>2754910.5517470208</v>
      </c>
      <c r="F27" s="320">
        <f t="shared" si="1"/>
        <v>2948277.0194193595</v>
      </c>
      <c r="G27" s="320">
        <f t="shared" si="1"/>
        <v>3175484.5774630839</v>
      </c>
      <c r="H27" s="320">
        <f t="shared" si="1"/>
        <v>0</v>
      </c>
      <c r="I27" s="320">
        <f t="shared" si="1"/>
        <v>0</v>
      </c>
      <c r="J27" s="320">
        <f t="shared" si="1"/>
        <v>0</v>
      </c>
      <c r="K27" s="320">
        <f t="shared" si="1"/>
        <v>0</v>
      </c>
      <c r="L27" s="320">
        <f t="shared" si="1"/>
        <v>0</v>
      </c>
      <c r="M27" s="320">
        <f t="shared" si="1"/>
        <v>0</v>
      </c>
      <c r="N27" s="320">
        <f t="shared" si="1"/>
        <v>0</v>
      </c>
      <c r="O27" s="320">
        <f t="shared" si="1"/>
        <v>0</v>
      </c>
      <c r="P27" s="320">
        <f t="shared" si="1"/>
        <v>0</v>
      </c>
      <c r="Q27" s="321">
        <f t="shared" si="1"/>
        <v>0</v>
      </c>
    </row>
    <row r="28" spans="1:18" ht="13.5" thickBot="1" x14ac:dyDescent="0.25">
      <c r="A28" s="263"/>
      <c r="B28" s="251"/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305"/>
    </row>
    <row r="29" spans="1:18" ht="13.5" thickBot="1" x14ac:dyDescent="0.25">
      <c r="A29" s="322" t="s">
        <v>12</v>
      </c>
      <c r="B29" s="319">
        <f t="shared" ref="B29:Q29" si="2">+B13-B27</f>
        <v>181635.87354507996</v>
      </c>
      <c r="C29" s="320">
        <f t="shared" si="2"/>
        <v>334574.15140893962</v>
      </c>
      <c r="D29" s="320">
        <f t="shared" si="2"/>
        <v>556994.28979538986</v>
      </c>
      <c r="E29" s="320">
        <f t="shared" si="2"/>
        <v>808500.69004836865</v>
      </c>
      <c r="F29" s="320">
        <f t="shared" si="2"/>
        <v>1118791.7218290088</v>
      </c>
      <c r="G29" s="320">
        <f t="shared" si="2"/>
        <v>1507365.9503659243</v>
      </c>
      <c r="H29" s="320">
        <f t="shared" si="2"/>
        <v>0</v>
      </c>
      <c r="I29" s="320">
        <f t="shared" si="2"/>
        <v>0</v>
      </c>
      <c r="J29" s="320">
        <f t="shared" si="2"/>
        <v>0</v>
      </c>
      <c r="K29" s="320">
        <f t="shared" si="2"/>
        <v>0</v>
      </c>
      <c r="L29" s="320">
        <f t="shared" si="2"/>
        <v>0</v>
      </c>
      <c r="M29" s="320">
        <f t="shared" si="2"/>
        <v>0</v>
      </c>
      <c r="N29" s="320">
        <f t="shared" si="2"/>
        <v>0</v>
      </c>
      <c r="O29" s="320">
        <f t="shared" si="2"/>
        <v>0</v>
      </c>
      <c r="P29" s="320">
        <f t="shared" si="2"/>
        <v>0</v>
      </c>
      <c r="Q29" s="321">
        <f t="shared" si="2"/>
        <v>0</v>
      </c>
    </row>
    <row r="30" spans="1:18" x14ac:dyDescent="0.2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</row>
    <row r="31" spans="1:18" x14ac:dyDescent="0.2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</row>
    <row r="32" spans="1:18" x14ac:dyDescent="0.2">
      <c r="A32" s="230"/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</row>
    <row r="33" spans="1:17" x14ac:dyDescent="0.2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</row>
    <row r="34" spans="1:17" x14ac:dyDescent="0.2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</row>
    <row r="35" spans="1:17" x14ac:dyDescent="0.2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</row>
    <row r="36" spans="1:17" x14ac:dyDescent="0.2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</row>
    <row r="37" spans="1:17" x14ac:dyDescent="0.2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</row>
    <row r="38" spans="1:17" x14ac:dyDescent="0.2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</row>
    <row r="39" spans="1:17" x14ac:dyDescent="0.2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</row>
    <row r="40" spans="1:17" x14ac:dyDescent="0.2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</row>
    <row r="41" spans="1:17" x14ac:dyDescent="0.2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</row>
    <row r="42" spans="1:17" x14ac:dyDescent="0.2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</row>
  </sheetData>
  <sheetProtection password="F88E" sheet="1" objects="1" scenarios="1" formatColumns="0"/>
  <customSheetViews>
    <customSheetView guid="{4BF10618-D357-11D5-9338-EFF21189730A}" showGridLines="0" outlineSymbols="0" showRuler="0">
      <selection activeCell="P7" sqref="P7"/>
      <pageMargins left="0.31" right="0.51181102362204722" top="0.98425196850393704" bottom="0.98425196850393704" header="0" footer="0"/>
      <printOptions horizontalCentered="1"/>
      <pageSetup scale="55" orientation="landscape" horizontalDpi="300" verticalDpi="300" r:id="rId1"/>
      <headerFooter alignWithMargins="0"/>
    </customSheetView>
  </customSheetViews>
  <mergeCells count="4">
    <mergeCell ref="A1:G1"/>
    <mergeCell ref="A2:G2"/>
    <mergeCell ref="A3:G3"/>
    <mergeCell ref="A4:G4"/>
  </mergeCells>
  <phoneticPr fontId="11" type="noConversion"/>
  <printOptions horizontalCentered="1"/>
  <pageMargins left="0.75" right="0.75" top="0.98425196850393704" bottom="0.98425196850393704" header="0" footer="0"/>
  <pageSetup scale="60" orientation="landscape" horizontalDpi="300" verticalDpi="30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/>
  </sheetPr>
  <dimension ref="A1:Q54"/>
  <sheetViews>
    <sheetView showGridLines="0" showOutlineSymbols="0" zoomScale="80" workbookViewId="0">
      <selection activeCell="A2" sqref="A2:F47"/>
    </sheetView>
  </sheetViews>
  <sheetFormatPr baseColWidth="10" defaultRowHeight="12.75" x14ac:dyDescent="0.2"/>
  <cols>
    <col min="1" max="1" width="32.5703125" style="1" customWidth="1"/>
    <col min="2" max="16" width="12.7109375" style="1" customWidth="1"/>
    <col min="17" max="16384" width="11.42578125" style="1"/>
  </cols>
  <sheetData>
    <row r="1" spans="1:17" ht="18" x14ac:dyDescent="0.25">
      <c r="A1" s="662" t="str">
        <f>flujo!A1</f>
        <v>PREFACTIBILIDAD PARA LA CREACIÓN DE UN PRODUCTO; PARA LA FABRICACION DE BLOQUE CON COMPONENTE DE MATERIAL PET</v>
      </c>
      <c r="B1" s="662"/>
      <c r="C1" s="662"/>
      <c r="D1" s="662"/>
      <c r="E1" s="662"/>
      <c r="F1" s="662"/>
      <c r="G1" s="219"/>
      <c r="H1" s="219"/>
      <c r="I1" s="219"/>
      <c r="J1" s="219"/>
      <c r="K1" s="219"/>
      <c r="L1" s="219"/>
      <c r="M1" s="219"/>
      <c r="N1" s="219"/>
      <c r="O1" s="219"/>
      <c r="P1" s="219"/>
    </row>
    <row r="2" spans="1:17" x14ac:dyDescent="0.2">
      <c r="A2" s="667" t="s">
        <v>263</v>
      </c>
      <c r="B2" s="667"/>
      <c r="C2" s="667"/>
      <c r="D2" s="667"/>
      <c r="E2" s="667"/>
      <c r="F2" s="667"/>
      <c r="G2" s="221"/>
      <c r="H2" s="221"/>
      <c r="I2" s="221"/>
      <c r="J2" s="221"/>
      <c r="K2" s="221"/>
      <c r="L2" s="221"/>
      <c r="M2" s="221"/>
      <c r="N2" s="221"/>
      <c r="O2" s="221"/>
      <c r="P2" s="221"/>
    </row>
    <row r="3" spans="1:17" x14ac:dyDescent="0.2">
      <c r="A3" s="667" t="str">
        <f>IF(Inicio!$E$51="Años","En Años","En Meses")</f>
        <v>En Años</v>
      </c>
      <c r="B3" s="667"/>
      <c r="C3" s="667"/>
      <c r="D3" s="667"/>
      <c r="E3" s="667"/>
      <c r="F3" s="667"/>
      <c r="G3" s="221"/>
      <c r="H3" s="221"/>
      <c r="I3" s="221"/>
      <c r="J3" s="221"/>
      <c r="K3" s="221"/>
      <c r="L3" s="221"/>
      <c r="M3" s="221"/>
      <c r="N3" s="221"/>
      <c r="O3" s="221"/>
      <c r="P3" s="221"/>
    </row>
    <row r="4" spans="1:17" ht="13.5" thickBot="1" x14ac:dyDescent="0.25">
      <c r="A4" s="667" t="s">
        <v>276</v>
      </c>
      <c r="B4" s="667"/>
      <c r="C4" s="667"/>
      <c r="D4" s="667"/>
      <c r="E4" s="667"/>
      <c r="F4" s="667"/>
      <c r="G4" s="246"/>
      <c r="H4" s="221"/>
      <c r="I4" s="221"/>
      <c r="J4" s="221"/>
      <c r="K4" s="221"/>
      <c r="L4" s="221"/>
      <c r="M4" s="221"/>
      <c r="N4" s="221"/>
      <c r="O4" s="221"/>
      <c r="P4" s="221"/>
    </row>
    <row r="5" spans="1:17" ht="13.5" thickBot="1" x14ac:dyDescent="0.25">
      <c r="A5" s="268" t="s">
        <v>2</v>
      </c>
      <c r="B5" s="268">
        <v>1</v>
      </c>
      <c r="C5" s="269">
        <v>2</v>
      </c>
      <c r="D5" s="269">
        <v>3</v>
      </c>
      <c r="E5" s="269">
        <v>4</v>
      </c>
      <c r="F5" s="269">
        <v>5</v>
      </c>
      <c r="G5" s="269">
        <v>6</v>
      </c>
      <c r="H5" s="269">
        <v>7</v>
      </c>
      <c r="I5" s="269">
        <v>8</v>
      </c>
      <c r="J5" s="269">
        <v>9</v>
      </c>
      <c r="K5" s="269">
        <v>10</v>
      </c>
      <c r="L5" s="269">
        <v>11</v>
      </c>
      <c r="M5" s="269">
        <v>12</v>
      </c>
      <c r="N5" s="269">
        <v>13</v>
      </c>
      <c r="O5" s="269">
        <v>14</v>
      </c>
      <c r="P5" s="270">
        <v>15</v>
      </c>
    </row>
    <row r="6" spans="1:17" x14ac:dyDescent="0.2">
      <c r="A6" s="324"/>
      <c r="B6" s="324"/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6"/>
    </row>
    <row r="7" spans="1:17" x14ac:dyDescent="0.2">
      <c r="A7" s="278" t="s">
        <v>0</v>
      </c>
      <c r="B7" s="327" t="s">
        <v>1</v>
      </c>
      <c r="C7" s="328" t="s">
        <v>1</v>
      </c>
      <c r="D7" s="328" t="s">
        <v>1</v>
      </c>
      <c r="E7" s="328" t="s">
        <v>1</v>
      </c>
      <c r="F7" s="328" t="s">
        <v>1</v>
      </c>
      <c r="G7" s="247"/>
      <c r="H7" s="247"/>
      <c r="I7" s="247"/>
      <c r="J7" s="247"/>
      <c r="K7" s="247"/>
      <c r="L7" s="247"/>
      <c r="M7" s="247"/>
      <c r="N7" s="247"/>
      <c r="O7" s="247"/>
      <c r="P7" s="279"/>
    </row>
    <row r="8" spans="1:17" ht="13.5" thickBot="1" x14ac:dyDescent="0.25">
      <c r="A8" s="278" t="s">
        <v>38</v>
      </c>
      <c r="B8" s="329">
        <f>+'presupuesto compras y ventas'!B39</f>
        <v>2433692.7999999998</v>
      </c>
      <c r="C8" s="330">
        <f>+'presupuesto compras y ventas'!C39</f>
        <v>2770891.1999999997</v>
      </c>
      <c r="D8" s="330">
        <f>+'presupuesto compras y ventas'!D39</f>
        <v>3006416.9519999996</v>
      </c>
      <c r="E8" s="330">
        <f>+'presupuesto compras y ventas'!E39</f>
        <v>3258568.0511999996</v>
      </c>
      <c r="F8" s="330">
        <f>+'presupuesto compras y ventas'!F39</f>
        <v>3564058.8059999994</v>
      </c>
      <c r="G8" s="330">
        <f>+'presupuesto compras y ventas'!G39</f>
        <v>0</v>
      </c>
      <c r="H8" s="330">
        <f>+'presupuesto compras y ventas'!H39</f>
        <v>0</v>
      </c>
      <c r="I8" s="330">
        <f>+'presupuesto compras y ventas'!I39</f>
        <v>0</v>
      </c>
      <c r="J8" s="330">
        <f>+'presupuesto compras y ventas'!J39</f>
        <v>0</v>
      </c>
      <c r="K8" s="330">
        <f>+'presupuesto compras y ventas'!K39</f>
        <v>0</v>
      </c>
      <c r="L8" s="330">
        <f>+'presupuesto compras y ventas'!L39</f>
        <v>0</v>
      </c>
      <c r="M8" s="330">
        <f>+'presupuesto compras y ventas'!M39</f>
        <v>0</v>
      </c>
      <c r="N8" s="330">
        <f>+'presupuesto compras y ventas'!N39</f>
        <v>0</v>
      </c>
      <c r="O8" s="330">
        <f>+'presupuesto compras y ventas'!O39</f>
        <v>0</v>
      </c>
      <c r="P8" s="288">
        <f>+'presupuesto compras y ventas'!P39</f>
        <v>0</v>
      </c>
      <c r="Q8" s="25" t="s">
        <v>1</v>
      </c>
    </row>
    <row r="9" spans="1:17" ht="13.5" thickBot="1" x14ac:dyDescent="0.25">
      <c r="A9" s="323" t="s">
        <v>39</v>
      </c>
      <c r="B9" s="331">
        <f>SUM(B8:B8)</f>
        <v>2433692.7999999998</v>
      </c>
      <c r="C9" s="332">
        <f t="shared" ref="C9:P9" si="0">SUM(C8:C8)</f>
        <v>2770891.1999999997</v>
      </c>
      <c r="D9" s="332">
        <f t="shared" si="0"/>
        <v>3006416.9519999996</v>
      </c>
      <c r="E9" s="332">
        <f t="shared" si="0"/>
        <v>3258568.0511999996</v>
      </c>
      <c r="F9" s="332">
        <f t="shared" si="0"/>
        <v>3564058.8059999994</v>
      </c>
      <c r="G9" s="332">
        <f t="shared" si="0"/>
        <v>0</v>
      </c>
      <c r="H9" s="332">
        <f t="shared" si="0"/>
        <v>0</v>
      </c>
      <c r="I9" s="332">
        <f t="shared" si="0"/>
        <v>0</v>
      </c>
      <c r="J9" s="332">
        <f t="shared" si="0"/>
        <v>0</v>
      </c>
      <c r="K9" s="332">
        <f t="shared" si="0"/>
        <v>0</v>
      </c>
      <c r="L9" s="332">
        <f t="shared" si="0"/>
        <v>0</v>
      </c>
      <c r="M9" s="332">
        <f t="shared" si="0"/>
        <v>0</v>
      </c>
      <c r="N9" s="332">
        <f t="shared" si="0"/>
        <v>0</v>
      </c>
      <c r="O9" s="332">
        <f t="shared" si="0"/>
        <v>0</v>
      </c>
      <c r="P9" s="291">
        <f t="shared" si="0"/>
        <v>0</v>
      </c>
      <c r="Q9" s="27" t="s">
        <v>1</v>
      </c>
    </row>
    <row r="10" spans="1:17" ht="13.5" thickBot="1" x14ac:dyDescent="0.25">
      <c r="A10" s="278"/>
      <c r="B10" s="329"/>
      <c r="C10" s="330"/>
      <c r="D10" s="330"/>
      <c r="E10" s="330"/>
      <c r="F10" s="330"/>
      <c r="G10" s="333"/>
      <c r="H10" s="333"/>
      <c r="I10" s="333"/>
      <c r="J10" s="333"/>
      <c r="K10" s="333"/>
      <c r="L10" s="333"/>
      <c r="M10" s="333"/>
      <c r="N10" s="333"/>
      <c r="O10" s="333"/>
      <c r="P10" s="334"/>
    </row>
    <row r="11" spans="1:17" ht="13.5" thickBot="1" x14ac:dyDescent="0.25">
      <c r="A11" s="323" t="s">
        <v>101</v>
      </c>
      <c r="B11" s="331">
        <f>+'presupuesto compras y ventas'!B9</f>
        <v>1747142.1285737599</v>
      </c>
      <c r="C11" s="332">
        <f>+'presupuesto compras y ventas'!C9</f>
        <v>1929827.7900281039</v>
      </c>
      <c r="D11" s="332">
        <f>+'presupuesto compras y ventas'!D9</f>
        <v>2061698.9811948063</v>
      </c>
      <c r="E11" s="332">
        <f>+'presupuesto compras y ventas'!E9</f>
        <v>2202267.7654508762</v>
      </c>
      <c r="F11" s="332">
        <f>+'presupuesto compras y ventas'!F9</f>
        <v>2370009.8160077082</v>
      </c>
      <c r="G11" s="332">
        <f>+'presupuesto compras y ventas'!G9</f>
        <v>0</v>
      </c>
      <c r="H11" s="332">
        <f>+'presupuesto compras y ventas'!H9</f>
        <v>0</v>
      </c>
      <c r="I11" s="332">
        <f>+'presupuesto compras y ventas'!I9</f>
        <v>0</v>
      </c>
      <c r="J11" s="332">
        <f>+'presupuesto compras y ventas'!J9</f>
        <v>0</v>
      </c>
      <c r="K11" s="332">
        <f>+'presupuesto compras y ventas'!K9</f>
        <v>0</v>
      </c>
      <c r="L11" s="332">
        <f>+'presupuesto compras y ventas'!L9</f>
        <v>0</v>
      </c>
      <c r="M11" s="332">
        <f>+'presupuesto compras y ventas'!M9</f>
        <v>0</v>
      </c>
      <c r="N11" s="332">
        <f>+'presupuesto compras y ventas'!N9</f>
        <v>0</v>
      </c>
      <c r="O11" s="332">
        <f>+'presupuesto compras y ventas'!O9</f>
        <v>0</v>
      </c>
      <c r="P11" s="291">
        <f>+'presupuesto compras y ventas'!P9</f>
        <v>0</v>
      </c>
    </row>
    <row r="12" spans="1:17" x14ac:dyDescent="0.2">
      <c r="A12" s="335" t="s">
        <v>1</v>
      </c>
      <c r="B12" s="327"/>
      <c r="C12" s="328"/>
      <c r="D12" s="328"/>
      <c r="E12" s="328"/>
      <c r="F12" s="328"/>
      <c r="G12" s="247"/>
      <c r="H12" s="247"/>
      <c r="I12" s="247"/>
      <c r="J12" s="247"/>
      <c r="K12" s="247"/>
      <c r="L12" s="247"/>
      <c r="M12" s="247"/>
      <c r="N12" s="247"/>
      <c r="O12" s="247"/>
      <c r="P12" s="279"/>
    </row>
    <row r="13" spans="1:17" ht="13.5" thickBot="1" x14ac:dyDescent="0.25">
      <c r="A13" s="335"/>
      <c r="B13" s="329"/>
      <c r="C13" s="330"/>
      <c r="D13" s="330"/>
      <c r="E13" s="330"/>
      <c r="F13" s="330"/>
      <c r="G13" s="333"/>
      <c r="H13" s="333"/>
      <c r="I13" s="333"/>
      <c r="J13" s="333"/>
      <c r="K13" s="333"/>
      <c r="L13" s="333"/>
      <c r="M13" s="333"/>
      <c r="N13" s="333"/>
      <c r="O13" s="333"/>
      <c r="P13" s="334"/>
    </row>
    <row r="14" spans="1:17" ht="13.5" thickBot="1" x14ac:dyDescent="0.25">
      <c r="A14" s="323" t="s">
        <v>419</v>
      </c>
      <c r="B14" s="331">
        <f>+B9-B11</f>
        <v>686550.67142623989</v>
      </c>
      <c r="C14" s="332">
        <f t="shared" ref="C14:P14" si="1">+C9-C11</f>
        <v>841063.40997189586</v>
      </c>
      <c r="D14" s="332">
        <f t="shared" si="1"/>
        <v>944717.9708051933</v>
      </c>
      <c r="E14" s="332">
        <f t="shared" si="1"/>
        <v>1056300.2857491234</v>
      </c>
      <c r="F14" s="332">
        <f t="shared" si="1"/>
        <v>1194048.9899922912</v>
      </c>
      <c r="G14" s="332">
        <f t="shared" si="1"/>
        <v>0</v>
      </c>
      <c r="H14" s="332">
        <f t="shared" si="1"/>
        <v>0</v>
      </c>
      <c r="I14" s="332">
        <f t="shared" si="1"/>
        <v>0</v>
      </c>
      <c r="J14" s="332">
        <f t="shared" si="1"/>
        <v>0</v>
      </c>
      <c r="K14" s="332">
        <f t="shared" si="1"/>
        <v>0</v>
      </c>
      <c r="L14" s="332">
        <f t="shared" si="1"/>
        <v>0</v>
      </c>
      <c r="M14" s="332">
        <f t="shared" si="1"/>
        <v>0</v>
      </c>
      <c r="N14" s="332">
        <f t="shared" si="1"/>
        <v>0</v>
      </c>
      <c r="O14" s="332">
        <f t="shared" si="1"/>
        <v>0</v>
      </c>
      <c r="P14" s="291">
        <f t="shared" si="1"/>
        <v>0</v>
      </c>
    </row>
    <row r="15" spans="1:17" x14ac:dyDescent="0.2">
      <c r="A15" s="278"/>
      <c r="B15" s="327"/>
      <c r="C15" s="328"/>
      <c r="D15" s="328"/>
      <c r="E15" s="328"/>
      <c r="F15" s="328"/>
      <c r="G15" s="247"/>
      <c r="H15" s="247"/>
      <c r="I15" s="247"/>
      <c r="J15" s="247"/>
      <c r="K15" s="247"/>
      <c r="L15" s="247"/>
      <c r="M15" s="247"/>
      <c r="N15" s="247"/>
      <c r="O15" s="247"/>
      <c r="P15" s="279"/>
    </row>
    <row r="16" spans="1:17" x14ac:dyDescent="0.2">
      <c r="A16" s="280" t="s">
        <v>102</v>
      </c>
      <c r="B16" s="327"/>
      <c r="C16" s="328"/>
      <c r="D16" s="328"/>
      <c r="E16" s="328"/>
      <c r="F16" s="328"/>
      <c r="G16" s="247"/>
      <c r="H16" s="247"/>
      <c r="I16" s="247"/>
      <c r="J16" s="247"/>
      <c r="K16" s="247"/>
      <c r="L16" s="247"/>
      <c r="M16" s="247"/>
      <c r="N16" s="247"/>
      <c r="O16" s="247"/>
      <c r="P16" s="279"/>
    </row>
    <row r="17" spans="1:16" x14ac:dyDescent="0.2">
      <c r="A17" s="278" t="s">
        <v>98</v>
      </c>
      <c r="B17" s="336">
        <f>+'gastos personal'!C65</f>
        <v>155419.58400000003</v>
      </c>
      <c r="C17" s="337">
        <f>+'gastos personal'!D65</f>
        <v>159305.07360000003</v>
      </c>
      <c r="D17" s="337">
        <f>+'gastos personal'!E65</f>
        <v>163287.70044000004</v>
      </c>
      <c r="E17" s="337">
        <f>+'gastos personal'!F65</f>
        <v>167369.89295100005</v>
      </c>
      <c r="F17" s="337">
        <f>+'gastos personal'!G65</f>
        <v>171554.14027477504</v>
      </c>
      <c r="G17" s="337">
        <f>+'gastos personal'!H65</f>
        <v>0</v>
      </c>
      <c r="H17" s="337">
        <f>+'gastos personal'!I65</f>
        <v>0</v>
      </c>
      <c r="I17" s="337">
        <f>+'gastos personal'!J65</f>
        <v>0</v>
      </c>
      <c r="J17" s="337">
        <f>+'gastos personal'!K65</f>
        <v>0</v>
      </c>
      <c r="K17" s="337">
        <f>+'gastos personal'!L65</f>
        <v>0</v>
      </c>
      <c r="L17" s="337">
        <f>+'gastos personal'!M65</f>
        <v>0</v>
      </c>
      <c r="M17" s="337">
        <f>+'gastos personal'!N65</f>
        <v>0</v>
      </c>
      <c r="N17" s="337">
        <f>+'gastos personal'!O65</f>
        <v>0</v>
      </c>
      <c r="O17" s="337">
        <f>+'gastos personal'!P65</f>
        <v>0</v>
      </c>
      <c r="P17" s="338">
        <f>+'gastos personal'!Q65</f>
        <v>0</v>
      </c>
    </row>
    <row r="18" spans="1:16" x14ac:dyDescent="0.2">
      <c r="A18" s="278" t="s">
        <v>77</v>
      </c>
      <c r="B18" s="327">
        <f>+'gastos personal'!C66+'gastos personal'!C67</f>
        <v>80571.135323519993</v>
      </c>
      <c r="C18" s="328">
        <f>+'gastos personal'!D66+'gastos personal'!D67</f>
        <v>82585.413706608</v>
      </c>
      <c r="D18" s="328">
        <f>+'gastos personal'!E66+'gastos personal'!E67</f>
        <v>84650.049049273191</v>
      </c>
      <c r="E18" s="328">
        <f>+'gastos personal'!F66+'gastos personal'!F67</f>
        <v>86766.300275505026</v>
      </c>
      <c r="F18" s="328">
        <f>+'gastos personal'!G66+'gastos personal'!G67</f>
        <v>88935.457782392652</v>
      </c>
      <c r="G18" s="328">
        <f>+'gastos personal'!H66+'gastos personal'!H67</f>
        <v>0</v>
      </c>
      <c r="H18" s="328">
        <f>+'gastos personal'!I66+'gastos personal'!I67</f>
        <v>0</v>
      </c>
      <c r="I18" s="328">
        <f>+'gastos personal'!J66+'gastos personal'!J67</f>
        <v>0</v>
      </c>
      <c r="J18" s="328">
        <f>+'gastos personal'!K66+'gastos personal'!K67</f>
        <v>0</v>
      </c>
      <c r="K18" s="328">
        <f>+'gastos personal'!L66+'gastos personal'!L67</f>
        <v>0</v>
      </c>
      <c r="L18" s="328">
        <f>+'gastos personal'!M66+'gastos personal'!M67</f>
        <v>0</v>
      </c>
      <c r="M18" s="328">
        <f>+'gastos personal'!N66+'gastos personal'!N67</f>
        <v>0</v>
      </c>
      <c r="N18" s="328">
        <f>+'gastos personal'!O66+'gastos personal'!O67</f>
        <v>0</v>
      </c>
      <c r="O18" s="328">
        <f>+'gastos personal'!P66+'gastos personal'!P67</f>
        <v>0</v>
      </c>
      <c r="P18" s="282">
        <f>+'gastos personal'!Q66+'gastos personal'!Q67</f>
        <v>0</v>
      </c>
    </row>
    <row r="19" spans="1:16" x14ac:dyDescent="0.2">
      <c r="A19" s="278" t="s">
        <v>103</v>
      </c>
      <c r="B19" s="327">
        <f>SUM(B17:B18)</f>
        <v>235990.71932352002</v>
      </c>
      <c r="C19" s="328">
        <f t="shared" ref="C19:P19" si="2">SUM(C17:C18)</f>
        <v>241890.48730660803</v>
      </c>
      <c r="D19" s="328">
        <f t="shared" si="2"/>
        <v>247937.74948927324</v>
      </c>
      <c r="E19" s="328">
        <f t="shared" si="2"/>
        <v>254136.19322650507</v>
      </c>
      <c r="F19" s="328">
        <f t="shared" si="2"/>
        <v>260489.59805716769</v>
      </c>
      <c r="G19" s="328">
        <f t="shared" si="2"/>
        <v>0</v>
      </c>
      <c r="H19" s="328">
        <f t="shared" si="2"/>
        <v>0</v>
      </c>
      <c r="I19" s="328">
        <f t="shared" si="2"/>
        <v>0</v>
      </c>
      <c r="J19" s="328">
        <f t="shared" si="2"/>
        <v>0</v>
      </c>
      <c r="K19" s="328">
        <f t="shared" si="2"/>
        <v>0</v>
      </c>
      <c r="L19" s="328">
        <f t="shared" si="2"/>
        <v>0</v>
      </c>
      <c r="M19" s="328">
        <f t="shared" si="2"/>
        <v>0</v>
      </c>
      <c r="N19" s="328">
        <f t="shared" si="2"/>
        <v>0</v>
      </c>
      <c r="O19" s="328">
        <f t="shared" si="2"/>
        <v>0</v>
      </c>
      <c r="P19" s="282">
        <f t="shared" si="2"/>
        <v>0</v>
      </c>
    </row>
    <row r="20" spans="1:16" x14ac:dyDescent="0.2">
      <c r="A20" s="278" t="s">
        <v>99</v>
      </c>
      <c r="B20" s="327">
        <f>+'gastos generales'!B23</f>
        <v>111900</v>
      </c>
      <c r="C20" s="328">
        <f>+'gastos generales'!C23</f>
        <v>114697.5</v>
      </c>
      <c r="D20" s="328">
        <f>+'gastos generales'!D23</f>
        <v>117564.9375</v>
      </c>
      <c r="E20" s="328">
        <f>+'gastos generales'!E23</f>
        <v>120504.06093750001</v>
      </c>
      <c r="F20" s="328">
        <f>+'gastos generales'!F23</f>
        <v>123516.66246093751</v>
      </c>
      <c r="G20" s="328">
        <f>+'gastos generales'!G23</f>
        <v>0</v>
      </c>
      <c r="H20" s="328">
        <f>+'gastos generales'!H23</f>
        <v>0</v>
      </c>
      <c r="I20" s="328">
        <f>+'gastos generales'!I23</f>
        <v>0</v>
      </c>
      <c r="J20" s="328">
        <f>+'gastos generales'!J23</f>
        <v>0</v>
      </c>
      <c r="K20" s="328">
        <f>+'gastos generales'!K23</f>
        <v>0</v>
      </c>
      <c r="L20" s="328">
        <f>+'gastos generales'!L23</f>
        <v>0</v>
      </c>
      <c r="M20" s="328">
        <f>+'gastos generales'!M23</f>
        <v>0</v>
      </c>
      <c r="N20" s="328">
        <f>+'gastos generales'!N23</f>
        <v>0</v>
      </c>
      <c r="O20" s="328">
        <f>+'gastos generales'!O23</f>
        <v>0</v>
      </c>
      <c r="P20" s="282">
        <f>+'gastos generales'!P23</f>
        <v>0</v>
      </c>
    </row>
    <row r="21" spans="1:16" x14ac:dyDescent="0.2">
      <c r="A21" s="278" t="s">
        <v>251</v>
      </c>
      <c r="B21" s="327">
        <f>+B8*Inicio!$E$50</f>
        <v>9734.7711999999992</v>
      </c>
      <c r="C21" s="328">
        <f>+C8*Inicio!$E$50</f>
        <v>11083.564799999998</v>
      </c>
      <c r="D21" s="328">
        <f>+D8*Inicio!$E$50</f>
        <v>12025.667807999998</v>
      </c>
      <c r="E21" s="328">
        <f>+E8*Inicio!$E$50</f>
        <v>13034.2722048</v>
      </c>
      <c r="F21" s="328">
        <f>+F8*Inicio!$E$50</f>
        <v>14256.235223999998</v>
      </c>
      <c r="G21" s="328">
        <f>+G8*Inicio!$E$50</f>
        <v>0</v>
      </c>
      <c r="H21" s="328">
        <f>+H8*Inicio!$E$50</f>
        <v>0</v>
      </c>
      <c r="I21" s="328">
        <f>+I8*Inicio!$E$50</f>
        <v>0</v>
      </c>
      <c r="J21" s="328">
        <f>+J8*Inicio!$E$50</f>
        <v>0</v>
      </c>
      <c r="K21" s="328">
        <f>+K8*Inicio!$E$50</f>
        <v>0</v>
      </c>
      <c r="L21" s="328">
        <f>+L8*Inicio!$E$50</f>
        <v>0</v>
      </c>
      <c r="M21" s="328">
        <f>+M8*Inicio!$E$50</f>
        <v>0</v>
      </c>
      <c r="N21" s="328">
        <f>+N8*Inicio!$E$50</f>
        <v>0</v>
      </c>
      <c r="O21" s="328">
        <f>+O8*Inicio!$E$50</f>
        <v>0</v>
      </c>
      <c r="P21" s="282">
        <f>+P8*Inicio!$E$50</f>
        <v>0</v>
      </c>
    </row>
    <row r="22" spans="1:16" x14ac:dyDescent="0.2">
      <c r="A22" s="278" t="s">
        <v>131</v>
      </c>
      <c r="B22" s="327">
        <f>+'gastos depreciación'!D19</f>
        <v>44530</v>
      </c>
      <c r="C22" s="328">
        <f>+'gastos depreciación'!E19</f>
        <v>44530</v>
      </c>
      <c r="D22" s="328">
        <f>+'gastos depreciación'!F19</f>
        <v>44530</v>
      </c>
      <c r="E22" s="328">
        <f>+'gastos depreciación'!G19</f>
        <v>36530</v>
      </c>
      <c r="F22" s="328">
        <f>+'gastos depreciación'!H19</f>
        <v>36530</v>
      </c>
      <c r="G22" s="328">
        <f>+'gastos depreciación'!I19</f>
        <v>0</v>
      </c>
      <c r="H22" s="328">
        <f>+'gastos depreciación'!J19</f>
        <v>0</v>
      </c>
      <c r="I22" s="328">
        <f>+'gastos depreciación'!K19</f>
        <v>0</v>
      </c>
      <c r="J22" s="328">
        <f>+'gastos depreciación'!L19</f>
        <v>0</v>
      </c>
      <c r="K22" s="328">
        <f>+'gastos depreciación'!M19</f>
        <v>0</v>
      </c>
      <c r="L22" s="328">
        <f>+'gastos depreciación'!N19</f>
        <v>0</v>
      </c>
      <c r="M22" s="328">
        <f>+'gastos depreciación'!O19</f>
        <v>0</v>
      </c>
      <c r="N22" s="328">
        <f>+'gastos depreciación'!P19</f>
        <v>0</v>
      </c>
      <c r="O22" s="328">
        <f>+'gastos depreciación'!Q19</f>
        <v>0</v>
      </c>
      <c r="P22" s="282">
        <f>+'gastos depreciación'!R19</f>
        <v>0</v>
      </c>
    </row>
    <row r="23" spans="1:16" x14ac:dyDescent="0.2">
      <c r="A23" s="278" t="s">
        <v>132</v>
      </c>
      <c r="B23" s="327">
        <f>+'gastos depreciación'!D32</f>
        <v>4300</v>
      </c>
      <c r="C23" s="328">
        <f>+'gastos depreciación'!E32</f>
        <v>4300</v>
      </c>
      <c r="D23" s="328">
        <f>+'gastos depreciación'!F32</f>
        <v>4300</v>
      </c>
      <c r="E23" s="328">
        <f>+'gastos depreciación'!G32</f>
        <v>4300</v>
      </c>
      <c r="F23" s="328">
        <f>+'gastos depreciación'!H32</f>
        <v>4300</v>
      </c>
      <c r="G23" s="328">
        <f>+'gastos depreciación'!I32</f>
        <v>0</v>
      </c>
      <c r="H23" s="328">
        <f>+'gastos depreciación'!J32</f>
        <v>0</v>
      </c>
      <c r="I23" s="328">
        <f>+'gastos depreciación'!K32</f>
        <v>0</v>
      </c>
      <c r="J23" s="328">
        <f>+'gastos depreciación'!L32</f>
        <v>0</v>
      </c>
      <c r="K23" s="328">
        <f>+'gastos depreciación'!M32</f>
        <v>0</v>
      </c>
      <c r="L23" s="328">
        <f>+'gastos depreciación'!N32</f>
        <v>0</v>
      </c>
      <c r="M23" s="328">
        <f>+'gastos depreciación'!O32</f>
        <v>0</v>
      </c>
      <c r="N23" s="328">
        <f>+'gastos depreciación'!P32</f>
        <v>0</v>
      </c>
      <c r="O23" s="328">
        <f>+'gastos depreciación'!Q32</f>
        <v>0</v>
      </c>
      <c r="P23" s="282">
        <f>+'gastos depreciación'!R32</f>
        <v>0</v>
      </c>
    </row>
    <row r="24" spans="1:16" x14ac:dyDescent="0.2">
      <c r="A24" s="278" t="s">
        <v>27</v>
      </c>
      <c r="B24" s="327">
        <f>IF(Inicio!$E$49&gt;=B5,(+financiación!C8+financiación!C19+financiación!C30),0)</f>
        <v>9421.9058847775359</v>
      </c>
      <c r="C24" s="328">
        <f>IF(Inicio!$E$49&gt;=C5,(+financiación!D8+financiación!D19+financiación!D30),0)</f>
        <v>7587.1585025542772</v>
      </c>
      <c r="D24" s="328">
        <f>IF(Inicio!$E$49&gt;=D5,(+financiación!E8+financiación!E19+financiación!E30),0)</f>
        <v>5623.9788035753891</v>
      </c>
      <c r="E24" s="328">
        <f>IF(Inicio!$E$49&gt;=E5,(+financiación!F8+financiación!F19+financiación!F30),0)</f>
        <v>3523.3765256679794</v>
      </c>
      <c r="F24" s="328">
        <f>IF(Inicio!$E$49&gt;=F5,(+financiación!G8+financiación!G19+financiación!G30),0)</f>
        <v>1275.7320883070529</v>
      </c>
      <c r="G24" s="328">
        <f>IF(Inicio!$E$49&gt;=G5,(+financiación!H8+financiación!H19+financiación!H30),0)</f>
        <v>0</v>
      </c>
      <c r="H24" s="328">
        <f>IF(Inicio!$E$49&gt;=H5,(+financiación!I8+financiación!I19+financiación!I30),0)</f>
        <v>0</v>
      </c>
      <c r="I24" s="328">
        <f>IF(Inicio!$E$49&gt;=I5,(+financiación!J8+financiación!J19+financiación!J30),0)</f>
        <v>0</v>
      </c>
      <c r="J24" s="328">
        <f>IF(Inicio!$E$49&gt;=J5,(+financiación!K8+financiación!K19+financiación!K30),0)</f>
        <v>0</v>
      </c>
      <c r="K24" s="328">
        <f>IF(Inicio!$E$49&gt;=K5,(+financiación!L8+financiación!L19+financiación!L30),0)</f>
        <v>0</v>
      </c>
      <c r="L24" s="328">
        <f>IF(Inicio!$E$49&gt;=L5,(+financiación!M8+financiación!M19+financiación!M30),0)</f>
        <v>0</v>
      </c>
      <c r="M24" s="328">
        <f>IF(Inicio!$E$49&gt;=M5,(+financiación!N8+financiación!N19+financiación!N30),0)</f>
        <v>0</v>
      </c>
      <c r="N24" s="328">
        <f>IF(Inicio!$E$49&gt;=N5,(+financiación!O8+financiación!O19+financiación!O30),0)</f>
        <v>0</v>
      </c>
      <c r="O24" s="328">
        <f>IF(Inicio!$E$49&gt;=O5,(+financiación!P8+financiación!P19+financiación!P30),0)</f>
        <v>0</v>
      </c>
      <c r="P24" s="282">
        <f>IF(Inicio!$E$49&gt;=P5,(+financiación!Q8+financiación!Q19+financiación!Q30),0)</f>
        <v>0</v>
      </c>
    </row>
    <row r="25" spans="1:16" x14ac:dyDescent="0.2">
      <c r="A25" s="339" t="s">
        <v>43</v>
      </c>
      <c r="B25" s="340">
        <f>SUM(B19:B24)</f>
        <v>415877.39640829759</v>
      </c>
      <c r="C25" s="286">
        <f t="shared" ref="C25:P25" si="3">SUM(C19:C24)</f>
        <v>424088.71060916228</v>
      </c>
      <c r="D25" s="286">
        <f t="shared" si="3"/>
        <v>431982.33360084862</v>
      </c>
      <c r="E25" s="286">
        <f t="shared" si="3"/>
        <v>432027.90289447299</v>
      </c>
      <c r="F25" s="286">
        <f t="shared" si="3"/>
        <v>440368.22783041227</v>
      </c>
      <c r="G25" s="286">
        <f t="shared" si="3"/>
        <v>0</v>
      </c>
      <c r="H25" s="286">
        <f t="shared" si="3"/>
        <v>0</v>
      </c>
      <c r="I25" s="286">
        <f t="shared" si="3"/>
        <v>0</v>
      </c>
      <c r="J25" s="286">
        <f t="shared" si="3"/>
        <v>0</v>
      </c>
      <c r="K25" s="286">
        <f t="shared" si="3"/>
        <v>0</v>
      </c>
      <c r="L25" s="286">
        <f t="shared" si="3"/>
        <v>0</v>
      </c>
      <c r="M25" s="286">
        <f t="shared" si="3"/>
        <v>0</v>
      </c>
      <c r="N25" s="286">
        <f t="shared" si="3"/>
        <v>0</v>
      </c>
      <c r="O25" s="286">
        <f t="shared" si="3"/>
        <v>0</v>
      </c>
      <c r="P25" s="341">
        <f t="shared" si="3"/>
        <v>0</v>
      </c>
    </row>
    <row r="26" spans="1:16" x14ac:dyDescent="0.2">
      <c r="A26" s="339"/>
      <c r="B26" s="340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341"/>
    </row>
    <row r="27" spans="1:16" x14ac:dyDescent="0.2">
      <c r="A27" s="280" t="s">
        <v>104</v>
      </c>
      <c r="B27" s="327"/>
      <c r="C27" s="328"/>
      <c r="D27" s="328"/>
      <c r="E27" s="328"/>
      <c r="F27" s="328"/>
      <c r="G27" s="247"/>
      <c r="H27" s="247"/>
      <c r="I27" s="247"/>
      <c r="J27" s="247"/>
      <c r="K27" s="247"/>
      <c r="L27" s="247"/>
      <c r="M27" s="247"/>
      <c r="N27" s="247"/>
      <c r="O27" s="247"/>
      <c r="P27" s="279"/>
    </row>
    <row r="28" spans="1:16" x14ac:dyDescent="0.2">
      <c r="A28" s="278" t="s">
        <v>98</v>
      </c>
      <c r="B28" s="327">
        <f>+'gastos personal'!C71</f>
        <v>49989.792000000001</v>
      </c>
      <c r="C28" s="328">
        <f>+'gastos personal'!D71</f>
        <v>51239.536800000002</v>
      </c>
      <c r="D28" s="328">
        <f>+'gastos personal'!E71</f>
        <v>52520.525220000003</v>
      </c>
      <c r="E28" s="328">
        <f>+'gastos personal'!F71</f>
        <v>53833.538350500006</v>
      </c>
      <c r="F28" s="328">
        <f>+'gastos personal'!G71</f>
        <v>55179.376809262503</v>
      </c>
      <c r="G28" s="328">
        <f>+'gastos personal'!H71</f>
        <v>0</v>
      </c>
      <c r="H28" s="328">
        <f>+'gastos personal'!I71</f>
        <v>0</v>
      </c>
      <c r="I28" s="328">
        <f>+'gastos personal'!J71</f>
        <v>0</v>
      </c>
      <c r="J28" s="328">
        <f>+'gastos personal'!K71</f>
        <v>0</v>
      </c>
      <c r="K28" s="328">
        <f>+'gastos personal'!L71</f>
        <v>0</v>
      </c>
      <c r="L28" s="328">
        <f>+'gastos personal'!M71</f>
        <v>0</v>
      </c>
      <c r="M28" s="328">
        <f>+'gastos personal'!N71</f>
        <v>0</v>
      </c>
      <c r="N28" s="328">
        <f>+'gastos personal'!O71</f>
        <v>0</v>
      </c>
      <c r="O28" s="328">
        <f>+'gastos personal'!P71</f>
        <v>0</v>
      </c>
      <c r="P28" s="282">
        <f>+'gastos personal'!Q71</f>
        <v>0</v>
      </c>
    </row>
    <row r="29" spans="1:16" x14ac:dyDescent="0.2">
      <c r="A29" s="278" t="s">
        <v>77</v>
      </c>
      <c r="B29" s="327">
        <f>+'gastos personal'!C72+'gastos personal'!C73</f>
        <v>25594.522061759999</v>
      </c>
      <c r="C29" s="328">
        <f>+'gastos personal'!D72+'gastos personal'!D73</f>
        <v>26234.385113304001</v>
      </c>
      <c r="D29" s="328">
        <f>+'gastos personal'!E72+'gastos personal'!E73</f>
        <v>26890.244741136601</v>
      </c>
      <c r="E29" s="328">
        <f>+'gastos personal'!F72+'gastos personal'!F73</f>
        <v>27562.500859665015</v>
      </c>
      <c r="F29" s="328">
        <f>+'gastos personal'!G72+'gastos personal'!G73</f>
        <v>28251.563381156644</v>
      </c>
      <c r="G29" s="328">
        <f>+'gastos personal'!H72+'gastos personal'!H73</f>
        <v>0</v>
      </c>
      <c r="H29" s="328">
        <f>+'gastos personal'!I72+'gastos personal'!I73</f>
        <v>0</v>
      </c>
      <c r="I29" s="328">
        <f>+'gastos personal'!J72+'gastos personal'!J73</f>
        <v>0</v>
      </c>
      <c r="J29" s="328">
        <f>+'gastos personal'!K72+'gastos personal'!K73</f>
        <v>0</v>
      </c>
      <c r="K29" s="328">
        <f>+'gastos personal'!L72+'gastos personal'!L73</f>
        <v>0</v>
      </c>
      <c r="L29" s="328">
        <f>+'gastos personal'!M72+'gastos personal'!M73</f>
        <v>0</v>
      </c>
      <c r="M29" s="328">
        <f>+'gastos personal'!N72+'gastos personal'!N73</f>
        <v>0</v>
      </c>
      <c r="N29" s="328">
        <f>+'gastos personal'!O72+'gastos personal'!O73</f>
        <v>0</v>
      </c>
      <c r="O29" s="328">
        <f>+'gastos personal'!P72+'gastos personal'!P73</f>
        <v>0</v>
      </c>
      <c r="P29" s="282">
        <f>+'gastos personal'!Q72+'gastos personal'!Q73</f>
        <v>0</v>
      </c>
    </row>
    <row r="30" spans="1:16" x14ac:dyDescent="0.2">
      <c r="A30" s="278" t="s">
        <v>103</v>
      </c>
      <c r="B30" s="327">
        <f>SUM(B28:B29)</f>
        <v>75584.31406176</v>
      </c>
      <c r="C30" s="328">
        <f>SUM(C28:C29)</f>
        <v>77473.921913304002</v>
      </c>
      <c r="D30" s="328">
        <f t="shared" ref="D30:P30" si="4">SUM(D28:D29)</f>
        <v>79410.769961136597</v>
      </c>
      <c r="E30" s="328">
        <f t="shared" si="4"/>
        <v>81396.039210165021</v>
      </c>
      <c r="F30" s="328">
        <f t="shared" si="4"/>
        <v>83430.940190419147</v>
      </c>
      <c r="G30" s="328">
        <f t="shared" si="4"/>
        <v>0</v>
      </c>
      <c r="H30" s="328">
        <f t="shared" si="4"/>
        <v>0</v>
      </c>
      <c r="I30" s="328">
        <f t="shared" si="4"/>
        <v>0</v>
      </c>
      <c r="J30" s="328">
        <f t="shared" si="4"/>
        <v>0</v>
      </c>
      <c r="K30" s="328">
        <f t="shared" si="4"/>
        <v>0</v>
      </c>
      <c r="L30" s="328">
        <f t="shared" si="4"/>
        <v>0</v>
      </c>
      <c r="M30" s="328">
        <f t="shared" si="4"/>
        <v>0</v>
      </c>
      <c r="N30" s="328">
        <f t="shared" si="4"/>
        <v>0</v>
      </c>
      <c r="O30" s="328">
        <f t="shared" si="4"/>
        <v>0</v>
      </c>
      <c r="P30" s="282">
        <f t="shared" si="4"/>
        <v>0</v>
      </c>
    </row>
    <row r="31" spans="1:16" x14ac:dyDescent="0.2">
      <c r="A31" s="278" t="s">
        <v>104</v>
      </c>
      <c r="B31" s="327">
        <f>+'gastos generales'!B45</f>
        <v>98700</v>
      </c>
      <c r="C31" s="328">
        <f>+'gastos generales'!C45</f>
        <v>101167.5</v>
      </c>
      <c r="D31" s="328">
        <f>+'gastos generales'!D45</f>
        <v>103696.6875</v>
      </c>
      <c r="E31" s="328">
        <f>+'gastos generales'!E45</f>
        <v>106289.1046875</v>
      </c>
      <c r="F31" s="328">
        <f>+'gastos generales'!F45</f>
        <v>108946.3323046875</v>
      </c>
      <c r="G31" s="328">
        <f>+'gastos generales'!G45</f>
        <v>0</v>
      </c>
      <c r="H31" s="328">
        <f>+'gastos generales'!H45</f>
        <v>0</v>
      </c>
      <c r="I31" s="328">
        <f>+'gastos generales'!I45</f>
        <v>0</v>
      </c>
      <c r="J31" s="328">
        <f>+'gastos generales'!J45</f>
        <v>0</v>
      </c>
      <c r="K31" s="328">
        <f>+'gastos generales'!K45</f>
        <v>0</v>
      </c>
      <c r="L31" s="328">
        <f>+'gastos generales'!L45</f>
        <v>0</v>
      </c>
      <c r="M31" s="328">
        <f>+'gastos generales'!M45</f>
        <v>0</v>
      </c>
      <c r="N31" s="328">
        <f>+'gastos generales'!N45</f>
        <v>0</v>
      </c>
      <c r="O31" s="328">
        <f>+'gastos generales'!O45</f>
        <v>0</v>
      </c>
      <c r="P31" s="282">
        <f>+'gastos generales'!P45</f>
        <v>0</v>
      </c>
    </row>
    <row r="32" spans="1:16" x14ac:dyDescent="0.2">
      <c r="A32" s="339" t="s">
        <v>105</v>
      </c>
      <c r="B32" s="340">
        <f>SUM(B30:B31)</f>
        <v>174284.31406176</v>
      </c>
      <c r="C32" s="286">
        <f t="shared" ref="C32:P32" si="5">SUM(C30:C31)</f>
        <v>178641.42191330402</v>
      </c>
      <c r="D32" s="286">
        <f t="shared" si="5"/>
        <v>183107.4574611366</v>
      </c>
      <c r="E32" s="286">
        <f t="shared" si="5"/>
        <v>187685.14389766502</v>
      </c>
      <c r="F32" s="286">
        <f t="shared" si="5"/>
        <v>192377.27249510665</v>
      </c>
      <c r="G32" s="286">
        <f t="shared" si="5"/>
        <v>0</v>
      </c>
      <c r="H32" s="286">
        <f t="shared" si="5"/>
        <v>0</v>
      </c>
      <c r="I32" s="286">
        <f t="shared" si="5"/>
        <v>0</v>
      </c>
      <c r="J32" s="286">
        <f t="shared" si="5"/>
        <v>0</v>
      </c>
      <c r="K32" s="286">
        <f t="shared" si="5"/>
        <v>0</v>
      </c>
      <c r="L32" s="286">
        <f t="shared" si="5"/>
        <v>0</v>
      </c>
      <c r="M32" s="286">
        <f t="shared" si="5"/>
        <v>0</v>
      </c>
      <c r="N32" s="286">
        <f t="shared" si="5"/>
        <v>0</v>
      </c>
      <c r="O32" s="286">
        <f t="shared" si="5"/>
        <v>0</v>
      </c>
      <c r="P32" s="341">
        <f t="shared" si="5"/>
        <v>0</v>
      </c>
    </row>
    <row r="33" spans="1:16" ht="13.5" thickBot="1" x14ac:dyDescent="0.25">
      <c r="A33" s="278"/>
      <c r="B33" s="342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4"/>
    </row>
    <row r="34" spans="1:16" ht="13.5" thickBot="1" x14ac:dyDescent="0.25">
      <c r="A34" s="323" t="s">
        <v>106</v>
      </c>
      <c r="B34" s="331">
        <f>+B32+B25</f>
        <v>590161.71047005756</v>
      </c>
      <c r="C34" s="332">
        <f>+C32+C25</f>
        <v>602730.13252246636</v>
      </c>
      <c r="D34" s="332">
        <f>+D32+D25</f>
        <v>615089.79106198519</v>
      </c>
      <c r="E34" s="332">
        <f>+E32+E25</f>
        <v>619713.04679213802</v>
      </c>
      <c r="F34" s="332">
        <f>+F32+F25</f>
        <v>632745.50032551889</v>
      </c>
      <c r="G34" s="332">
        <f t="shared" ref="G34:P34" si="6">+G32+G25</f>
        <v>0</v>
      </c>
      <c r="H34" s="332">
        <f t="shared" si="6"/>
        <v>0</v>
      </c>
      <c r="I34" s="332">
        <f t="shared" si="6"/>
        <v>0</v>
      </c>
      <c r="J34" s="332">
        <f t="shared" si="6"/>
        <v>0</v>
      </c>
      <c r="K34" s="332">
        <f t="shared" si="6"/>
        <v>0</v>
      </c>
      <c r="L34" s="332">
        <f t="shared" si="6"/>
        <v>0</v>
      </c>
      <c r="M34" s="332">
        <f t="shared" si="6"/>
        <v>0</v>
      </c>
      <c r="N34" s="332">
        <f t="shared" si="6"/>
        <v>0</v>
      </c>
      <c r="O34" s="332">
        <f t="shared" si="6"/>
        <v>0</v>
      </c>
      <c r="P34" s="291">
        <f t="shared" si="6"/>
        <v>0</v>
      </c>
    </row>
    <row r="35" spans="1:16" ht="13.5" thickBot="1" x14ac:dyDescent="0.25">
      <c r="A35" s="278"/>
      <c r="B35" s="343">
        <f>+B34/B9</f>
        <v>0.24249638675434204</v>
      </c>
      <c r="C35" s="344">
        <f>+C34/C9</f>
        <v>0.217522121591229</v>
      </c>
      <c r="D35" s="344">
        <f>+D34/D9</f>
        <v>0.20459231067493838</v>
      </c>
      <c r="E35" s="344">
        <f>+E34/E9</f>
        <v>0.19017956263455127</v>
      </c>
      <c r="F35" s="344">
        <f>+F34/F9</f>
        <v>0.17753508984203864</v>
      </c>
      <c r="G35" s="333"/>
      <c r="H35" s="333"/>
      <c r="I35" s="333"/>
      <c r="J35" s="333"/>
      <c r="K35" s="333"/>
      <c r="L35" s="333"/>
      <c r="M35" s="333"/>
      <c r="N35" s="333"/>
      <c r="O35" s="333"/>
      <c r="P35" s="334"/>
    </row>
    <row r="36" spans="1:16" ht="13.5" thickBot="1" x14ac:dyDescent="0.25">
      <c r="A36" s="323" t="s">
        <v>418</v>
      </c>
      <c r="B36" s="331">
        <f>+B14-B34</f>
        <v>96388.960956182331</v>
      </c>
      <c r="C36" s="332">
        <f>+C14-C34</f>
        <v>238333.2774494295</v>
      </c>
      <c r="D36" s="332">
        <f>+D14-D34</f>
        <v>329628.17974320811</v>
      </c>
      <c r="E36" s="332">
        <f>+E14-E34</f>
        <v>436587.23895698541</v>
      </c>
      <c r="F36" s="332">
        <f>+F14-F34</f>
        <v>561303.48966677231</v>
      </c>
      <c r="G36" s="332">
        <f t="shared" ref="G36:P36" si="7">+G14-G34</f>
        <v>0</v>
      </c>
      <c r="H36" s="332">
        <f t="shared" si="7"/>
        <v>0</v>
      </c>
      <c r="I36" s="332">
        <f t="shared" si="7"/>
        <v>0</v>
      </c>
      <c r="J36" s="332">
        <f t="shared" si="7"/>
        <v>0</v>
      </c>
      <c r="K36" s="332">
        <f t="shared" si="7"/>
        <v>0</v>
      </c>
      <c r="L36" s="332">
        <f t="shared" si="7"/>
        <v>0</v>
      </c>
      <c r="M36" s="332">
        <f t="shared" si="7"/>
        <v>0</v>
      </c>
      <c r="N36" s="332">
        <f t="shared" si="7"/>
        <v>0</v>
      </c>
      <c r="O36" s="332">
        <f t="shared" si="7"/>
        <v>0</v>
      </c>
      <c r="P36" s="291">
        <f t="shared" si="7"/>
        <v>0</v>
      </c>
    </row>
    <row r="37" spans="1:16" ht="13.5" thickBot="1" x14ac:dyDescent="0.25">
      <c r="A37" s="280"/>
      <c r="B37" s="331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291"/>
    </row>
    <row r="38" spans="1:16" x14ac:dyDescent="0.2">
      <c r="A38" s="278"/>
      <c r="B38" s="324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6"/>
    </row>
    <row r="39" spans="1:16" x14ac:dyDescent="0.2">
      <c r="A39" s="278"/>
      <c r="B39" s="327"/>
      <c r="C39" s="328"/>
      <c r="D39" s="328"/>
      <c r="E39" s="328"/>
      <c r="F39" s="328"/>
      <c r="G39" s="247"/>
      <c r="H39" s="247"/>
      <c r="I39" s="247"/>
      <c r="J39" s="247"/>
      <c r="K39" s="247"/>
      <c r="L39" s="247"/>
      <c r="M39" s="247"/>
      <c r="N39" s="247"/>
      <c r="O39" s="247"/>
      <c r="P39" s="279"/>
    </row>
    <row r="40" spans="1:16" x14ac:dyDescent="0.2">
      <c r="A40" s="339" t="s">
        <v>418</v>
      </c>
      <c r="B40" s="340">
        <f>+B36</f>
        <v>96388.960956182331</v>
      </c>
      <c r="C40" s="286">
        <f t="shared" ref="C40:P40" si="8">+C36</f>
        <v>238333.2774494295</v>
      </c>
      <c r="D40" s="286">
        <f t="shared" si="8"/>
        <v>329628.17974320811</v>
      </c>
      <c r="E40" s="286">
        <f t="shared" si="8"/>
        <v>436587.23895698541</v>
      </c>
      <c r="F40" s="286">
        <f t="shared" si="8"/>
        <v>561303.48966677231</v>
      </c>
      <c r="G40" s="286">
        <f t="shared" si="8"/>
        <v>0</v>
      </c>
      <c r="H40" s="286">
        <f t="shared" si="8"/>
        <v>0</v>
      </c>
      <c r="I40" s="286">
        <f t="shared" si="8"/>
        <v>0</v>
      </c>
      <c r="J40" s="286">
        <f t="shared" si="8"/>
        <v>0</v>
      </c>
      <c r="K40" s="286">
        <f t="shared" si="8"/>
        <v>0</v>
      </c>
      <c r="L40" s="286">
        <f t="shared" si="8"/>
        <v>0</v>
      </c>
      <c r="M40" s="286">
        <f t="shared" si="8"/>
        <v>0</v>
      </c>
      <c r="N40" s="286">
        <f t="shared" si="8"/>
        <v>0</v>
      </c>
      <c r="O40" s="286">
        <f t="shared" si="8"/>
        <v>0</v>
      </c>
      <c r="P40" s="341">
        <f t="shared" si="8"/>
        <v>0</v>
      </c>
    </row>
    <row r="41" spans="1:16" x14ac:dyDescent="0.2">
      <c r="A41" s="278"/>
      <c r="B41" s="278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79"/>
    </row>
    <row r="42" spans="1:16" x14ac:dyDescent="0.2">
      <c r="A42" s="278" t="s">
        <v>22</v>
      </c>
      <c r="B42" s="327">
        <f t="shared" ref="B42:G42" si="9">IF(B40&gt;=0,+B40*$B$50,0)</f>
        <v>32772.246725101992</v>
      </c>
      <c r="C42" s="328">
        <f t="shared" si="9"/>
        <v>81033.31433280604</v>
      </c>
      <c r="D42" s="328">
        <f t="shared" si="9"/>
        <v>112073.58111269076</v>
      </c>
      <c r="E42" s="328">
        <f t="shared" si="9"/>
        <v>148439.66124537506</v>
      </c>
      <c r="F42" s="328">
        <f t="shared" si="9"/>
        <v>190843.18648670259</v>
      </c>
      <c r="G42" s="328">
        <f t="shared" si="9"/>
        <v>0</v>
      </c>
      <c r="H42" s="328">
        <f t="shared" ref="H42:P42" si="10">IF(H40&gt;=0,+H40*$B$50,0)</f>
        <v>0</v>
      </c>
      <c r="I42" s="328">
        <f t="shared" si="10"/>
        <v>0</v>
      </c>
      <c r="J42" s="328">
        <f t="shared" si="10"/>
        <v>0</v>
      </c>
      <c r="K42" s="328">
        <f t="shared" si="10"/>
        <v>0</v>
      </c>
      <c r="L42" s="328">
        <f t="shared" si="10"/>
        <v>0</v>
      </c>
      <c r="M42" s="328">
        <f t="shared" si="10"/>
        <v>0</v>
      </c>
      <c r="N42" s="328">
        <f t="shared" si="10"/>
        <v>0</v>
      </c>
      <c r="O42" s="328">
        <f t="shared" si="10"/>
        <v>0</v>
      </c>
      <c r="P42" s="282">
        <f t="shared" si="10"/>
        <v>0</v>
      </c>
    </row>
    <row r="43" spans="1:16" x14ac:dyDescent="0.2">
      <c r="A43" s="278" t="s">
        <v>427</v>
      </c>
      <c r="B43" s="327">
        <f>IF(B40&gt;=0,+B40*$B$51,0)</f>
        <v>7711.1168764945869</v>
      </c>
      <c r="C43" s="328">
        <f>IF(C40&gt;=0,+C40*$B$51,0)</f>
        <v>19066.662195954359</v>
      </c>
      <c r="D43" s="328">
        <f t="shared" ref="D43:P43" si="11">IF(D40&gt;=0,+D40*$B$51,0)</f>
        <v>26370.254379456648</v>
      </c>
      <c r="E43" s="328">
        <f t="shared" si="11"/>
        <v>34926.979116558832</v>
      </c>
      <c r="F43" s="328">
        <f t="shared" si="11"/>
        <v>44904.279173341783</v>
      </c>
      <c r="G43" s="328">
        <f t="shared" si="11"/>
        <v>0</v>
      </c>
      <c r="H43" s="328">
        <f t="shared" si="11"/>
        <v>0</v>
      </c>
      <c r="I43" s="328">
        <f t="shared" si="11"/>
        <v>0</v>
      </c>
      <c r="J43" s="328">
        <f t="shared" si="11"/>
        <v>0</v>
      </c>
      <c r="K43" s="328">
        <f t="shared" si="11"/>
        <v>0</v>
      </c>
      <c r="L43" s="328">
        <f t="shared" si="11"/>
        <v>0</v>
      </c>
      <c r="M43" s="328">
        <f t="shared" si="11"/>
        <v>0</v>
      </c>
      <c r="N43" s="328">
        <f t="shared" si="11"/>
        <v>0</v>
      </c>
      <c r="O43" s="328">
        <f t="shared" si="11"/>
        <v>0</v>
      </c>
      <c r="P43" s="282">
        <f t="shared" si="11"/>
        <v>0</v>
      </c>
    </row>
    <row r="44" spans="1:16" x14ac:dyDescent="0.2">
      <c r="A44" s="278" t="s">
        <v>138</v>
      </c>
      <c r="B44" s="327">
        <f>+B40-B42-B43</f>
        <v>55905.597354585756</v>
      </c>
      <c r="C44" s="328">
        <f>+C40-C42-C43</f>
        <v>138233.30092066911</v>
      </c>
      <c r="D44" s="328">
        <f t="shared" ref="D44:P44" si="12">+D40-D42-D43</f>
        <v>191184.34425106068</v>
      </c>
      <c r="E44" s="328">
        <f t="shared" si="12"/>
        <v>253220.59859505153</v>
      </c>
      <c r="F44" s="328">
        <f t="shared" si="12"/>
        <v>325556.02400672797</v>
      </c>
      <c r="G44" s="328">
        <f t="shared" si="12"/>
        <v>0</v>
      </c>
      <c r="H44" s="328">
        <f t="shared" si="12"/>
        <v>0</v>
      </c>
      <c r="I44" s="328">
        <f t="shared" si="12"/>
        <v>0</v>
      </c>
      <c r="J44" s="328">
        <f t="shared" si="12"/>
        <v>0</v>
      </c>
      <c r="K44" s="328">
        <f t="shared" si="12"/>
        <v>0</v>
      </c>
      <c r="L44" s="328">
        <f t="shared" si="12"/>
        <v>0</v>
      </c>
      <c r="M44" s="328">
        <f t="shared" si="12"/>
        <v>0</v>
      </c>
      <c r="N44" s="328">
        <f t="shared" si="12"/>
        <v>0</v>
      </c>
      <c r="O44" s="328">
        <f t="shared" si="12"/>
        <v>0</v>
      </c>
      <c r="P44" s="282">
        <f t="shared" si="12"/>
        <v>0</v>
      </c>
    </row>
    <row r="45" spans="1:16" x14ac:dyDescent="0.2">
      <c r="A45" s="278" t="s">
        <v>108</v>
      </c>
      <c r="B45" s="327">
        <f t="shared" ref="B45:P45" si="13">IF(B44&gt;=0,+B44*$B$52,0)</f>
        <v>5590.5597354585761</v>
      </c>
      <c r="C45" s="328">
        <f t="shared" si="13"/>
        <v>13823.330092066912</v>
      </c>
      <c r="D45" s="328">
        <f t="shared" si="13"/>
        <v>19118.434425106068</v>
      </c>
      <c r="E45" s="328">
        <f t="shared" si="13"/>
        <v>25322.059859505156</v>
      </c>
      <c r="F45" s="328">
        <f t="shared" si="13"/>
        <v>32555.602400672797</v>
      </c>
      <c r="G45" s="328">
        <f t="shared" si="13"/>
        <v>0</v>
      </c>
      <c r="H45" s="328">
        <f t="shared" si="13"/>
        <v>0</v>
      </c>
      <c r="I45" s="328">
        <f t="shared" si="13"/>
        <v>0</v>
      </c>
      <c r="J45" s="328">
        <f t="shared" si="13"/>
        <v>0</v>
      </c>
      <c r="K45" s="328">
        <f t="shared" si="13"/>
        <v>0</v>
      </c>
      <c r="L45" s="328">
        <f t="shared" si="13"/>
        <v>0</v>
      </c>
      <c r="M45" s="328">
        <f t="shared" si="13"/>
        <v>0</v>
      </c>
      <c r="N45" s="328">
        <f t="shared" si="13"/>
        <v>0</v>
      </c>
      <c r="O45" s="328">
        <f t="shared" si="13"/>
        <v>0</v>
      </c>
      <c r="P45" s="282">
        <f t="shared" si="13"/>
        <v>0</v>
      </c>
    </row>
    <row r="46" spans="1:16" ht="13.5" thickBot="1" x14ac:dyDescent="0.25">
      <c r="A46" s="278" t="s">
        <v>157</v>
      </c>
      <c r="B46" s="329">
        <f>IF(B44&gt;=0,+B44*$B$53,0)</f>
        <v>0</v>
      </c>
      <c r="C46" s="330">
        <f>IF(C44&gt;=0,+C44*$B$53,0)</f>
        <v>0</v>
      </c>
      <c r="D46" s="330">
        <f t="shared" ref="D46:P46" si="14">IF(D44&gt;=0,+D44*$B$53,0)</f>
        <v>0</v>
      </c>
      <c r="E46" s="330">
        <f t="shared" si="14"/>
        <v>0</v>
      </c>
      <c r="F46" s="330">
        <f t="shared" si="14"/>
        <v>0</v>
      </c>
      <c r="G46" s="330">
        <f t="shared" si="14"/>
        <v>0</v>
      </c>
      <c r="H46" s="330">
        <f t="shared" si="14"/>
        <v>0</v>
      </c>
      <c r="I46" s="330">
        <f t="shared" si="14"/>
        <v>0</v>
      </c>
      <c r="J46" s="330">
        <f t="shared" si="14"/>
        <v>0</v>
      </c>
      <c r="K46" s="330">
        <f t="shared" si="14"/>
        <v>0</v>
      </c>
      <c r="L46" s="330">
        <f t="shared" si="14"/>
        <v>0</v>
      </c>
      <c r="M46" s="330">
        <f t="shared" si="14"/>
        <v>0</v>
      </c>
      <c r="N46" s="330">
        <f t="shared" si="14"/>
        <v>0</v>
      </c>
      <c r="O46" s="330">
        <f t="shared" si="14"/>
        <v>0</v>
      </c>
      <c r="P46" s="288">
        <f t="shared" si="14"/>
        <v>0</v>
      </c>
    </row>
    <row r="47" spans="1:16" ht="13.5" thickBot="1" x14ac:dyDescent="0.25">
      <c r="A47" s="345" t="s">
        <v>420</v>
      </c>
      <c r="B47" s="331">
        <f>+B44-B45-B46</f>
        <v>50315.037619127179</v>
      </c>
      <c r="C47" s="332">
        <f t="shared" ref="C47:P47" si="15">+C44-C45-C46</f>
        <v>124409.97082860219</v>
      </c>
      <c r="D47" s="332">
        <f t="shared" si="15"/>
        <v>172065.90982595462</v>
      </c>
      <c r="E47" s="332">
        <f t="shared" si="15"/>
        <v>227898.53873554638</v>
      </c>
      <c r="F47" s="332">
        <f t="shared" si="15"/>
        <v>293000.42160605517</v>
      </c>
      <c r="G47" s="332">
        <f t="shared" si="15"/>
        <v>0</v>
      </c>
      <c r="H47" s="332">
        <f t="shared" si="15"/>
        <v>0</v>
      </c>
      <c r="I47" s="332">
        <f t="shared" si="15"/>
        <v>0</v>
      </c>
      <c r="J47" s="332">
        <f t="shared" si="15"/>
        <v>0</v>
      </c>
      <c r="K47" s="332">
        <f t="shared" si="15"/>
        <v>0</v>
      </c>
      <c r="L47" s="332">
        <f t="shared" si="15"/>
        <v>0</v>
      </c>
      <c r="M47" s="332">
        <f t="shared" si="15"/>
        <v>0</v>
      </c>
      <c r="N47" s="332">
        <f t="shared" si="15"/>
        <v>0</v>
      </c>
      <c r="O47" s="332">
        <f t="shared" si="15"/>
        <v>0</v>
      </c>
      <c r="P47" s="291">
        <f t="shared" si="15"/>
        <v>0</v>
      </c>
    </row>
    <row r="48" spans="1:16" ht="13.5" thickBot="1" x14ac:dyDescent="0.25">
      <c r="A48" s="346" t="s">
        <v>1</v>
      </c>
      <c r="B48" s="328" t="s">
        <v>1</v>
      </c>
      <c r="C48" s="328" t="s">
        <v>1</v>
      </c>
      <c r="D48" s="247"/>
      <c r="E48" s="247"/>
      <c r="F48" s="247"/>
      <c r="G48" s="247"/>
      <c r="H48" s="153"/>
      <c r="I48" s="153"/>
      <c r="J48" s="153"/>
      <c r="K48" s="153"/>
      <c r="L48" s="153"/>
      <c r="M48" s="153"/>
      <c r="N48" s="153"/>
      <c r="O48" s="153"/>
      <c r="P48" s="153"/>
    </row>
    <row r="49" spans="1:16" ht="13.5" thickBot="1" x14ac:dyDescent="0.25">
      <c r="A49" s="278"/>
      <c r="B49" s="328" t="s">
        <v>1</v>
      </c>
      <c r="C49" s="247"/>
      <c r="D49" s="247"/>
      <c r="E49" s="247"/>
      <c r="F49" s="247"/>
      <c r="G49" s="247"/>
      <c r="H49" s="153"/>
      <c r="I49" s="153"/>
      <c r="J49" s="153"/>
      <c r="K49" s="153"/>
      <c r="L49" s="153"/>
      <c r="M49" s="153"/>
      <c r="N49" s="153"/>
      <c r="O49" s="153"/>
      <c r="P49" s="153"/>
    </row>
    <row r="50" spans="1:16" x14ac:dyDescent="0.2">
      <c r="A50" s="324" t="s">
        <v>62</v>
      </c>
      <c r="B50" s="347">
        <f>Inicio!E44</f>
        <v>0.34</v>
      </c>
      <c r="C50" s="247"/>
      <c r="D50" s="247"/>
      <c r="E50" s="247"/>
      <c r="F50" s="247"/>
      <c r="G50" s="247"/>
      <c r="H50" s="153"/>
      <c r="I50" s="153"/>
      <c r="J50" s="153"/>
      <c r="K50" s="153"/>
      <c r="L50" s="153"/>
      <c r="M50" s="153"/>
      <c r="N50" s="153"/>
      <c r="O50" s="153"/>
      <c r="P50" s="153"/>
    </row>
    <row r="51" spans="1:16" x14ac:dyDescent="0.2">
      <c r="A51" s="278" t="s">
        <v>428</v>
      </c>
      <c r="B51" s="348">
        <f>+Inicio!E45</f>
        <v>0.08</v>
      </c>
      <c r="C51" s="247"/>
      <c r="D51" s="247"/>
      <c r="E51" s="247"/>
      <c r="F51" s="247"/>
      <c r="G51" s="247"/>
      <c r="H51" s="153"/>
      <c r="I51" s="153"/>
      <c r="J51" s="153"/>
      <c r="K51" s="153"/>
      <c r="L51" s="153"/>
      <c r="M51" s="153"/>
      <c r="N51" s="153"/>
      <c r="O51" s="153"/>
      <c r="P51" s="153"/>
    </row>
    <row r="52" spans="1:16" x14ac:dyDescent="0.2">
      <c r="A52" s="278" t="s">
        <v>63</v>
      </c>
      <c r="B52" s="348">
        <f>Inicio!E46</f>
        <v>0.1</v>
      </c>
      <c r="C52" s="247"/>
      <c r="D52" s="247"/>
      <c r="E52" s="247"/>
      <c r="F52" s="247"/>
      <c r="G52" s="247"/>
      <c r="H52" s="153"/>
      <c r="I52" s="153"/>
      <c r="J52" s="153"/>
      <c r="K52" s="153"/>
      <c r="L52" s="153"/>
      <c r="M52" s="153"/>
      <c r="N52" s="153"/>
      <c r="O52" s="153"/>
      <c r="P52" s="153"/>
    </row>
    <row r="53" spans="1:16" ht="13.5" thickBot="1" x14ac:dyDescent="0.25">
      <c r="A53" s="342" t="s">
        <v>64</v>
      </c>
      <c r="B53" s="349">
        <f>Inicio!E47</f>
        <v>0</v>
      </c>
      <c r="C53" s="247"/>
      <c r="D53" s="247"/>
      <c r="E53" s="247"/>
      <c r="F53" s="247"/>
      <c r="G53" s="247"/>
      <c r="H53" s="153"/>
      <c r="I53" s="153"/>
      <c r="J53" s="153"/>
      <c r="K53" s="153"/>
      <c r="L53" s="153"/>
      <c r="M53" s="153"/>
      <c r="N53" s="153"/>
      <c r="O53" s="153"/>
      <c r="P53" s="153"/>
    </row>
    <row r="54" spans="1:16" x14ac:dyDescent="0.2">
      <c r="C54" s="2"/>
      <c r="D54" s="2"/>
      <c r="E54" s="2"/>
    </row>
  </sheetData>
  <sheetProtection password="F88E" sheet="1" objects="1" scenarios="1" formatColumns="0"/>
  <customSheetViews>
    <customSheetView guid="{4BF10618-D357-11D5-9338-EFF21189730A}" scale="80" showGridLines="0" outlineSymbols="0" showRuler="0">
      <selection activeCell="I28" sqref="I28"/>
      <pageMargins left="0.39370078740157483" right="0.51181102362204722" top="0.98425196850393704" bottom="0.98425196850393704" header="0" footer="0"/>
      <printOptions horizontalCentered="1"/>
      <pageSetup scale="55" orientation="landscape" horizontalDpi="300" verticalDpi="300" r:id="rId1"/>
      <headerFooter alignWithMargins="0"/>
    </customSheetView>
  </customSheetViews>
  <mergeCells count="4">
    <mergeCell ref="A1:F1"/>
    <mergeCell ref="A2:F2"/>
    <mergeCell ref="A3:F3"/>
    <mergeCell ref="A4:F4"/>
  </mergeCells>
  <phoneticPr fontId="11" type="noConversion"/>
  <printOptions horizontalCentered="1"/>
  <pageMargins left="0.75" right="0.31496062992125984" top="0.98425196850393704" bottom="0.98425196850393704" header="0" footer="0"/>
  <pageSetup scale="55" orientation="landscape" horizontalDpi="300" verticalDpi="30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Button 1">
              <controlPr locked="0" defaultSize="0" autoFill="0" autoPict="0" macro="[0]!Inicio">
                <anchor moveWithCells="1" sizeWithCells="1">
                  <from>
                    <xdr:col>0</xdr:col>
                    <xdr:colOff>95250</xdr:colOff>
                    <xdr:row>0</xdr:row>
                    <xdr:rowOff>57150</xdr:rowOff>
                  </from>
                  <to>
                    <xdr:col>0</xdr:col>
                    <xdr:colOff>847725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6</vt:i4>
      </vt:variant>
    </vt:vector>
  </HeadingPairs>
  <TitlesOfParts>
    <vt:vector size="21" baseType="lpstr">
      <vt:lpstr>Inicio</vt:lpstr>
      <vt:lpstr>presupuesto compras y ventas</vt:lpstr>
      <vt:lpstr>gastos personal</vt:lpstr>
      <vt:lpstr>gastos depreciación</vt:lpstr>
      <vt:lpstr>gastos generales</vt:lpstr>
      <vt:lpstr>inversión inicial</vt:lpstr>
      <vt:lpstr>financiación</vt:lpstr>
      <vt:lpstr>flujo</vt:lpstr>
      <vt:lpstr>Estado de Resultado </vt:lpstr>
      <vt:lpstr>balance</vt:lpstr>
      <vt:lpstr>análisis inversionista</vt:lpstr>
      <vt:lpstr>análisis proyecto</vt:lpstr>
      <vt:lpstr>sensibilidad inversionista</vt:lpstr>
      <vt:lpstr>sensibilidad proyecto</vt:lpstr>
      <vt:lpstr>Indicadores Financieros</vt:lpstr>
      <vt:lpstr>'análisis inversionista'!Área_de_impresión</vt:lpstr>
      <vt:lpstr>'análisis proyecto'!Área_de_impresión</vt:lpstr>
      <vt:lpstr>'gastos personal'!Área_de_impresión</vt:lpstr>
      <vt:lpstr>'presupuesto compras y ventas'!Área_de_impresión</vt:lpstr>
      <vt:lpstr>'sensibilidad inversionista'!Área_de_impresión</vt:lpstr>
      <vt:lpstr>'sensibilidad proyecto'!Área_de_impresión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EVAPROYECT</dc:title>
  <dc:creator>DARWIN CUELLAR GALINDEZ</dc:creator>
  <cp:lastModifiedBy>juana</cp:lastModifiedBy>
  <cp:lastPrinted>2021-02-23T03:39:52Z</cp:lastPrinted>
  <dcterms:created xsi:type="dcterms:W3CDTF">2000-02-23T14:04:51Z</dcterms:created>
  <dcterms:modified xsi:type="dcterms:W3CDTF">2021-03-08T09:04:27Z</dcterms:modified>
</cp:coreProperties>
</file>