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crdownload" ContentType="image/p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ml.chartshapes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4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17.xml" ContentType="application/vnd.openxmlformats-officedocument.drawingml.chartshapes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18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gomez\OneDrive\BIBLIOTECA\2021\Proyectos de grado\ADFU\2020-2021\"/>
    </mc:Choice>
  </mc:AlternateContent>
  <bookViews>
    <workbookView xWindow="0" yWindow="0" windowWidth="28800" windowHeight="12000" tabRatio="996"/>
  </bookViews>
  <sheets>
    <sheet name="INICIO" sheetId="18" r:id="rId1"/>
    <sheet name="Cuadro de mando" sheetId="15" state="veryHidden" r:id="rId2"/>
    <sheet name="Indicadores" sheetId="11" state="veryHidden" r:id="rId3"/>
    <sheet name="ESTADO DE RESULTADOS" sheetId="1" state="veryHidden" r:id="rId4"/>
    <sheet name="Ingresos" sheetId="6" state="veryHidden" r:id="rId5"/>
    <sheet name="Gastos de personal" sheetId="8" state="veryHidden" r:id="rId6"/>
    <sheet name="Gastos administrativos" sheetId="9" state="veryHidden" r:id="rId7"/>
    <sheet name="Ebitda" sheetId="10" state="veryHidden" r:id="rId8"/>
    <sheet name="ESTADO SITUACIÓN FINANCIERA" sheetId="16" state="veryHidden" r:id="rId9"/>
    <sheet name="Composición accionaria" sheetId="13" state="veryHidden" r:id="rId10"/>
    <sheet name="Temas relevantes" sheetId="14" state="veryHidden" r:id="rId11"/>
    <sheet name="BASE OK" sheetId="7" state="hidden" r:id="rId12"/>
    <sheet name="Hoja1" sheetId="5" state="hidden" r:id="rId13"/>
    <sheet name="Graficos" sheetId="2" state="hidden" r:id="rId14"/>
  </sheets>
  <externalReferences>
    <externalReference r:id="rId15"/>
    <externalReference r:id="rId16"/>
    <externalReference r:id="rId17"/>
  </externalReferences>
  <definedNames>
    <definedName name="_xlnm._FilterDatabase" localSheetId="13" hidden="1">Graficos!$H$92:$I$92</definedName>
    <definedName name="_xlnm._FilterDatabase" localSheetId="12" hidden="1">Hoja1!$H$3:$I$3</definedName>
    <definedName name="_xlnm.Print_Titles" localSheetId="8">'ESTADO SITUACIÓN FINANCIERA'!#REF!</definedName>
    <definedName name="TM1REBUILDOPTION">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5" i="1" l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9" i="1"/>
  <c r="M50" i="1"/>
  <c r="M51" i="1"/>
  <c r="M52" i="1"/>
  <c r="M55" i="1"/>
  <c r="M56" i="1"/>
  <c r="M57" i="1"/>
  <c r="M58" i="1"/>
  <c r="M59" i="1"/>
  <c r="M10" i="1"/>
  <c r="H23" i="1" l="1"/>
  <c r="H24" i="1"/>
  <c r="H25" i="1"/>
  <c r="H26" i="1"/>
  <c r="H27" i="1"/>
  <c r="F28" i="1"/>
  <c r="H28" i="1"/>
  <c r="H29" i="1"/>
  <c r="H30" i="1"/>
  <c r="H31" i="1"/>
  <c r="H32" i="1"/>
  <c r="H33" i="1"/>
  <c r="H34" i="1"/>
  <c r="H35" i="1"/>
  <c r="H36" i="1"/>
  <c r="H37" i="1"/>
  <c r="H38" i="1"/>
  <c r="H39" i="1"/>
  <c r="F40" i="1"/>
  <c r="H40" i="1"/>
  <c r="F41" i="1"/>
  <c r="H41" i="1"/>
  <c r="F42" i="1"/>
  <c r="H42" i="1"/>
  <c r="H43" i="1"/>
  <c r="H44" i="1"/>
  <c r="F45" i="1"/>
  <c r="H45" i="1"/>
  <c r="H46" i="1"/>
  <c r="H49" i="1"/>
  <c r="H50" i="1"/>
  <c r="F51" i="1"/>
  <c r="H51" i="1"/>
  <c r="H52" i="1"/>
  <c r="H55" i="1"/>
  <c r="H56" i="1"/>
  <c r="H57" i="1"/>
  <c r="H58" i="1"/>
  <c r="F59" i="1"/>
  <c r="H59" i="1"/>
  <c r="F22" i="1"/>
  <c r="F48" i="1"/>
  <c r="F54" i="1"/>
  <c r="I54" i="1" s="1"/>
  <c r="D22" i="1"/>
  <c r="D48" i="1"/>
  <c r="D54" i="1"/>
  <c r="J22" i="1"/>
  <c r="J48" i="1"/>
  <c r="J54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9" i="1"/>
  <c r="L50" i="1"/>
  <c r="L51" i="1"/>
  <c r="L52" i="1"/>
  <c r="L55" i="1"/>
  <c r="L56" i="1"/>
  <c r="L57" i="1"/>
  <c r="L58" i="1"/>
  <c r="L59" i="1"/>
  <c r="J19" i="1"/>
  <c r="K46" i="1" s="1"/>
  <c r="F10" i="1"/>
  <c r="F11" i="1"/>
  <c r="F18" i="1"/>
  <c r="F19" i="1"/>
  <c r="E10" i="10" s="1"/>
  <c r="D19" i="1"/>
  <c r="E36" i="1" s="1"/>
  <c r="I56" i="1"/>
  <c r="J10" i="16"/>
  <c r="J15" i="16"/>
  <c r="J21" i="16"/>
  <c r="E20" i="11"/>
  <c r="J50" i="16"/>
  <c r="J54" i="16"/>
  <c r="J57" i="16"/>
  <c r="E16" i="11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28" i="2"/>
  <c r="F28" i="2"/>
  <c r="F27" i="2"/>
  <c r="F26" i="2"/>
  <c r="F25" i="2"/>
  <c r="F24" i="2"/>
  <c r="F23" i="2"/>
  <c r="J28" i="16"/>
  <c r="J30" i="16"/>
  <c r="E11" i="11"/>
  <c r="J40" i="16"/>
  <c r="E21" i="11"/>
  <c r="J44" i="16"/>
  <c r="J47" i="16"/>
  <c r="J12" i="11"/>
  <c r="J17" i="11"/>
  <c r="J18" i="11"/>
  <c r="K17" i="11"/>
  <c r="E11" i="10"/>
  <c r="E15" i="10"/>
  <c r="E16" i="10"/>
  <c r="E17" i="10"/>
  <c r="D11" i="10"/>
  <c r="D15" i="10"/>
  <c r="D16" i="10"/>
  <c r="D17" i="10"/>
  <c r="G9" i="15"/>
  <c r="J13" i="11"/>
  <c r="K12" i="11"/>
  <c r="G8" i="15"/>
  <c r="F20" i="11"/>
  <c r="G7" i="15"/>
  <c r="J59" i="16"/>
  <c r="E10" i="8"/>
  <c r="H10" i="8" s="1"/>
  <c r="K10" i="8"/>
  <c r="L10" i="8"/>
  <c r="E11" i="8"/>
  <c r="H11" i="8"/>
  <c r="K11" i="8"/>
  <c r="L11" i="8"/>
  <c r="G12" i="8"/>
  <c r="H12" i="8"/>
  <c r="K12" i="8"/>
  <c r="L12" i="8"/>
  <c r="G13" i="8"/>
  <c r="H13" i="8"/>
  <c r="K13" i="8"/>
  <c r="L13" i="8"/>
  <c r="G14" i="8"/>
  <c r="H14" i="8"/>
  <c r="K14" i="8"/>
  <c r="L14" i="8"/>
  <c r="G15" i="8"/>
  <c r="H15" i="8"/>
  <c r="K15" i="8"/>
  <c r="L15" i="8"/>
  <c r="G16" i="8"/>
  <c r="H16" i="8"/>
  <c r="K16" i="8"/>
  <c r="L16" i="8"/>
  <c r="G17" i="8"/>
  <c r="H17" i="8"/>
  <c r="K17" i="8"/>
  <c r="L17" i="8"/>
  <c r="E18" i="8"/>
  <c r="K18" i="8"/>
  <c r="L18" i="8"/>
  <c r="C19" i="8"/>
  <c r="D10" i="8" s="1"/>
  <c r="I19" i="8"/>
  <c r="J16" i="8" s="1"/>
  <c r="M65" i="9"/>
  <c r="L65" i="9"/>
  <c r="I65" i="9"/>
  <c r="H65" i="9"/>
  <c r="J61" i="9"/>
  <c r="D61" i="9"/>
  <c r="M60" i="9"/>
  <c r="L60" i="9"/>
  <c r="F60" i="9"/>
  <c r="H60" i="9"/>
  <c r="M59" i="9"/>
  <c r="L59" i="9"/>
  <c r="I59" i="9"/>
  <c r="H59" i="9"/>
  <c r="M58" i="9"/>
  <c r="L58" i="9"/>
  <c r="I58" i="9"/>
  <c r="H58" i="9"/>
  <c r="M57" i="9"/>
  <c r="L57" i="9"/>
  <c r="I57" i="9"/>
  <c r="H57" i="9"/>
  <c r="M56" i="9"/>
  <c r="L56" i="9"/>
  <c r="I56" i="9"/>
  <c r="H56" i="9"/>
  <c r="M55" i="9"/>
  <c r="L55" i="9"/>
  <c r="M53" i="9"/>
  <c r="L53" i="9"/>
  <c r="I53" i="9"/>
  <c r="H53" i="9"/>
  <c r="M52" i="9"/>
  <c r="L52" i="9"/>
  <c r="F52" i="9"/>
  <c r="H52" i="9"/>
  <c r="M51" i="9"/>
  <c r="L51" i="9"/>
  <c r="I51" i="9"/>
  <c r="H51" i="9"/>
  <c r="M50" i="9"/>
  <c r="L50" i="9"/>
  <c r="I50" i="9"/>
  <c r="H50" i="9"/>
  <c r="M49" i="9"/>
  <c r="L49" i="9"/>
  <c r="M47" i="9"/>
  <c r="L47" i="9"/>
  <c r="I47" i="9"/>
  <c r="H47" i="9"/>
  <c r="M46" i="9"/>
  <c r="L46" i="9"/>
  <c r="F46" i="9"/>
  <c r="I46" i="9"/>
  <c r="M45" i="9"/>
  <c r="L45" i="9"/>
  <c r="I45" i="9"/>
  <c r="H45" i="9"/>
  <c r="M44" i="9"/>
  <c r="L44" i="9"/>
  <c r="I44" i="9"/>
  <c r="H44" i="9"/>
  <c r="M43" i="9"/>
  <c r="L43" i="9"/>
  <c r="F43" i="9"/>
  <c r="I43" i="9"/>
  <c r="M42" i="9"/>
  <c r="L42" i="9"/>
  <c r="F42" i="9"/>
  <c r="I42" i="9"/>
  <c r="M41" i="9"/>
  <c r="L41" i="9"/>
  <c r="F41" i="9"/>
  <c r="H41" i="9"/>
  <c r="M40" i="9"/>
  <c r="L40" i="9"/>
  <c r="I40" i="9"/>
  <c r="H40" i="9"/>
  <c r="M39" i="9"/>
  <c r="L39" i="9"/>
  <c r="I39" i="9"/>
  <c r="H39" i="9"/>
  <c r="M38" i="9"/>
  <c r="L38" i="9"/>
  <c r="I38" i="9"/>
  <c r="H38" i="9"/>
  <c r="M37" i="9"/>
  <c r="L37" i="9"/>
  <c r="I37" i="9"/>
  <c r="H37" i="9"/>
  <c r="M36" i="9"/>
  <c r="L36" i="9"/>
  <c r="I36" i="9"/>
  <c r="H36" i="9"/>
  <c r="M35" i="9"/>
  <c r="L35" i="9"/>
  <c r="I35" i="9"/>
  <c r="H35" i="9"/>
  <c r="M34" i="9"/>
  <c r="L34" i="9"/>
  <c r="I34" i="9"/>
  <c r="H34" i="9"/>
  <c r="M33" i="9"/>
  <c r="L33" i="9"/>
  <c r="I33" i="9"/>
  <c r="H33" i="9"/>
  <c r="M32" i="9"/>
  <c r="L32" i="9"/>
  <c r="I32" i="9"/>
  <c r="H32" i="9"/>
  <c r="M31" i="9"/>
  <c r="L31" i="9"/>
  <c r="I31" i="9"/>
  <c r="H31" i="9"/>
  <c r="M30" i="9"/>
  <c r="L30" i="9"/>
  <c r="I30" i="9"/>
  <c r="H30" i="9"/>
  <c r="M29" i="9"/>
  <c r="L29" i="9"/>
  <c r="F29" i="9"/>
  <c r="H29" i="9"/>
  <c r="M28" i="9"/>
  <c r="L28" i="9"/>
  <c r="I28" i="9"/>
  <c r="H28" i="9"/>
  <c r="M27" i="9"/>
  <c r="L27" i="9"/>
  <c r="I27" i="9"/>
  <c r="H27" i="9"/>
  <c r="M26" i="9"/>
  <c r="L26" i="9"/>
  <c r="I26" i="9"/>
  <c r="H26" i="9"/>
  <c r="M25" i="9"/>
  <c r="L25" i="9"/>
  <c r="I25" i="9"/>
  <c r="H25" i="9"/>
  <c r="M24" i="9"/>
  <c r="L24" i="9"/>
  <c r="I24" i="9"/>
  <c r="H24" i="9"/>
  <c r="L23" i="9"/>
  <c r="L22" i="9"/>
  <c r="L21" i="9"/>
  <c r="J20" i="9"/>
  <c r="K40" i="9" s="1"/>
  <c r="K65" i="9"/>
  <c r="D20" i="9"/>
  <c r="E56" i="9" s="1"/>
  <c r="M19" i="9"/>
  <c r="L19" i="9"/>
  <c r="F19" i="9"/>
  <c r="I19" i="9"/>
  <c r="M18" i="9"/>
  <c r="L18" i="9"/>
  <c r="I18" i="9"/>
  <c r="H18" i="9"/>
  <c r="M17" i="9"/>
  <c r="L17" i="9"/>
  <c r="I17" i="9"/>
  <c r="H17" i="9"/>
  <c r="M16" i="9"/>
  <c r="L16" i="9"/>
  <c r="I16" i="9"/>
  <c r="H16" i="9"/>
  <c r="M15" i="9"/>
  <c r="L15" i="9"/>
  <c r="I15" i="9"/>
  <c r="H15" i="9"/>
  <c r="M14" i="9"/>
  <c r="L14" i="9"/>
  <c r="I14" i="9"/>
  <c r="H14" i="9"/>
  <c r="M13" i="9"/>
  <c r="L13" i="9"/>
  <c r="I13" i="9"/>
  <c r="H13" i="9"/>
  <c r="M12" i="9"/>
  <c r="L12" i="9"/>
  <c r="F12" i="9"/>
  <c r="H12" i="9"/>
  <c r="M11" i="9"/>
  <c r="L11" i="9"/>
  <c r="F11" i="9"/>
  <c r="H11" i="9"/>
  <c r="L64" i="8"/>
  <c r="K64" i="8"/>
  <c r="H64" i="8"/>
  <c r="G64" i="8"/>
  <c r="I60" i="8"/>
  <c r="C60" i="8"/>
  <c r="C62" i="8" s="1"/>
  <c r="L59" i="8"/>
  <c r="K59" i="8"/>
  <c r="E59" i="8"/>
  <c r="G59" i="8"/>
  <c r="L58" i="8"/>
  <c r="K58" i="8"/>
  <c r="H58" i="8"/>
  <c r="G58" i="8"/>
  <c r="L57" i="8"/>
  <c r="K57" i="8"/>
  <c r="H57" i="8"/>
  <c r="G57" i="8"/>
  <c r="D57" i="8"/>
  <c r="L56" i="8"/>
  <c r="K56" i="8"/>
  <c r="H56" i="8"/>
  <c r="G56" i="8"/>
  <c r="L55" i="8"/>
  <c r="K55" i="8"/>
  <c r="H55" i="8"/>
  <c r="G55" i="8"/>
  <c r="L54" i="8"/>
  <c r="K54" i="8"/>
  <c r="L52" i="8"/>
  <c r="K52" i="8"/>
  <c r="H52" i="8"/>
  <c r="G52" i="8"/>
  <c r="L51" i="8"/>
  <c r="K51" i="8"/>
  <c r="E51" i="8"/>
  <c r="H51" i="8" s="1"/>
  <c r="L50" i="8"/>
  <c r="K50" i="8"/>
  <c r="H50" i="8"/>
  <c r="G50" i="8"/>
  <c r="L49" i="8"/>
  <c r="K49" i="8"/>
  <c r="H49" i="8"/>
  <c r="G49" i="8"/>
  <c r="L48" i="8"/>
  <c r="K48" i="8"/>
  <c r="L46" i="8"/>
  <c r="K46" i="8"/>
  <c r="H46" i="8"/>
  <c r="G46" i="8"/>
  <c r="L45" i="8"/>
  <c r="K45" i="8"/>
  <c r="E45" i="8"/>
  <c r="G45" i="8" s="1"/>
  <c r="D45" i="8"/>
  <c r="L44" i="8"/>
  <c r="K44" i="8"/>
  <c r="H44" i="8"/>
  <c r="G44" i="8"/>
  <c r="D44" i="8"/>
  <c r="L43" i="8"/>
  <c r="K43" i="8"/>
  <c r="H43" i="8"/>
  <c r="G43" i="8"/>
  <c r="L42" i="8"/>
  <c r="K42" i="8"/>
  <c r="E42" i="8"/>
  <c r="G42" i="8" s="1"/>
  <c r="L41" i="8"/>
  <c r="K41" i="8"/>
  <c r="E41" i="8"/>
  <c r="G41" i="8" s="1"/>
  <c r="L40" i="8"/>
  <c r="K40" i="8"/>
  <c r="E40" i="8"/>
  <c r="G40" i="8" s="1"/>
  <c r="L39" i="8"/>
  <c r="K39" i="8"/>
  <c r="H39" i="8"/>
  <c r="G39" i="8"/>
  <c r="L38" i="8"/>
  <c r="K38" i="8"/>
  <c r="H38" i="8"/>
  <c r="G38" i="8"/>
  <c r="L37" i="8"/>
  <c r="K37" i="8"/>
  <c r="H37" i="8"/>
  <c r="G37" i="8"/>
  <c r="L36" i="8"/>
  <c r="K36" i="8"/>
  <c r="H36" i="8"/>
  <c r="G36" i="8"/>
  <c r="D36" i="8"/>
  <c r="L35" i="8"/>
  <c r="K35" i="8"/>
  <c r="H35" i="8"/>
  <c r="G35" i="8"/>
  <c r="D35" i="8"/>
  <c r="L34" i="8"/>
  <c r="K34" i="8"/>
  <c r="H34" i="8"/>
  <c r="G34" i="8"/>
  <c r="D34" i="8"/>
  <c r="L33" i="8"/>
  <c r="K33" i="8"/>
  <c r="H33" i="8"/>
  <c r="G33" i="8"/>
  <c r="L32" i="8"/>
  <c r="K32" i="8"/>
  <c r="H32" i="8"/>
  <c r="G32" i="8"/>
  <c r="L31" i="8"/>
  <c r="K31" i="8"/>
  <c r="H31" i="8"/>
  <c r="G31" i="8"/>
  <c r="L30" i="8"/>
  <c r="K30" i="8"/>
  <c r="H30" i="8"/>
  <c r="G30" i="8"/>
  <c r="L29" i="8"/>
  <c r="K29" i="8"/>
  <c r="H29" i="8"/>
  <c r="G29" i="8"/>
  <c r="L28" i="8"/>
  <c r="K28" i="8"/>
  <c r="E28" i="8"/>
  <c r="G28" i="8"/>
  <c r="L27" i="8"/>
  <c r="K27" i="8"/>
  <c r="H27" i="8"/>
  <c r="G27" i="8"/>
  <c r="L26" i="8"/>
  <c r="K26" i="8"/>
  <c r="H26" i="8"/>
  <c r="G26" i="8"/>
  <c r="L25" i="8"/>
  <c r="K25" i="8"/>
  <c r="H25" i="8"/>
  <c r="G25" i="8"/>
  <c r="L24" i="8"/>
  <c r="K24" i="8"/>
  <c r="H24" i="8"/>
  <c r="G24" i="8"/>
  <c r="L23" i="8"/>
  <c r="K23" i="8"/>
  <c r="H23" i="8"/>
  <c r="G23" i="8"/>
  <c r="K22" i="8"/>
  <c r="K21" i="8"/>
  <c r="K20" i="8"/>
  <c r="M79" i="7"/>
  <c r="L79" i="7"/>
  <c r="I79" i="7"/>
  <c r="H79" i="7"/>
  <c r="D34" i="7"/>
  <c r="E79" i="7"/>
  <c r="D75" i="7"/>
  <c r="J75" i="7"/>
  <c r="L75" i="7"/>
  <c r="J34" i="7"/>
  <c r="K75" i="7"/>
  <c r="E75" i="7"/>
  <c r="M75" i="7"/>
  <c r="M74" i="7"/>
  <c r="L74" i="7"/>
  <c r="F74" i="7"/>
  <c r="I74" i="7"/>
  <c r="H74" i="7"/>
  <c r="M73" i="7"/>
  <c r="L73" i="7"/>
  <c r="K73" i="7"/>
  <c r="I73" i="7"/>
  <c r="H73" i="7"/>
  <c r="M72" i="7"/>
  <c r="L72" i="7"/>
  <c r="I72" i="7"/>
  <c r="H72" i="7"/>
  <c r="E72" i="7"/>
  <c r="M71" i="7"/>
  <c r="L71" i="7"/>
  <c r="I71" i="7"/>
  <c r="H71" i="7"/>
  <c r="E71" i="7"/>
  <c r="M70" i="7"/>
  <c r="L70" i="7"/>
  <c r="I70" i="7"/>
  <c r="H70" i="7"/>
  <c r="M69" i="7"/>
  <c r="L69" i="7"/>
  <c r="M67" i="7"/>
  <c r="L67" i="7"/>
  <c r="K67" i="7"/>
  <c r="I67" i="7"/>
  <c r="H67" i="7"/>
  <c r="M66" i="7"/>
  <c r="L66" i="7"/>
  <c r="F66" i="7"/>
  <c r="I66" i="7"/>
  <c r="E66" i="7"/>
  <c r="M65" i="7"/>
  <c r="L65" i="7"/>
  <c r="I65" i="7"/>
  <c r="H65" i="7"/>
  <c r="M64" i="7"/>
  <c r="L64" i="7"/>
  <c r="I64" i="7"/>
  <c r="H64" i="7"/>
  <c r="M63" i="7"/>
  <c r="L63" i="7"/>
  <c r="M61" i="7"/>
  <c r="L61" i="7"/>
  <c r="I61" i="7"/>
  <c r="H61" i="7"/>
  <c r="E61" i="7"/>
  <c r="M60" i="7"/>
  <c r="L60" i="7"/>
  <c r="F60" i="7"/>
  <c r="I60" i="7"/>
  <c r="M59" i="7"/>
  <c r="L59" i="7"/>
  <c r="I59" i="7"/>
  <c r="H59" i="7"/>
  <c r="M58" i="7"/>
  <c r="L58" i="7"/>
  <c r="K58" i="7"/>
  <c r="I58" i="7"/>
  <c r="H58" i="7"/>
  <c r="M57" i="7"/>
  <c r="L57" i="7"/>
  <c r="K57" i="7"/>
  <c r="F57" i="7"/>
  <c r="I57" i="7"/>
  <c r="H57" i="7"/>
  <c r="E57" i="7"/>
  <c r="M56" i="7"/>
  <c r="L56" i="7"/>
  <c r="F56" i="7"/>
  <c r="M55" i="7"/>
  <c r="L55" i="7"/>
  <c r="F55" i="7"/>
  <c r="I55" i="7"/>
  <c r="H55" i="7"/>
  <c r="M54" i="7"/>
  <c r="L54" i="7"/>
  <c r="K54" i="7"/>
  <c r="I54" i="7"/>
  <c r="H54" i="7"/>
  <c r="M53" i="7"/>
  <c r="L53" i="7"/>
  <c r="I53" i="7"/>
  <c r="H53" i="7"/>
  <c r="E53" i="7"/>
  <c r="M52" i="7"/>
  <c r="L52" i="7"/>
  <c r="K52" i="7"/>
  <c r="I52" i="7"/>
  <c r="H52" i="7"/>
  <c r="E52" i="7"/>
  <c r="M51" i="7"/>
  <c r="L51" i="7"/>
  <c r="I51" i="7"/>
  <c r="H51" i="7"/>
  <c r="M50" i="7"/>
  <c r="L50" i="7"/>
  <c r="I50" i="7"/>
  <c r="H50" i="7"/>
  <c r="E50" i="7"/>
  <c r="M49" i="7"/>
  <c r="L49" i="7"/>
  <c r="K49" i="7"/>
  <c r="I49" i="7"/>
  <c r="H49" i="7"/>
  <c r="M48" i="7"/>
  <c r="L48" i="7"/>
  <c r="K48" i="7"/>
  <c r="I48" i="7"/>
  <c r="H48" i="7"/>
  <c r="M47" i="7"/>
  <c r="L47" i="7"/>
  <c r="I47" i="7"/>
  <c r="H47" i="7"/>
  <c r="E47" i="7"/>
  <c r="M46" i="7"/>
  <c r="L46" i="7"/>
  <c r="K46" i="7"/>
  <c r="I46" i="7"/>
  <c r="H46" i="7"/>
  <c r="E46" i="7"/>
  <c r="M45" i="7"/>
  <c r="L45" i="7"/>
  <c r="K45" i="7"/>
  <c r="I45" i="7"/>
  <c r="H45" i="7"/>
  <c r="M44" i="7"/>
  <c r="L44" i="7"/>
  <c r="I44" i="7"/>
  <c r="H44" i="7"/>
  <c r="E44" i="7"/>
  <c r="M43" i="7"/>
  <c r="L43" i="7"/>
  <c r="K43" i="7"/>
  <c r="F43" i="7"/>
  <c r="I43" i="7"/>
  <c r="H43" i="7"/>
  <c r="M42" i="7"/>
  <c r="L42" i="7"/>
  <c r="I42" i="7"/>
  <c r="H42" i="7"/>
  <c r="E42" i="7"/>
  <c r="M41" i="7"/>
  <c r="L41" i="7"/>
  <c r="K41" i="7"/>
  <c r="I41" i="7"/>
  <c r="H41" i="7"/>
  <c r="E41" i="7"/>
  <c r="M40" i="7"/>
  <c r="L40" i="7"/>
  <c r="K40" i="7"/>
  <c r="I40" i="7"/>
  <c r="H40" i="7"/>
  <c r="M39" i="7"/>
  <c r="L39" i="7"/>
  <c r="I39" i="7"/>
  <c r="H39" i="7"/>
  <c r="E39" i="7"/>
  <c r="M38" i="7"/>
  <c r="L38" i="7"/>
  <c r="K38" i="7"/>
  <c r="I38" i="7"/>
  <c r="H38" i="7"/>
  <c r="E38" i="7"/>
  <c r="L37" i="7"/>
  <c r="L36" i="7"/>
  <c r="L35" i="7"/>
  <c r="L34" i="7"/>
  <c r="K34" i="7"/>
  <c r="K79" i="7"/>
  <c r="E34" i="7"/>
  <c r="E70" i="7"/>
  <c r="M33" i="7"/>
  <c r="L33" i="7"/>
  <c r="F33" i="7"/>
  <c r="I33" i="7"/>
  <c r="E33" i="7"/>
  <c r="M32" i="7"/>
  <c r="L32" i="7"/>
  <c r="K32" i="7"/>
  <c r="I32" i="7"/>
  <c r="H32" i="7"/>
  <c r="E32" i="7"/>
  <c r="M31" i="7"/>
  <c r="L31" i="7"/>
  <c r="K31" i="7"/>
  <c r="I31" i="7"/>
  <c r="H31" i="7"/>
  <c r="E31" i="7"/>
  <c r="M30" i="7"/>
  <c r="L30" i="7"/>
  <c r="K30" i="7"/>
  <c r="I30" i="7"/>
  <c r="H30" i="7"/>
  <c r="E30" i="7"/>
  <c r="M29" i="7"/>
  <c r="L29" i="7"/>
  <c r="K29" i="7"/>
  <c r="I29" i="7"/>
  <c r="H29" i="7"/>
  <c r="E29" i="7"/>
  <c r="M28" i="7"/>
  <c r="L28" i="7"/>
  <c r="K28" i="7"/>
  <c r="I28" i="7"/>
  <c r="H28" i="7"/>
  <c r="E28" i="7"/>
  <c r="M27" i="7"/>
  <c r="L27" i="7"/>
  <c r="K27" i="7"/>
  <c r="I27" i="7"/>
  <c r="H27" i="7"/>
  <c r="E27" i="7"/>
  <c r="M26" i="7"/>
  <c r="L26" i="7"/>
  <c r="K26" i="7"/>
  <c r="F26" i="7"/>
  <c r="I26" i="7"/>
  <c r="H26" i="7"/>
  <c r="E26" i="7"/>
  <c r="M25" i="7"/>
  <c r="L25" i="7"/>
  <c r="K25" i="7"/>
  <c r="F25" i="7"/>
  <c r="I25" i="7"/>
  <c r="H25" i="7"/>
  <c r="E25" i="7"/>
  <c r="L20" i="6"/>
  <c r="J19" i="6"/>
  <c r="K16" i="6"/>
  <c r="D19" i="6"/>
  <c r="E13" i="6"/>
  <c r="M18" i="6"/>
  <c r="L18" i="6"/>
  <c r="F18" i="6"/>
  <c r="M17" i="6"/>
  <c r="L17" i="6"/>
  <c r="I17" i="6"/>
  <c r="H17" i="6"/>
  <c r="M16" i="6"/>
  <c r="L16" i="6"/>
  <c r="I16" i="6"/>
  <c r="H16" i="6"/>
  <c r="M15" i="6"/>
  <c r="L15" i="6"/>
  <c r="K15" i="6"/>
  <c r="I15" i="6"/>
  <c r="H15" i="6"/>
  <c r="M14" i="6"/>
  <c r="L14" i="6"/>
  <c r="I14" i="6"/>
  <c r="H14" i="6"/>
  <c r="M13" i="6"/>
  <c r="L13" i="6"/>
  <c r="I13" i="6"/>
  <c r="H13" i="6"/>
  <c r="M12" i="6"/>
  <c r="L12" i="6"/>
  <c r="I12" i="6"/>
  <c r="H12" i="6"/>
  <c r="M11" i="6"/>
  <c r="L11" i="6"/>
  <c r="F11" i="6"/>
  <c r="I11" i="6"/>
  <c r="M10" i="6"/>
  <c r="L10" i="6"/>
  <c r="F10" i="6"/>
  <c r="E17" i="9"/>
  <c r="E16" i="9"/>
  <c r="M61" i="9"/>
  <c r="K12" i="9"/>
  <c r="E11" i="9"/>
  <c r="E27" i="9"/>
  <c r="K13" i="9"/>
  <c r="J33" i="8"/>
  <c r="J34" i="8"/>
  <c r="D19" i="8"/>
  <c r="J26" i="8"/>
  <c r="I11" i="9"/>
  <c r="E15" i="9"/>
  <c r="E32" i="9"/>
  <c r="K61" i="9"/>
  <c r="E19" i="9"/>
  <c r="E57" i="9"/>
  <c r="E13" i="9"/>
  <c r="E12" i="9"/>
  <c r="K34" i="9"/>
  <c r="H19" i="9"/>
  <c r="K18" i="9"/>
  <c r="I29" i="9"/>
  <c r="I52" i="9"/>
  <c r="K43" i="9"/>
  <c r="K17" i="9"/>
  <c r="E38" i="9"/>
  <c r="K15" i="9"/>
  <c r="L61" i="9"/>
  <c r="I12" i="9"/>
  <c r="E52" i="9"/>
  <c r="E61" i="9"/>
  <c r="J50" i="8"/>
  <c r="J52" i="8"/>
  <c r="J25" i="8"/>
  <c r="J27" i="8"/>
  <c r="J39" i="8"/>
  <c r="G10" i="8"/>
  <c r="K60" i="8"/>
  <c r="D40" i="8"/>
  <c r="D25" i="8"/>
  <c r="D26" i="8"/>
  <c r="D27" i="8"/>
  <c r="D55" i="8"/>
  <c r="D24" i="8"/>
  <c r="D31" i="8"/>
  <c r="D42" i="8"/>
  <c r="D46" i="8"/>
  <c r="D50" i="8"/>
  <c r="D59" i="8"/>
  <c r="D64" i="8"/>
  <c r="D56" i="8"/>
  <c r="D30" i="8"/>
  <c r="D37" i="8"/>
  <c r="D49" i="8"/>
  <c r="D12" i="8"/>
  <c r="G11" i="8"/>
  <c r="J64" i="8"/>
  <c r="J55" i="8"/>
  <c r="J56" i="8"/>
  <c r="J57" i="8"/>
  <c r="J17" i="8"/>
  <c r="D13" i="8"/>
  <c r="L19" i="8"/>
  <c r="J23" i="8"/>
  <c r="J36" i="8"/>
  <c r="J37" i="8"/>
  <c r="J38" i="8"/>
  <c r="J45" i="8"/>
  <c r="J46" i="8"/>
  <c r="J51" i="8"/>
  <c r="J58" i="8"/>
  <c r="J19" i="8"/>
  <c r="J18" i="8"/>
  <c r="D15" i="8"/>
  <c r="J10" i="8"/>
  <c r="J11" i="8"/>
  <c r="J30" i="8"/>
  <c r="J31" i="8"/>
  <c r="J32" i="8"/>
  <c r="J42" i="8"/>
  <c r="J43" i="8"/>
  <c r="D17" i="8"/>
  <c r="J13" i="8"/>
  <c r="J28" i="8"/>
  <c r="J41" i="8"/>
  <c r="J15" i="8"/>
  <c r="J14" i="8"/>
  <c r="K19" i="8"/>
  <c r="E19" i="8"/>
  <c r="F19" i="8" s="1"/>
  <c r="H18" i="8"/>
  <c r="D16" i="8"/>
  <c r="J12" i="8"/>
  <c r="D11" i="8"/>
  <c r="G18" i="8"/>
  <c r="H42" i="8"/>
  <c r="D14" i="8"/>
  <c r="L60" i="8"/>
  <c r="H45" i="8"/>
  <c r="K11" i="9"/>
  <c r="E14" i="9"/>
  <c r="E28" i="9"/>
  <c r="K29" i="9"/>
  <c r="E33" i="9"/>
  <c r="E39" i="9"/>
  <c r="I41" i="9"/>
  <c r="E43" i="9"/>
  <c r="E47" i="9"/>
  <c r="E58" i="9"/>
  <c r="I60" i="9"/>
  <c r="F61" i="9"/>
  <c r="E65" i="9"/>
  <c r="K25" i="9"/>
  <c r="E29" i="9"/>
  <c r="E34" i="9"/>
  <c r="K36" i="9"/>
  <c r="E40" i="9"/>
  <c r="H42" i="9"/>
  <c r="K45" i="9"/>
  <c r="H46" i="9"/>
  <c r="E53" i="9"/>
  <c r="E59" i="9"/>
  <c r="E20" i="9"/>
  <c r="K20" i="9"/>
  <c r="E24" i="9"/>
  <c r="E35" i="9"/>
  <c r="K37" i="9"/>
  <c r="E41" i="9"/>
  <c r="E44" i="9"/>
  <c r="K51" i="9"/>
  <c r="K56" i="9"/>
  <c r="E60" i="9"/>
  <c r="D63" i="9"/>
  <c r="E63" i="9" s="1"/>
  <c r="J63" i="9"/>
  <c r="F20" i="9"/>
  <c r="I20" i="9" s="1"/>
  <c r="E25" i="9"/>
  <c r="K27" i="9"/>
  <c r="E30" i="9"/>
  <c r="E36" i="9"/>
  <c r="K38" i="9"/>
  <c r="H43" i="9"/>
  <c r="E45" i="9"/>
  <c r="K46" i="9"/>
  <c r="E50" i="9"/>
  <c r="K14" i="9"/>
  <c r="E18" i="9"/>
  <c r="E26" i="9"/>
  <c r="K28" i="9"/>
  <c r="E31" i="9"/>
  <c r="E37" i="9"/>
  <c r="K39" i="9"/>
  <c r="E42" i="9"/>
  <c r="E46" i="9"/>
  <c r="K47" i="9"/>
  <c r="E51" i="9"/>
  <c r="H28" i="8"/>
  <c r="H59" i="8"/>
  <c r="E60" i="8"/>
  <c r="F60" i="8" s="1"/>
  <c r="J24" i="8"/>
  <c r="D28" i="8"/>
  <c r="J29" i="8"/>
  <c r="J35" i="8"/>
  <c r="D39" i="8"/>
  <c r="J40" i="8"/>
  <c r="J44" i="8"/>
  <c r="J49" i="8"/>
  <c r="D52" i="8"/>
  <c r="J59" i="8"/>
  <c r="E15" i="6"/>
  <c r="E14" i="6"/>
  <c r="F19" i="6"/>
  <c r="I19" i="6"/>
  <c r="H11" i="6"/>
  <c r="G18" i="6"/>
  <c r="K19" i="6"/>
  <c r="K10" i="6"/>
  <c r="K17" i="6"/>
  <c r="K12" i="6"/>
  <c r="H18" i="6"/>
  <c r="K11" i="6"/>
  <c r="F34" i="7"/>
  <c r="G56" i="7"/>
  <c r="G55" i="7"/>
  <c r="G74" i="7"/>
  <c r="K39" i="7"/>
  <c r="E43" i="7"/>
  <c r="K44" i="7"/>
  <c r="E48" i="7"/>
  <c r="K50" i="7"/>
  <c r="E54" i="7"/>
  <c r="K55" i="7"/>
  <c r="H56" i="7"/>
  <c r="K59" i="7"/>
  <c r="H60" i="7"/>
  <c r="K64" i="7"/>
  <c r="G66" i="7"/>
  <c r="E67" i="7"/>
  <c r="E73" i="7"/>
  <c r="K74" i="7"/>
  <c r="H33" i="7"/>
  <c r="E49" i="7"/>
  <c r="K51" i="7"/>
  <c r="E55" i="7"/>
  <c r="I56" i="7"/>
  <c r="E58" i="7"/>
  <c r="K65" i="7"/>
  <c r="H66" i="7"/>
  <c r="K70" i="7"/>
  <c r="E74" i="7"/>
  <c r="D77" i="7"/>
  <c r="J77" i="7"/>
  <c r="F75" i="7"/>
  <c r="G33" i="7"/>
  <c r="K56" i="7"/>
  <c r="E59" i="7"/>
  <c r="K60" i="7"/>
  <c r="E64" i="7"/>
  <c r="K71" i="7"/>
  <c r="K33" i="7"/>
  <c r="M34" i="7"/>
  <c r="E40" i="7"/>
  <c r="K42" i="7"/>
  <c r="E45" i="7"/>
  <c r="K47" i="7"/>
  <c r="E51" i="7"/>
  <c r="K53" i="7"/>
  <c r="E56" i="7"/>
  <c r="E60" i="7"/>
  <c r="K61" i="7"/>
  <c r="E65" i="7"/>
  <c r="K66" i="7"/>
  <c r="K72" i="7"/>
  <c r="I18" i="6"/>
  <c r="K14" i="6"/>
  <c r="K18" i="6"/>
  <c r="K13" i="6"/>
  <c r="E10" i="6"/>
  <c r="E11" i="6"/>
  <c r="G19" i="6"/>
  <c r="G16" i="6"/>
  <c r="I10" i="6"/>
  <c r="H10" i="6"/>
  <c r="G11" i="6"/>
  <c r="E18" i="6"/>
  <c r="E12" i="6"/>
  <c r="M19" i="6"/>
  <c r="E17" i="6"/>
  <c r="L19" i="6"/>
  <c r="G13" i="6"/>
  <c r="G14" i="6"/>
  <c r="G15" i="6"/>
  <c r="E16" i="6"/>
  <c r="E19" i="6"/>
  <c r="E110" i="2"/>
  <c r="E111" i="2"/>
  <c r="E113" i="2"/>
  <c r="E114" i="2"/>
  <c r="D14" i="5"/>
  <c r="E75" i="2"/>
  <c r="D3" i="5"/>
  <c r="D77" i="2"/>
  <c r="D78" i="2"/>
  <c r="D79" i="2"/>
  <c r="D80" i="2"/>
  <c r="D81" i="2"/>
  <c r="D82" i="2"/>
  <c r="D76" i="2"/>
  <c r="E86" i="2"/>
  <c r="F82" i="2"/>
  <c r="F81" i="2"/>
  <c r="F80" i="2"/>
  <c r="F79" i="2"/>
  <c r="F78" i="2"/>
  <c r="F77" i="2"/>
  <c r="F76" i="2"/>
  <c r="E9" i="5"/>
  <c r="E6" i="5"/>
  <c r="E7" i="5"/>
  <c r="E4" i="5"/>
  <c r="E8" i="5"/>
  <c r="E5" i="5"/>
  <c r="E10" i="5"/>
  <c r="E56" i="2"/>
  <c r="E55" i="2"/>
  <c r="E41" i="2"/>
  <c r="E40" i="2"/>
  <c r="E14" i="2"/>
  <c r="E6" i="2"/>
  <c r="E7" i="2"/>
  <c r="L11" i="1"/>
  <c r="L12" i="1"/>
  <c r="L13" i="1"/>
  <c r="L14" i="1"/>
  <c r="L15" i="1"/>
  <c r="L16" i="1"/>
  <c r="L17" i="1"/>
  <c r="L18" i="1"/>
  <c r="L20" i="1"/>
  <c r="L21" i="1"/>
  <c r="L65" i="1"/>
  <c r="L10" i="1"/>
  <c r="I17" i="1"/>
  <c r="I39" i="1"/>
  <c r="I24" i="1"/>
  <c r="I25" i="1"/>
  <c r="I26" i="1"/>
  <c r="I27" i="1"/>
  <c r="I29" i="1"/>
  <c r="I30" i="1"/>
  <c r="I31" i="1"/>
  <c r="I32" i="1"/>
  <c r="I33" i="1"/>
  <c r="I34" i="1"/>
  <c r="I35" i="1"/>
  <c r="I36" i="1"/>
  <c r="I37" i="1"/>
  <c r="I38" i="1"/>
  <c r="I43" i="1"/>
  <c r="I44" i="1"/>
  <c r="I46" i="1"/>
  <c r="I49" i="1"/>
  <c r="I50" i="1"/>
  <c r="I52" i="1"/>
  <c r="I55" i="1"/>
  <c r="I57" i="1"/>
  <c r="I58" i="1"/>
  <c r="I65" i="1"/>
  <c r="I23" i="1"/>
  <c r="I12" i="1"/>
  <c r="I13" i="1"/>
  <c r="I14" i="1"/>
  <c r="I15" i="1"/>
  <c r="I16" i="1"/>
  <c r="H65" i="1"/>
  <c r="H12" i="1"/>
  <c r="H13" i="1"/>
  <c r="H14" i="1"/>
  <c r="H15" i="1"/>
  <c r="H16" i="1"/>
  <c r="H17" i="1"/>
  <c r="I59" i="1"/>
  <c r="I18" i="1"/>
  <c r="I11" i="1"/>
  <c r="H11" i="1"/>
  <c r="I10" i="1"/>
  <c r="I51" i="1"/>
  <c r="I45" i="1"/>
  <c r="I41" i="1"/>
  <c r="I28" i="1"/>
  <c r="H10" i="1"/>
  <c r="G41" i="9"/>
  <c r="G19" i="8"/>
  <c r="F10" i="8"/>
  <c r="G50" i="9"/>
  <c r="G25" i="9"/>
  <c r="G44" i="9"/>
  <c r="G59" i="9"/>
  <c r="G15" i="9"/>
  <c r="G52" i="9"/>
  <c r="G28" i="9"/>
  <c r="G57" i="9"/>
  <c r="G13" i="9"/>
  <c r="G31" i="9"/>
  <c r="K63" i="9"/>
  <c r="J67" i="9"/>
  <c r="K67" i="9" s="1"/>
  <c r="I61" i="9"/>
  <c r="H61" i="9"/>
  <c r="G61" i="9"/>
  <c r="D67" i="9"/>
  <c r="M67" i="9" s="1"/>
  <c r="F35" i="8"/>
  <c r="F23" i="8"/>
  <c r="F64" i="8"/>
  <c r="F27" i="8"/>
  <c r="F55" i="8"/>
  <c r="F51" i="8"/>
  <c r="G10" i="6"/>
  <c r="H19" i="6"/>
  <c r="G12" i="6"/>
  <c r="G17" i="6"/>
  <c r="I42" i="1"/>
  <c r="I40" i="1"/>
  <c r="H18" i="1"/>
  <c r="K33" i="1"/>
  <c r="K77" i="7"/>
  <c r="J81" i="7"/>
  <c r="K81" i="7"/>
  <c r="I75" i="7"/>
  <c r="H75" i="7"/>
  <c r="G75" i="7"/>
  <c r="L77" i="7"/>
  <c r="F77" i="7"/>
  <c r="H77" i="7"/>
  <c r="M77" i="7"/>
  <c r="E77" i="7"/>
  <c r="D81" i="7"/>
  <c r="G64" i="7"/>
  <c r="G59" i="7"/>
  <c r="G50" i="7"/>
  <c r="G44" i="7"/>
  <c r="G39" i="7"/>
  <c r="G34" i="7"/>
  <c r="G31" i="7"/>
  <c r="G27" i="7"/>
  <c r="G26" i="7"/>
  <c r="G58" i="7"/>
  <c r="G49" i="7"/>
  <c r="G43" i="7"/>
  <c r="G38" i="7"/>
  <c r="G30" i="7"/>
  <c r="G25" i="7"/>
  <c r="G71" i="7"/>
  <c r="G70" i="7"/>
  <c r="G73" i="7"/>
  <c r="G67" i="7"/>
  <c r="G57" i="7"/>
  <c r="G54" i="7"/>
  <c r="G48" i="7"/>
  <c r="G29" i="7"/>
  <c r="G52" i="7"/>
  <c r="G46" i="7"/>
  <c r="G41" i="7"/>
  <c r="I34" i="7"/>
  <c r="G40" i="7"/>
  <c r="H34" i="7"/>
  <c r="G79" i="7"/>
  <c r="G72" i="7"/>
  <c r="G61" i="7"/>
  <c r="G53" i="7"/>
  <c r="G47" i="7"/>
  <c r="G42" i="7"/>
  <c r="G28" i="7"/>
  <c r="G65" i="7"/>
  <c r="G51" i="7"/>
  <c r="G45" i="7"/>
  <c r="G32" i="7"/>
  <c r="G60" i="7"/>
  <c r="F81" i="7"/>
  <c r="G81" i="7"/>
  <c r="G77" i="7"/>
  <c r="I77" i="7"/>
  <c r="M81" i="7"/>
  <c r="L81" i="7"/>
  <c r="E81" i="7"/>
  <c r="H81" i="7"/>
  <c r="I81" i="7"/>
  <c r="G42" i="1" l="1"/>
  <c r="K48" i="1"/>
  <c r="H54" i="1"/>
  <c r="M54" i="1"/>
  <c r="H48" i="1"/>
  <c r="L48" i="1"/>
  <c r="I48" i="1"/>
  <c r="M48" i="1"/>
  <c r="M22" i="1"/>
  <c r="E13" i="10"/>
  <c r="E19" i="10" s="1"/>
  <c r="E21" i="10" s="1"/>
  <c r="F61" i="1"/>
  <c r="F63" i="1" s="1"/>
  <c r="G63" i="1" s="1"/>
  <c r="I22" i="1"/>
  <c r="K28" i="1"/>
  <c r="E67" i="9"/>
  <c r="L63" i="9"/>
  <c r="G60" i="9"/>
  <c r="G27" i="9"/>
  <c r="G33" i="9"/>
  <c r="G34" i="9"/>
  <c r="G16" i="9"/>
  <c r="F63" i="9"/>
  <c r="L67" i="9"/>
  <c r="G42" i="9"/>
  <c r="G46" i="9"/>
  <c r="G51" i="9"/>
  <c r="G32" i="9"/>
  <c r="G14" i="9"/>
  <c r="G39" i="9"/>
  <c r="G65" i="9"/>
  <c r="G40" i="9"/>
  <c r="G24" i="9"/>
  <c r="G17" i="9"/>
  <c r="G36" i="9"/>
  <c r="G29" i="9"/>
  <c r="K58" i="9"/>
  <c r="K33" i="9"/>
  <c r="M20" i="9"/>
  <c r="K57" i="9"/>
  <c r="K32" i="9"/>
  <c r="L20" i="9"/>
  <c r="K31" i="9"/>
  <c r="K50" i="9"/>
  <c r="K41" i="9"/>
  <c r="K30" i="9"/>
  <c r="K44" i="9"/>
  <c r="K35" i="9"/>
  <c r="K24" i="9"/>
  <c r="K59" i="9"/>
  <c r="K53" i="9"/>
  <c r="G37" i="9"/>
  <c r="G26" i="9"/>
  <c r="G58" i="9"/>
  <c r="G18" i="9"/>
  <c r="G30" i="9"/>
  <c r="G43" i="9"/>
  <c r="M63" i="9"/>
  <c r="G12" i="9"/>
  <c r="G56" i="9"/>
  <c r="G38" i="9"/>
  <c r="G19" i="9"/>
  <c r="G47" i="9"/>
  <c r="H20" i="9"/>
  <c r="G53" i="9"/>
  <c r="G35" i="9"/>
  <c r="G20" i="9"/>
  <c r="G45" i="9"/>
  <c r="G11" i="9"/>
  <c r="K52" i="9"/>
  <c r="K19" i="9"/>
  <c r="K42" i="9"/>
  <c r="K26" i="9"/>
  <c r="K60" i="9"/>
  <c r="K16" i="9"/>
  <c r="E51" i="1"/>
  <c r="K18" i="1"/>
  <c r="E46" i="1"/>
  <c r="K10" i="1"/>
  <c r="G13" i="1"/>
  <c r="K15" i="1"/>
  <c r="K51" i="1"/>
  <c r="E29" i="1"/>
  <c r="E19" i="1"/>
  <c r="K22" i="1"/>
  <c r="F25" i="8"/>
  <c r="F26" i="8"/>
  <c r="F32" i="8"/>
  <c r="F39" i="8"/>
  <c r="F34" i="8"/>
  <c r="F44" i="8"/>
  <c r="F15" i="8"/>
  <c r="F17" i="8"/>
  <c r="H41" i="8"/>
  <c r="G51" i="8"/>
  <c r="F42" i="8"/>
  <c r="F11" i="8"/>
  <c r="H40" i="8"/>
  <c r="F40" i="8"/>
  <c r="F30" i="8"/>
  <c r="F31" i="8"/>
  <c r="F46" i="8"/>
  <c r="F43" i="8"/>
  <c r="F14" i="8"/>
  <c r="F45" i="8"/>
  <c r="F36" i="8"/>
  <c r="F56" i="8"/>
  <c r="F57" i="8"/>
  <c r="F52" i="8"/>
  <c r="F29" i="8"/>
  <c r="F18" i="8"/>
  <c r="H19" i="8"/>
  <c r="F13" i="8"/>
  <c r="F28" i="8"/>
  <c r="I62" i="8"/>
  <c r="J62" i="8" s="1"/>
  <c r="D61" i="1"/>
  <c r="J61" i="1"/>
  <c r="K61" i="1" s="1"/>
  <c r="K34" i="1"/>
  <c r="K11" i="1"/>
  <c r="K16" i="1"/>
  <c r="K45" i="1"/>
  <c r="K31" i="1"/>
  <c r="K38" i="1"/>
  <c r="K43" i="1"/>
  <c r="K14" i="1"/>
  <c r="K49" i="1"/>
  <c r="K55" i="1"/>
  <c r="G51" i="1"/>
  <c r="K24" i="1"/>
  <c r="K30" i="1"/>
  <c r="K27" i="1"/>
  <c r="K52" i="1"/>
  <c r="K23" i="1"/>
  <c r="K25" i="1"/>
  <c r="K50" i="1"/>
  <c r="K39" i="1"/>
  <c r="K37" i="1"/>
  <c r="K32" i="1"/>
  <c r="K41" i="1"/>
  <c r="K44" i="1"/>
  <c r="G40" i="1"/>
  <c r="G60" i="8"/>
  <c r="H60" i="8"/>
  <c r="C66" i="8"/>
  <c r="D66" i="8" s="1"/>
  <c r="D62" i="8"/>
  <c r="E62" i="8"/>
  <c r="G62" i="8" s="1"/>
  <c r="J60" i="8"/>
  <c r="F59" i="8"/>
  <c r="F41" i="8"/>
  <c r="F50" i="8"/>
  <c r="F37" i="8"/>
  <c r="F38" i="8"/>
  <c r="F33" i="8"/>
  <c r="F58" i="8"/>
  <c r="F24" i="8"/>
  <c r="F49" i="8"/>
  <c r="F16" i="8"/>
  <c r="F12" i="8"/>
  <c r="D33" i="8"/>
  <c r="D60" i="8"/>
  <c r="D18" i="8"/>
  <c r="D23" i="8"/>
  <c r="D51" i="8"/>
  <c r="D38" i="8"/>
  <c r="D32" i="8"/>
  <c r="D43" i="8"/>
  <c r="D58" i="8"/>
  <c r="D29" i="8"/>
  <c r="D41" i="8"/>
  <c r="I66" i="8"/>
  <c r="K62" i="8"/>
  <c r="L54" i="1"/>
  <c r="E54" i="1"/>
  <c r="K35" i="1"/>
  <c r="K58" i="1"/>
  <c r="K36" i="1"/>
  <c r="K12" i="1"/>
  <c r="K59" i="1"/>
  <c r="K42" i="1"/>
  <c r="K19" i="1"/>
  <c r="K40" i="1"/>
  <c r="K26" i="1"/>
  <c r="G15" i="1"/>
  <c r="G43" i="1"/>
  <c r="G24" i="1"/>
  <c r="K56" i="1"/>
  <c r="K29" i="1"/>
  <c r="K13" i="1"/>
  <c r="G16" i="1"/>
  <c r="G31" i="1"/>
  <c r="K65" i="1"/>
  <c r="E13" i="1"/>
  <c r="D10" i="10"/>
  <c r="D13" i="10" s="1"/>
  <c r="D19" i="10" s="1"/>
  <c r="D21" i="10" s="1"/>
  <c r="K6" i="15" s="1"/>
  <c r="E26" i="1"/>
  <c r="E55" i="1"/>
  <c r="H19" i="1"/>
  <c r="E40" i="1"/>
  <c r="E17" i="1"/>
  <c r="E33" i="1"/>
  <c r="E14" i="1"/>
  <c r="E30" i="1"/>
  <c r="E52" i="1"/>
  <c r="E59" i="1"/>
  <c r="E49" i="1"/>
  <c r="E31" i="1"/>
  <c r="E24" i="1"/>
  <c r="E44" i="1"/>
  <c r="E41" i="1"/>
  <c r="E18" i="1"/>
  <c r="E34" i="1"/>
  <c r="E11" i="1"/>
  <c r="E27" i="1"/>
  <c r="E16" i="1"/>
  <c r="K54" i="1"/>
  <c r="E28" i="1"/>
  <c r="E56" i="1"/>
  <c r="E25" i="1"/>
  <c r="E45" i="1"/>
  <c r="E42" i="1"/>
  <c r="E15" i="1"/>
  <c r="E43" i="1"/>
  <c r="E35" i="1"/>
  <c r="L22" i="1"/>
  <c r="H22" i="1"/>
  <c r="I19" i="1"/>
  <c r="E32" i="1"/>
  <c r="E50" i="1"/>
  <c r="E37" i="1"/>
  <c r="E57" i="1"/>
  <c r="E65" i="1"/>
  <c r="E38" i="1"/>
  <c r="E58" i="1"/>
  <c r="E39" i="1"/>
  <c r="E12" i="1"/>
  <c r="E10" i="1"/>
  <c r="K17" i="1"/>
  <c r="K57" i="1"/>
  <c r="L19" i="1"/>
  <c r="E23" i="1"/>
  <c r="E22" i="1"/>
  <c r="G29" i="1"/>
  <c r="G18" i="1"/>
  <c r="G35" i="1"/>
  <c r="G27" i="1"/>
  <c r="G11" i="1"/>
  <c r="G45" i="1"/>
  <c r="G17" i="1"/>
  <c r="G38" i="1"/>
  <c r="G33" i="1"/>
  <c r="G26" i="1"/>
  <c r="G59" i="1"/>
  <c r="G22" i="1"/>
  <c r="E48" i="1"/>
  <c r="G55" i="1"/>
  <c r="G10" i="1"/>
  <c r="G44" i="1"/>
  <c r="G37" i="1"/>
  <c r="G46" i="1"/>
  <c r="G58" i="1"/>
  <c r="G65" i="1"/>
  <c r="G57" i="1"/>
  <c r="G56" i="1"/>
  <c r="G12" i="1"/>
  <c r="G36" i="1"/>
  <c r="G48" i="1"/>
  <c r="G28" i="1"/>
  <c r="G30" i="1"/>
  <c r="G49" i="1"/>
  <c r="G32" i="1"/>
  <c r="G23" i="1"/>
  <c r="G34" i="1"/>
  <c r="G19" i="1"/>
  <c r="G50" i="1"/>
  <c r="G39" i="1"/>
  <c r="G14" i="1"/>
  <c r="G52" i="1"/>
  <c r="G25" i="1"/>
  <c r="G41" i="1"/>
  <c r="G54" i="1"/>
  <c r="L61" i="1" l="1"/>
  <c r="I61" i="1"/>
  <c r="M61" i="1"/>
  <c r="H61" i="1"/>
  <c r="D63" i="1"/>
  <c r="M63" i="1" s="1"/>
  <c r="G61" i="1"/>
  <c r="E61" i="1"/>
  <c r="F67" i="9"/>
  <c r="I63" i="9"/>
  <c r="G63" i="9"/>
  <c r="H63" i="9"/>
  <c r="J63" i="1"/>
  <c r="L62" i="8"/>
  <c r="H62" i="8"/>
  <c r="E66" i="8"/>
  <c r="G66" i="8" s="1"/>
  <c r="F62" i="8"/>
  <c r="K66" i="8"/>
  <c r="J66" i="8"/>
  <c r="L66" i="8"/>
  <c r="G6" i="15"/>
  <c r="F67" i="1"/>
  <c r="I63" i="1"/>
  <c r="E63" i="1" l="1"/>
  <c r="H63" i="1"/>
  <c r="D67" i="1"/>
  <c r="I67" i="9"/>
  <c r="G67" i="9"/>
  <c r="H67" i="9"/>
  <c r="L63" i="1"/>
  <c r="K63" i="1"/>
  <c r="J67" i="1"/>
  <c r="K67" i="1" s="1"/>
  <c r="F66" i="8"/>
  <c r="H66" i="8"/>
  <c r="E67" i="1"/>
  <c r="G67" i="1"/>
  <c r="I67" i="1"/>
  <c r="H67" i="1"/>
  <c r="E10" i="11" l="1"/>
  <c r="E15" i="11" s="1"/>
  <c r="F15" i="11" s="1"/>
  <c r="K8" i="15" s="1"/>
  <c r="M67" i="1"/>
  <c r="L67" i="1"/>
  <c r="F10" i="11" l="1"/>
  <c r="K7" i="15" s="1"/>
</calcChain>
</file>

<file path=xl/sharedStrings.xml><?xml version="1.0" encoding="utf-8"?>
<sst xmlns="http://schemas.openxmlformats.org/spreadsheetml/2006/main" count="564" uniqueCount="197">
  <si>
    <t>TERMINAL DE TRANSPORTES DE MELGAR  S.A.</t>
  </si>
  <si>
    <t>NIT. 900.677.957-3</t>
  </si>
  <si>
    <t>ESTADO DE RESULTADOS  DEL 1 DE ENERO AL 31 DE DICIEMBRE DE 2020</t>
  </si>
  <si>
    <t>INGRESOS</t>
  </si>
  <si>
    <t>Tasa de uso</t>
  </si>
  <si>
    <t>Sellos</t>
  </si>
  <si>
    <t>Arrendamientos</t>
  </si>
  <si>
    <t>Financieros</t>
  </si>
  <si>
    <t>Servicio de Baños</t>
  </si>
  <si>
    <t>Servicio de Guardequipaje</t>
  </si>
  <si>
    <t>Utilidad Venta Prop.Construc en curso</t>
  </si>
  <si>
    <t>Subvenciones  gubernamentales</t>
  </si>
  <si>
    <t>Otros Diversos</t>
  </si>
  <si>
    <t>TOTAL DE INGRESOS</t>
  </si>
  <si>
    <t>EGRESOS</t>
  </si>
  <si>
    <t>Gastos de Administración</t>
  </si>
  <si>
    <t>Beneficios a empleados</t>
  </si>
  <si>
    <t>Honorarios</t>
  </si>
  <si>
    <t>Impuestos</t>
  </si>
  <si>
    <t>Contribuciones y  Afiliaciones</t>
  </si>
  <si>
    <t>Seguros</t>
  </si>
  <si>
    <t>Servicios</t>
  </si>
  <si>
    <t>Gastos Legales</t>
  </si>
  <si>
    <t>Mantenimiento y reparaciones</t>
  </si>
  <si>
    <t>Adecuaciones e instalaciones</t>
  </si>
  <si>
    <t>Gastos de Viaje</t>
  </si>
  <si>
    <t>Depreciaciones</t>
  </si>
  <si>
    <t>Amortizaciones</t>
  </si>
  <si>
    <t>Gastos de Representacion</t>
  </si>
  <si>
    <t>Elementos de Aseo y Cafeteria</t>
  </si>
  <si>
    <t>Utiles, Papeleria y fotocopias</t>
  </si>
  <si>
    <t>Gastos Junta Directiva</t>
  </si>
  <si>
    <t>Gastos de Asamblea</t>
  </si>
  <si>
    <t>Combustibles y Lubricantes</t>
  </si>
  <si>
    <t>Suministros</t>
  </si>
  <si>
    <t>Casino y Restaurante</t>
  </si>
  <si>
    <t>Sistematizacion</t>
  </si>
  <si>
    <t xml:space="preserve">Cuotas de Administración </t>
  </si>
  <si>
    <t>Costo de Servicio de baños</t>
  </si>
  <si>
    <t>Suministros de Aseo</t>
  </si>
  <si>
    <t>Servicios Públicos</t>
  </si>
  <si>
    <t>No Operacionales</t>
  </si>
  <si>
    <t>Gastos bancarios</t>
  </si>
  <si>
    <t>Gastos Fiduciarios</t>
  </si>
  <si>
    <t>Otros Gastos no operacionales</t>
  </si>
  <si>
    <t>TOTAL EGRESOS</t>
  </si>
  <si>
    <t>RESULTADO ANTES DE PROVISION IMPORRENTA</t>
  </si>
  <si>
    <t>PROVISION IMPORRENTA PRESUNTIVA</t>
  </si>
  <si>
    <t>Deterioro de Cartera</t>
  </si>
  <si>
    <t>Costas y procesos judiciales</t>
  </si>
  <si>
    <t>Part %</t>
  </si>
  <si>
    <t xml:space="preserve">Variación </t>
  </si>
  <si>
    <t>$</t>
  </si>
  <si>
    <t>%</t>
  </si>
  <si>
    <t>Presupuesto 2020</t>
  </si>
  <si>
    <t>Cumplimiento</t>
  </si>
  <si>
    <t>PÉRDIDA DEL EJERCICIO</t>
  </si>
  <si>
    <t>Ejecutado
 2019</t>
  </si>
  <si>
    <t>Ejecutado
 2020</t>
  </si>
  <si>
    <t>Otros Ingresos</t>
  </si>
  <si>
    <t>GASTOS DE PERSONAL</t>
  </si>
  <si>
    <t>Servicio</t>
  </si>
  <si>
    <t>No. Funcionarios</t>
  </si>
  <si>
    <t>Alcoholimetría</t>
  </si>
  <si>
    <t>Operativos</t>
  </si>
  <si>
    <t>Servicios generales</t>
  </si>
  <si>
    <t>Administrativos</t>
  </si>
  <si>
    <t>Intereses Préstamos</t>
  </si>
  <si>
    <t>Valores en Porcentaje (%)</t>
  </si>
  <si>
    <t>INGRESOS OPERACIONALES</t>
  </si>
  <si>
    <t>COSTOS</t>
  </si>
  <si>
    <t>EBITDA</t>
  </si>
  <si>
    <t>Acumulado a Diciembre</t>
  </si>
  <si>
    <t>GASTOS DE ADMINISTRACIÓN</t>
  </si>
  <si>
    <t>INDICADORES</t>
  </si>
  <si>
    <t>Ejecutado 2020</t>
  </si>
  <si>
    <t>Ejecutado 2019</t>
  </si>
  <si>
    <t>otros</t>
  </si>
  <si>
    <t>Otros gastos</t>
  </si>
  <si>
    <t>Gastos generales</t>
  </si>
  <si>
    <t>AÑO 2020</t>
  </si>
  <si>
    <t>ESTADISTICAS</t>
  </si>
  <si>
    <t>TEMAS RELEVANTES</t>
  </si>
  <si>
    <t>COMPOSICIÓN ACCIONARIA</t>
  </si>
  <si>
    <t>GASTOS ADMINISTRATIVOS</t>
  </si>
  <si>
    <t>ACTIVO</t>
  </si>
  <si>
    <t>CORRIENTE</t>
  </si>
  <si>
    <t>EFECTIVO Y EQUIVALENTE DE EFECTIVO</t>
  </si>
  <si>
    <t>Caja General</t>
  </si>
  <si>
    <t>Bancos</t>
  </si>
  <si>
    <t>Cta de Ahorros</t>
  </si>
  <si>
    <t>Fondos Especiales Restringidos</t>
  </si>
  <si>
    <t>DEUDORES</t>
  </si>
  <si>
    <t>Anticipos y Avances</t>
  </si>
  <si>
    <t>Ingresos por Cobrar</t>
  </si>
  <si>
    <t>Anticipo de Impuestos</t>
  </si>
  <si>
    <t>Deudores Varios</t>
  </si>
  <si>
    <t>Menos: Deterioro de Cartera</t>
  </si>
  <si>
    <t>TOTAL ACTIVO CORRIENTE</t>
  </si>
  <si>
    <t>NO CORRIENTE</t>
  </si>
  <si>
    <t>PROPIEDAD PLANTA Y EQUIPOS</t>
  </si>
  <si>
    <t>INTANGIBLES</t>
  </si>
  <si>
    <t>TOTAL ACTIVO NO CORRIENTE</t>
  </si>
  <si>
    <t>TOTAL ACTIVO</t>
  </si>
  <si>
    <t>PASIVO</t>
  </si>
  <si>
    <t>PROVEEDORES</t>
  </si>
  <si>
    <t>OBLIGACIONES FINANCIERAS CORTO PLAZO</t>
  </si>
  <si>
    <t>CUENTAS POR PAGAR</t>
  </si>
  <si>
    <t>IMPUESTOS Y GRAVAMENES POR PAGAR</t>
  </si>
  <si>
    <t>BENEFICIOS A EMPLEADOS</t>
  </si>
  <si>
    <t>TOTAL PASIVO CORRIENTE</t>
  </si>
  <si>
    <t>OTROS PASIVOS</t>
  </si>
  <si>
    <t>OBLIGACIONES FINANCIERAS</t>
  </si>
  <si>
    <t>TOTAL PASIVO NO CORRIENTE</t>
  </si>
  <si>
    <t>TOTAL PASIVO</t>
  </si>
  <si>
    <t>PATRIMONIO</t>
  </si>
  <si>
    <t>CAPITAL SUSCRITO Y PAGADO</t>
  </si>
  <si>
    <t>CAPITAL AUTORIZADO</t>
  </si>
  <si>
    <t>CAPITAL POR SUSCRIBIR</t>
  </si>
  <si>
    <t>CAPITAL SUSCRITO POR COBRAR</t>
  </si>
  <si>
    <t>UTILIDADES</t>
  </si>
  <si>
    <t>PERDIDA DEL PRESENTE EJERCICIO</t>
  </si>
  <si>
    <t>PERDIDA DEL EJERC. ANTERIOR</t>
  </si>
  <si>
    <t>TOTAL PATRIMONIO</t>
  </si>
  <si>
    <t>TOTAL PASIVO + PATRIMONIO</t>
  </si>
  <si>
    <t>ESTADO SITUACION FINANCIERA A 31 DE DICIEMBRE DE 2020</t>
  </si>
  <si>
    <t>ROA</t>
  </si>
  <si>
    <t>ROE</t>
  </si>
  <si>
    <t>MARGEN EBITDA</t>
  </si>
  <si>
    <t>ENDEUDAMIENTO FINANCIERO</t>
  </si>
  <si>
    <t>INDICADOR DE LIQUIDEZ</t>
  </si>
  <si>
    <t xml:space="preserve">Utilidad neta </t>
  </si>
  <si>
    <t>Total activos</t>
  </si>
  <si>
    <t>Utilidad neta</t>
  </si>
  <si>
    <t>Patrimonio</t>
  </si>
  <si>
    <t>Activo corriente</t>
  </si>
  <si>
    <t>Pasivo corriente</t>
  </si>
  <si>
    <t>Total pasivos</t>
  </si>
  <si>
    <t>Pasivos financieros</t>
  </si>
  <si>
    <t>Ingresos</t>
  </si>
  <si>
    <r>
      <rPr>
        <b/>
        <i/>
        <sz val="20"/>
        <color theme="0"/>
        <rFont val="Calibri"/>
        <family val="2"/>
        <scheme val="minor"/>
      </rPr>
      <t>.</t>
    </r>
    <r>
      <rPr>
        <b/>
        <i/>
        <sz val="20"/>
        <rFont val="Calibri"/>
        <family val="2"/>
        <scheme val="minor"/>
      </rPr>
      <t>-Costos de baños</t>
    </r>
  </si>
  <si>
    <r>
      <rPr>
        <b/>
        <i/>
        <sz val="20"/>
        <color theme="0"/>
        <rFont val="Calibri"/>
        <family val="2"/>
        <scheme val="minor"/>
      </rPr>
      <t>.</t>
    </r>
    <r>
      <rPr>
        <b/>
        <i/>
        <sz val="20"/>
        <rFont val="Calibri"/>
        <family val="2"/>
        <scheme val="minor"/>
      </rPr>
      <t>-Gastos personal</t>
    </r>
  </si>
  <si>
    <t>ENDEUDAMIENTO TOTAL</t>
  </si>
  <si>
    <r>
      <rPr>
        <b/>
        <i/>
        <sz val="20"/>
        <color theme="0"/>
        <rFont val="Calibri"/>
        <family val="2"/>
        <scheme val="minor"/>
      </rPr>
      <t>.</t>
    </r>
    <r>
      <rPr>
        <b/>
        <i/>
        <sz val="20"/>
        <rFont val="Calibri"/>
        <family val="2"/>
        <scheme val="minor"/>
      </rPr>
      <t>=UTILIDAD BRUTA</t>
    </r>
  </si>
  <si>
    <r>
      <rPr>
        <b/>
        <i/>
        <sz val="20"/>
        <color theme="0"/>
        <rFont val="Calibri"/>
        <family val="2"/>
        <scheme val="minor"/>
      </rPr>
      <t>.</t>
    </r>
    <r>
      <rPr>
        <b/>
        <i/>
        <sz val="20"/>
        <rFont val="Calibri"/>
        <family val="2"/>
        <scheme val="minor"/>
      </rPr>
      <t>-Gastos administrativos</t>
    </r>
  </si>
  <si>
    <r>
      <rPr>
        <b/>
        <i/>
        <sz val="20"/>
        <color theme="0"/>
        <rFont val="Calibri"/>
        <family val="2"/>
        <scheme val="minor"/>
      </rPr>
      <t>.</t>
    </r>
    <r>
      <rPr>
        <b/>
        <i/>
        <sz val="20"/>
        <rFont val="Calibri"/>
        <family val="2"/>
        <scheme val="minor"/>
      </rPr>
      <t>+Amortizaciones</t>
    </r>
  </si>
  <si>
    <r>
      <rPr>
        <b/>
        <i/>
        <sz val="20"/>
        <color theme="0"/>
        <rFont val="Calibri"/>
        <family val="2"/>
        <scheme val="minor"/>
      </rPr>
      <t>.</t>
    </r>
    <r>
      <rPr>
        <b/>
        <i/>
        <sz val="20"/>
        <rFont val="Calibri"/>
        <family val="2"/>
        <scheme val="minor"/>
      </rPr>
      <t>+Depreciaciones</t>
    </r>
  </si>
  <si>
    <t>Recargos y dominicales</t>
  </si>
  <si>
    <t>Otros</t>
  </si>
  <si>
    <t>Prestaciones sociales</t>
  </si>
  <si>
    <t>Dotaciones</t>
  </si>
  <si>
    <t>Sueldos</t>
  </si>
  <si>
    <t>x</t>
  </si>
  <si>
    <t>ACCIONISTA</t>
  </si>
  <si>
    <t>TOTAL ACCIONES</t>
  </si>
  <si>
    <t>AUTO FUSA S.A</t>
  </si>
  <si>
    <t>COITRANS S.A.</t>
  </si>
  <si>
    <t>CONAREX S.A.</t>
  </si>
  <si>
    <t>CONSTRUCTORA CRB SAS</t>
  </si>
  <si>
    <t>COOMOTOR LTDA</t>
  </si>
  <si>
    <t>COOTRANSFUSA</t>
  </si>
  <si>
    <t>COOTRANSGIGARDOT LTDA</t>
  </si>
  <si>
    <t>COOTRANSHUILA LTDA</t>
  </si>
  <si>
    <t>COOTRANSICONONZO LTDA</t>
  </si>
  <si>
    <t>COOTRANSMELGAR LTDA</t>
  </si>
  <si>
    <t>COOTRANSTEQUENDAMA LTDA</t>
  </si>
  <si>
    <t>COOTRANSTOL LTDA</t>
  </si>
  <si>
    <t>COOVERACRUZ LTDA</t>
  </si>
  <si>
    <t>CORPOTRANS</t>
  </si>
  <si>
    <t>EXPRESO BOLIVARIANO S.A</t>
  </si>
  <si>
    <t>EXPRESO GAVIOTA S.A.</t>
  </si>
  <si>
    <t>EXPRESO PALMIRA S.A.</t>
  </si>
  <si>
    <t>FLOTA AGUILA S.A</t>
  </si>
  <si>
    <t>FLOTA LA MACARENA</t>
  </si>
  <si>
    <t>FLOTA MAGDALENA S.A.</t>
  </si>
  <si>
    <t>GOBERNACION DEL TOLIMA</t>
  </si>
  <si>
    <t>IMPROSID S.A</t>
  </si>
  <si>
    <t>INVERSIONES ACOSTA NOVOA E HIJOS S EN C</t>
  </si>
  <si>
    <t xml:space="preserve">INVERSIONES COOMOTOR </t>
  </si>
  <si>
    <t>LINEAS LAS ACACIAS</t>
  </si>
  <si>
    <t>LUIS FERNANDO SANCHEZ MALAVER(F.AGUILA)</t>
  </si>
  <si>
    <t>MUNICIPIO DE MELGAR</t>
  </si>
  <si>
    <t>REY DE REYES</t>
  </si>
  <si>
    <t>SOCIEDAD CONTRERAS CAJIAO Y CIA SA</t>
  </si>
  <si>
    <t>STS S.A</t>
  </si>
  <si>
    <t xml:space="preserve">TERMINAL DE TRANS. DE ARMENIA </t>
  </si>
  <si>
    <t xml:space="preserve">TERMINAL DE TRANS. DE ESPINAL </t>
  </si>
  <si>
    <t>TERMINAL DE TRANSPORTES DE GIRARDOT S.A.</t>
  </si>
  <si>
    <t>TRANSORIENTOL SAS</t>
  </si>
  <si>
    <t xml:space="preserve">TRANSPORTE ESCOLAR Y EMPRESARIAL DURAN Y DURAN TOURS SAS </t>
  </si>
  <si>
    <t>TRANSPORTE ESCOLAR Y EMPRESARIAL ECOTURISMO LTDA</t>
  </si>
  <si>
    <t>TRANSPORTES PURIFICACIÓN S.A</t>
  </si>
  <si>
    <t>TRANSPORTES RAPIDO TOLIMA S.A</t>
  </si>
  <si>
    <t>UNITRANSMELGAR S.A</t>
  </si>
  <si>
    <t>VELOTAX</t>
  </si>
  <si>
    <t>TOTALES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</si>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</sst>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0.0%"/>
    <numFmt numFmtId="166" formatCode="&quot;$&quot;#,##0,,&quot; &quot;"/>
    <numFmt numFmtId="167" formatCode="&quot;$&quot;\ #,##0"/>
    <numFmt numFmtId="168" formatCode="_-* #,##0\ _€_-;\-* #,##0\ _€_-;_-* &quot;-&quot;??\ _€_-;_-@_-"/>
    <numFmt numFmtId="169" formatCode="0.0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9" tint="-0.499984740745262"/>
      <name val="Arial"/>
      <family val="2"/>
    </font>
    <font>
      <b/>
      <sz val="10"/>
      <color theme="9" tint="-0.499984740745262"/>
      <name val="Arial"/>
      <family val="2"/>
    </font>
    <font>
      <sz val="12"/>
      <color theme="1"/>
      <name val="Arial"/>
      <family val="2"/>
    </font>
    <font>
      <sz val="12"/>
      <color theme="9" tint="-0.499984740745262"/>
      <name val="Arial"/>
      <family val="2"/>
    </font>
    <font>
      <b/>
      <sz val="12"/>
      <color theme="9" tint="-0.499984740745262"/>
      <name val="Arial"/>
      <family val="2"/>
    </font>
    <font>
      <b/>
      <sz val="14"/>
      <color theme="1"/>
      <name val="Arial"/>
      <family val="2"/>
    </font>
    <font>
      <b/>
      <sz val="18"/>
      <color theme="9" tint="-0.499984740745262"/>
      <name val="Arial"/>
      <family val="2"/>
    </font>
    <font>
      <sz val="16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sz val="18"/>
      <color theme="2" tint="-0.499984740745262"/>
      <name val="Calibri"/>
      <family val="2"/>
      <scheme val="minor"/>
    </font>
    <font>
      <sz val="14"/>
      <name val="Arial"/>
      <family val="2"/>
    </font>
    <font>
      <sz val="14"/>
      <color theme="9" tint="-0.499984740745262"/>
      <name val="Calibri"/>
      <family val="2"/>
    </font>
    <font>
      <sz val="10"/>
      <color rgb="FF375623"/>
      <name val="Arial"/>
      <family val="2"/>
    </font>
    <font>
      <b/>
      <sz val="12"/>
      <color rgb="FFFF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sz val="10"/>
      <color rgb="FFFF0000"/>
      <name val="Arial"/>
      <family val="2"/>
    </font>
    <font>
      <sz val="14"/>
      <color theme="1"/>
      <name val="Arial"/>
      <family val="2"/>
    </font>
    <font>
      <b/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0"/>
      <color theme="9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9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9" tint="-0.499984740745262"/>
      <name val="Calibri"/>
      <family val="2"/>
      <scheme val="minor"/>
    </font>
    <font>
      <sz val="16"/>
      <color theme="9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9" tint="-0.499984740745262"/>
      <name val="Calibri"/>
      <family val="2"/>
      <scheme val="minor"/>
    </font>
    <font>
      <b/>
      <i/>
      <sz val="16"/>
      <name val="Calibri"/>
      <family val="2"/>
      <scheme val="minor"/>
    </font>
    <font>
      <b/>
      <i/>
      <sz val="20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b/>
      <sz val="18"/>
      <name val="Arial"/>
      <family val="2"/>
    </font>
    <font>
      <b/>
      <sz val="16"/>
      <name val="Calibri"/>
      <family val="2"/>
      <scheme val="minor"/>
    </font>
    <font>
      <sz val="20"/>
      <color theme="1"/>
      <name val="Arial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1">
    <border>
      <left/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theme="9" tint="-0.499984740745262"/>
      </left>
      <right/>
      <top style="medium">
        <color theme="9" tint="-0.499984740745262"/>
      </top>
      <bottom/>
      <diagonal/>
    </border>
    <border>
      <left/>
      <right/>
      <top style="medium">
        <color theme="9" tint="-0.499984740745262"/>
      </top>
      <bottom/>
      <diagonal/>
    </border>
    <border>
      <left/>
      <right style="medium">
        <color theme="9" tint="-0.499984740745262"/>
      </right>
      <top style="medium">
        <color theme="9" tint="-0.499984740745262"/>
      </top>
      <bottom/>
      <diagonal/>
    </border>
    <border>
      <left style="medium">
        <color theme="9" tint="-0.499984740745262"/>
      </left>
      <right/>
      <top/>
      <bottom/>
      <diagonal/>
    </border>
    <border>
      <left/>
      <right style="medium">
        <color theme="9" tint="-0.499984740745262"/>
      </right>
      <top/>
      <bottom/>
      <diagonal/>
    </border>
    <border>
      <left style="medium">
        <color theme="9" tint="-0.499984740745262"/>
      </left>
      <right/>
      <top/>
      <bottom style="medium">
        <color theme="9" tint="-0.499984740745262"/>
      </bottom>
      <diagonal/>
    </border>
    <border>
      <left/>
      <right/>
      <top/>
      <bottom style="medium">
        <color theme="9" tint="-0.499984740745262"/>
      </bottom>
      <diagonal/>
    </border>
    <border>
      <left/>
      <right style="medium">
        <color theme="9" tint="-0.499984740745262"/>
      </right>
      <top/>
      <bottom style="medium">
        <color theme="9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theme="9" tint="-0.249977111117893"/>
      </left>
      <right/>
      <top style="thick">
        <color theme="9" tint="-0.249977111117893"/>
      </top>
      <bottom/>
      <diagonal/>
    </border>
    <border>
      <left/>
      <right/>
      <top style="thick">
        <color theme="9" tint="-0.249977111117893"/>
      </top>
      <bottom/>
      <diagonal/>
    </border>
    <border>
      <left/>
      <right style="thick">
        <color theme="9" tint="-0.249977111117893"/>
      </right>
      <top style="thick">
        <color theme="9" tint="-0.249977111117893"/>
      </top>
      <bottom/>
      <diagonal/>
    </border>
    <border>
      <left style="thick">
        <color theme="9" tint="-0.249977111117893"/>
      </left>
      <right/>
      <top/>
      <bottom/>
      <diagonal/>
    </border>
    <border>
      <left/>
      <right style="thick">
        <color theme="9" tint="-0.249977111117893"/>
      </right>
      <top/>
      <bottom/>
      <diagonal/>
    </border>
    <border>
      <left style="thick">
        <color theme="9" tint="-0.249977111117893"/>
      </left>
      <right/>
      <top/>
      <bottom style="thick">
        <color theme="9" tint="-0.249977111117893"/>
      </bottom>
      <diagonal/>
    </border>
    <border>
      <left/>
      <right/>
      <top/>
      <bottom style="thick">
        <color theme="9" tint="-0.249977111117893"/>
      </bottom>
      <diagonal/>
    </border>
    <border>
      <left/>
      <right style="thick">
        <color theme="9" tint="-0.249977111117893"/>
      </right>
      <top/>
      <bottom style="thick">
        <color theme="9" tint="-0.24997711111789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58">
    <xf numFmtId="0" fontId="0" fillId="0" borderId="0" xfId="0"/>
    <xf numFmtId="4" fontId="0" fillId="0" borderId="0" xfId="0" applyNumberFormat="1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37" fontId="4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1" fontId="4" fillId="0" borderId="0" xfId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1" fontId="4" fillId="0" borderId="0" xfId="1" applyFont="1" applyBorder="1" applyAlignment="1">
      <alignment horizontal="left" vertical="center"/>
    </xf>
    <xf numFmtId="4" fontId="4" fillId="0" borderId="0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41" fontId="4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41" fontId="3" fillId="0" borderId="0" xfId="0" applyNumberFormat="1" applyFont="1" applyBorder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/>
    </xf>
    <xf numFmtId="3" fontId="3" fillId="4" borderId="0" xfId="0" applyNumberFormat="1" applyFont="1" applyFill="1" applyBorder="1" applyAlignment="1">
      <alignment vertical="center"/>
    </xf>
    <xf numFmtId="41" fontId="3" fillId="4" borderId="0" xfId="0" applyNumberFormat="1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165" fontId="6" fillId="0" borderId="0" xfId="2" applyNumberFormat="1" applyFont="1" applyBorder="1" applyAlignment="1">
      <alignment vertical="center"/>
    </xf>
    <xf numFmtId="165" fontId="7" fillId="4" borderId="0" xfId="2" applyNumberFormat="1" applyFont="1" applyFill="1" applyBorder="1" applyAlignment="1">
      <alignment vertical="center"/>
    </xf>
    <xf numFmtId="165" fontId="7" fillId="0" borderId="0" xfId="2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66" fontId="4" fillId="0" borderId="0" xfId="0" applyNumberFormat="1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41" fontId="4" fillId="0" borderId="13" xfId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5" borderId="0" xfId="0" applyFont="1" applyFill="1" applyAlignment="1">
      <alignment vertical="center"/>
    </xf>
    <xf numFmtId="0" fontId="6" fillId="5" borderId="0" xfId="0" applyFont="1" applyFill="1" applyAlignment="1">
      <alignment vertical="center"/>
    </xf>
    <xf numFmtId="41" fontId="4" fillId="5" borderId="0" xfId="1" applyFont="1" applyFill="1" applyAlignment="1">
      <alignment vertical="center"/>
    </xf>
    <xf numFmtId="0" fontId="8" fillId="0" borderId="8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41" fontId="8" fillId="0" borderId="8" xfId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41" fontId="4" fillId="0" borderId="0" xfId="1" applyNumberFormat="1" applyFont="1" applyBorder="1" applyAlignment="1">
      <alignment horizontal="left" vertical="center"/>
    </xf>
    <xf numFmtId="41" fontId="4" fillId="2" borderId="0" xfId="1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41" fontId="4" fillId="0" borderId="0" xfId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41" fontId="4" fillId="0" borderId="8" xfId="1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41" fontId="4" fillId="0" borderId="13" xfId="1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2" borderId="0" xfId="0" applyFill="1" applyBorder="1"/>
    <xf numFmtId="0" fontId="16" fillId="0" borderId="17" xfId="0" applyFont="1" applyBorder="1" applyAlignment="1">
      <alignment vertical="center" wrapText="1"/>
    </xf>
    <xf numFmtId="0" fontId="0" fillId="5" borderId="0" xfId="0" applyFill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13" fillId="0" borderId="0" xfId="0" applyFont="1" applyFill="1" applyBorder="1" applyAlignment="1">
      <alignment vertical="top"/>
    </xf>
    <xf numFmtId="0" fontId="0" fillId="0" borderId="0" xfId="0" applyFont="1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164" fontId="15" fillId="5" borderId="16" xfId="2" applyNumberFormat="1" applyFont="1" applyFill="1" applyBorder="1" applyAlignment="1">
      <alignment horizontal="center" vertical="center"/>
    </xf>
    <xf numFmtId="164" fontId="16" fillId="5" borderId="17" xfId="2" applyNumberFormat="1" applyFont="1" applyFill="1" applyBorder="1" applyAlignment="1">
      <alignment horizontal="center" vertical="center"/>
    </xf>
    <xf numFmtId="164" fontId="15" fillId="5" borderId="17" xfId="2" applyNumberFormat="1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6" fillId="0" borderId="20" xfId="0" applyFont="1" applyFill="1" applyBorder="1" applyAlignment="1">
      <alignment vertical="center"/>
    </xf>
    <xf numFmtId="41" fontId="4" fillId="0" borderId="20" xfId="1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6" fillId="0" borderId="25" xfId="0" applyFont="1" applyFill="1" applyBorder="1" applyAlignment="1">
      <alignment vertical="center"/>
    </xf>
    <xf numFmtId="41" fontId="4" fillId="0" borderId="25" xfId="1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0" fontId="14" fillId="3" borderId="15" xfId="0" applyFont="1" applyFill="1" applyBorder="1" applyAlignment="1">
      <alignment horizontal="center" vertical="center"/>
    </xf>
    <xf numFmtId="164" fontId="15" fillId="5" borderId="18" xfId="0" applyNumberFormat="1" applyFont="1" applyFill="1" applyBorder="1" applyAlignment="1">
      <alignment vertical="center"/>
    </xf>
    <xf numFmtId="41" fontId="4" fillId="0" borderId="0" xfId="1" applyNumberFormat="1" applyFont="1" applyFill="1" applyBorder="1" applyAlignment="1">
      <alignment horizontal="left" vertical="center"/>
    </xf>
    <xf numFmtId="42" fontId="0" fillId="0" borderId="0" xfId="3" applyFont="1"/>
    <xf numFmtId="42" fontId="0" fillId="0" borderId="0" xfId="0" applyNumberFormat="1"/>
    <xf numFmtId="42" fontId="17" fillId="0" borderId="0" xfId="3" applyFont="1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42" fontId="19" fillId="0" borderId="0" xfId="3" applyFont="1" applyAlignment="1">
      <alignment horizontal="left" vertical="center"/>
    </xf>
    <xf numFmtId="0" fontId="11" fillId="0" borderId="0" xfId="0" applyFont="1" applyFill="1" applyBorder="1" applyAlignment="1">
      <alignment horizontal="right"/>
    </xf>
    <xf numFmtId="0" fontId="5" fillId="3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3" fontId="0" fillId="0" borderId="0" xfId="0" applyNumberFormat="1"/>
    <xf numFmtId="10" fontId="0" fillId="0" borderId="0" xfId="2" applyNumberFormat="1" applyFont="1"/>
    <xf numFmtId="1" fontId="0" fillId="0" borderId="0" xfId="0" applyNumberFormat="1"/>
    <xf numFmtId="0" fontId="4" fillId="0" borderId="27" xfId="0" applyFont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41" fontId="8" fillId="0" borderId="28" xfId="1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3" fontId="4" fillId="0" borderId="33" xfId="0" applyNumberFormat="1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41" fontId="4" fillId="0" borderId="33" xfId="1" applyNumberFormat="1" applyFont="1" applyBorder="1" applyAlignment="1">
      <alignment horizontal="left" vertical="center"/>
    </xf>
    <xf numFmtId="41" fontId="4" fillId="0" borderId="33" xfId="0" applyNumberFormat="1" applyFont="1" applyBorder="1" applyAlignment="1">
      <alignment vertical="center"/>
    </xf>
    <xf numFmtId="165" fontId="6" fillId="0" borderId="33" xfId="2" applyNumberFormat="1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14" fillId="2" borderId="0" xfId="0" applyFont="1" applyFill="1" applyBorder="1" applyAlignment="1">
      <alignment horizontal="center" vertical="center"/>
    </xf>
    <xf numFmtId="164" fontId="15" fillId="2" borderId="0" xfId="0" applyNumberFormat="1" applyFont="1" applyFill="1" applyBorder="1" applyAlignment="1">
      <alignment vertical="center"/>
    </xf>
    <xf numFmtId="164" fontId="21" fillId="0" borderId="35" xfId="4" applyFont="1" applyBorder="1" applyAlignment="1">
      <alignment vertical="center"/>
    </xf>
    <xf numFmtId="164" fontId="21" fillId="0" borderId="0" xfId="4" applyFont="1" applyBorder="1" applyAlignment="1">
      <alignment vertical="center"/>
    </xf>
    <xf numFmtId="0" fontId="22" fillId="0" borderId="36" xfId="0" applyFont="1" applyBorder="1" applyAlignment="1">
      <alignment vertical="center"/>
    </xf>
    <xf numFmtId="164" fontId="21" fillId="0" borderId="36" xfId="4" applyFont="1" applyBorder="1" applyAlignment="1">
      <alignment vertical="center"/>
    </xf>
    <xf numFmtId="164" fontId="22" fillId="0" borderId="36" xfId="4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4" fontId="23" fillId="0" borderId="0" xfId="0" applyNumberFormat="1" applyFont="1" applyBorder="1"/>
    <xf numFmtId="0" fontId="21" fillId="0" borderId="35" xfId="0" applyFont="1" applyBorder="1" applyAlignment="1">
      <alignment vertical="center"/>
    </xf>
    <xf numFmtId="4" fontId="23" fillId="0" borderId="35" xfId="0" applyNumberFormat="1" applyFont="1" applyBorder="1"/>
    <xf numFmtId="0" fontId="22" fillId="0" borderId="38" xfId="0" applyFont="1" applyBorder="1" applyAlignment="1">
      <alignment vertical="center"/>
    </xf>
    <xf numFmtId="164" fontId="22" fillId="0" borderId="38" xfId="4" applyFont="1" applyBorder="1" applyAlignment="1">
      <alignment vertical="center"/>
    </xf>
    <xf numFmtId="164" fontId="22" fillId="0" borderId="35" xfId="4" applyFont="1" applyBorder="1" applyAlignment="1">
      <alignment vertical="center"/>
    </xf>
    <xf numFmtId="164" fontId="0" fillId="0" borderId="0" xfId="4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5" borderId="0" xfId="0" applyFill="1" applyAlignment="1">
      <alignment vertical="center"/>
    </xf>
    <xf numFmtId="164" fontId="0" fillId="5" borderId="0" xfId="4" applyFont="1" applyFill="1" applyAlignment="1">
      <alignment vertical="center"/>
    </xf>
    <xf numFmtId="0" fontId="4" fillId="0" borderId="8" xfId="0" applyFont="1" applyBorder="1" applyAlignment="1">
      <alignment vertical="center"/>
    </xf>
    <xf numFmtId="0" fontId="4" fillId="5" borderId="0" xfId="0" applyFont="1" applyFill="1" applyBorder="1" applyAlignment="1">
      <alignment vertical="center"/>
    </xf>
    <xf numFmtId="37" fontId="10" fillId="5" borderId="0" xfId="0" applyNumberFormat="1" applyFont="1" applyFill="1" applyBorder="1" applyAlignment="1">
      <alignment vertical="center"/>
    </xf>
    <xf numFmtId="0" fontId="10" fillId="5" borderId="0" xfId="0" applyFont="1" applyFill="1" applyBorder="1" applyAlignment="1">
      <alignment vertical="center"/>
    </xf>
    <xf numFmtId="0" fontId="20" fillId="5" borderId="0" xfId="0" applyFont="1" applyFill="1" applyBorder="1" applyAlignment="1">
      <alignment vertical="center"/>
    </xf>
    <xf numFmtId="0" fontId="20" fillId="5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vertical="center"/>
    </xf>
    <xf numFmtId="41" fontId="4" fillId="5" borderId="0" xfId="1" applyFont="1" applyFill="1" applyBorder="1" applyAlignment="1">
      <alignment vertical="center"/>
    </xf>
    <xf numFmtId="0" fontId="9" fillId="5" borderId="0" xfId="0" applyFont="1" applyFill="1" applyBorder="1" applyAlignment="1">
      <alignment vertical="center"/>
    </xf>
    <xf numFmtId="0" fontId="8" fillId="5" borderId="0" xfId="0" applyFont="1" applyFill="1" applyBorder="1" applyAlignment="1">
      <alignment vertical="center"/>
    </xf>
    <xf numFmtId="41" fontId="8" fillId="5" borderId="0" xfId="1" applyFont="1" applyFill="1" applyBorder="1" applyAlignment="1">
      <alignment vertical="center"/>
    </xf>
    <xf numFmtId="0" fontId="8" fillId="0" borderId="9" xfId="0" applyFont="1" applyBorder="1" applyAlignment="1">
      <alignment vertical="center"/>
    </xf>
    <xf numFmtId="37" fontId="10" fillId="0" borderId="11" xfId="0" applyNumberFormat="1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20" fillId="0" borderId="11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/>
    </xf>
    <xf numFmtId="4" fontId="21" fillId="0" borderId="0" xfId="0" applyNumberFormat="1" applyFont="1" applyBorder="1"/>
    <xf numFmtId="164" fontId="21" fillId="0" borderId="11" xfId="4" applyFont="1" applyBorder="1" applyAlignment="1">
      <alignment vertical="center"/>
    </xf>
    <xf numFmtId="0" fontId="22" fillId="0" borderId="0" xfId="0" applyFont="1" applyBorder="1" applyAlignment="1">
      <alignment horizontal="center"/>
    </xf>
    <xf numFmtId="164" fontId="22" fillId="0" borderId="0" xfId="4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164" fontId="11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13" xfId="0" applyFont="1" applyBorder="1" applyAlignment="1">
      <alignment vertical="center"/>
    </xf>
    <xf numFmtId="164" fontId="21" fillId="0" borderId="13" xfId="4" applyFont="1" applyBorder="1" applyAlignment="1">
      <alignment vertical="center"/>
    </xf>
    <xf numFmtId="0" fontId="21" fillId="0" borderId="14" xfId="0" applyFont="1" applyBorder="1" applyAlignment="1">
      <alignment vertical="center"/>
    </xf>
    <xf numFmtId="0" fontId="0" fillId="0" borderId="0" xfId="0" applyFill="1" applyAlignment="1">
      <alignment vertical="center"/>
    </xf>
    <xf numFmtId="164" fontId="11" fillId="5" borderId="37" xfId="0" applyNumberFormat="1" applyFont="1" applyFill="1" applyBorder="1" applyAlignment="1">
      <alignment horizontal="center" vertical="center"/>
    </xf>
    <xf numFmtId="0" fontId="11" fillId="5" borderId="37" xfId="0" applyFont="1" applyFill="1" applyBorder="1" applyAlignment="1">
      <alignment horizontal="center" vertical="center"/>
    </xf>
    <xf numFmtId="164" fontId="24" fillId="5" borderId="37" xfId="0" applyNumberFormat="1" applyFont="1" applyFill="1" applyBorder="1" applyAlignment="1">
      <alignment horizontal="center" vertical="center"/>
    </xf>
    <xf numFmtId="164" fontId="11" fillId="5" borderId="38" xfId="0" applyNumberFormat="1" applyFont="1" applyFill="1" applyBorder="1" applyAlignment="1">
      <alignment horizontal="center" vertical="center"/>
    </xf>
    <xf numFmtId="0" fontId="11" fillId="5" borderId="38" xfId="0" applyFont="1" applyFill="1" applyBorder="1" applyAlignment="1">
      <alignment horizontal="center" vertical="center"/>
    </xf>
    <xf numFmtId="164" fontId="24" fillId="5" borderId="38" xfId="0" applyNumberFormat="1" applyFont="1" applyFill="1" applyBorder="1" applyAlignment="1">
      <alignment horizontal="center" vertical="center"/>
    </xf>
    <xf numFmtId="164" fontId="11" fillId="5" borderId="37" xfId="0" applyNumberFormat="1" applyFont="1" applyFill="1" applyBorder="1" applyAlignment="1">
      <alignment horizontal="left" vertical="center"/>
    </xf>
    <xf numFmtId="10" fontId="4" fillId="0" borderId="0" xfId="2" applyNumberFormat="1" applyFont="1" applyBorder="1" applyAlignment="1">
      <alignment vertical="center"/>
    </xf>
    <xf numFmtId="3" fontId="25" fillId="0" borderId="0" xfId="0" applyNumberFormat="1" applyFont="1" applyBorder="1" applyAlignment="1">
      <alignment vertical="center"/>
    </xf>
    <xf numFmtId="165" fontId="25" fillId="0" borderId="0" xfId="2" applyNumberFormat="1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10" fontId="6" fillId="0" borderId="0" xfId="2" applyNumberFormat="1" applyFont="1" applyBorder="1" applyAlignment="1">
      <alignment vertical="center"/>
    </xf>
    <xf numFmtId="0" fontId="0" fillId="0" borderId="0" xfId="0" applyFill="1"/>
    <xf numFmtId="41" fontId="20" fillId="0" borderId="0" xfId="1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13" fillId="0" borderId="0" xfId="0" applyFont="1" applyFill="1" applyBorder="1"/>
    <xf numFmtId="3" fontId="13" fillId="0" borderId="0" xfId="0" applyNumberFormat="1" applyFont="1" applyFill="1" applyBorder="1" applyAlignment="1">
      <alignment horizontal="center"/>
    </xf>
    <xf numFmtId="3" fontId="28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vertical="center"/>
    </xf>
    <xf numFmtId="0" fontId="32" fillId="0" borderId="0" xfId="0" applyFont="1" applyFill="1" applyAlignment="1">
      <alignment vertical="center"/>
    </xf>
    <xf numFmtId="0" fontId="33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34" fillId="0" borderId="0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3" fontId="28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right" vertical="center"/>
    </xf>
    <xf numFmtId="41" fontId="4" fillId="0" borderId="0" xfId="1" applyFont="1" applyFill="1" applyAlignment="1">
      <alignment vertical="center"/>
    </xf>
    <xf numFmtId="0" fontId="0" fillId="0" borderId="0" xfId="0" applyFont="1" applyFill="1"/>
    <xf numFmtId="10" fontId="13" fillId="0" borderId="0" xfId="0" applyNumberFormat="1" applyFont="1" applyFill="1"/>
    <xf numFmtId="2" fontId="13" fillId="0" borderId="0" xfId="0" applyNumberFormat="1" applyFont="1" applyFill="1" applyBorder="1"/>
    <xf numFmtId="10" fontId="13" fillId="0" borderId="0" xfId="0" applyNumberFormat="1" applyFont="1" applyFill="1" applyBorder="1"/>
    <xf numFmtId="10" fontId="36" fillId="0" borderId="0" xfId="0" applyNumberFormat="1" applyFont="1" applyFill="1" applyBorder="1"/>
    <xf numFmtId="0" fontId="37" fillId="0" borderId="0" xfId="0" applyFont="1" applyFill="1" applyBorder="1"/>
    <xf numFmtId="0" fontId="38" fillId="0" borderId="0" xfId="0" applyFont="1" applyFill="1" applyBorder="1"/>
    <xf numFmtId="3" fontId="41" fillId="0" borderId="0" xfId="0" applyNumberFormat="1" applyFont="1" applyFill="1" applyBorder="1" applyAlignment="1">
      <alignment vertical="center"/>
    </xf>
    <xf numFmtId="165" fontId="41" fillId="0" borderId="0" xfId="2" applyNumberFormat="1" applyFont="1" applyFill="1" applyBorder="1" applyAlignment="1">
      <alignment vertical="center"/>
    </xf>
    <xf numFmtId="0" fontId="40" fillId="5" borderId="0" xfId="0" applyFont="1" applyFill="1" applyBorder="1" applyAlignment="1">
      <alignment horizontal="center"/>
    </xf>
    <xf numFmtId="2" fontId="36" fillId="0" borderId="0" xfId="0" applyNumberFormat="1" applyFont="1" applyFill="1" applyBorder="1" applyAlignment="1">
      <alignment horizontal="right"/>
    </xf>
    <xf numFmtId="10" fontId="36" fillId="0" borderId="0" xfId="0" applyNumberFormat="1" applyFont="1" applyFill="1" applyBorder="1" applyAlignment="1">
      <alignment horizontal="right"/>
    </xf>
    <xf numFmtId="167" fontId="36" fillId="0" borderId="0" xfId="0" applyNumberFormat="1" applyFont="1" applyFill="1"/>
    <xf numFmtId="0" fontId="25" fillId="0" borderId="0" xfId="0" applyFont="1" applyFill="1" applyBorder="1" applyAlignment="1">
      <alignment vertical="center"/>
    </xf>
    <xf numFmtId="41" fontId="25" fillId="0" borderId="0" xfId="1" applyFont="1" applyFill="1" applyBorder="1" applyAlignment="1">
      <alignment vertical="center"/>
    </xf>
    <xf numFmtId="0" fontId="42" fillId="0" borderId="0" xfId="0" applyFont="1" applyFill="1" applyBorder="1" applyAlignment="1">
      <alignment vertical="center"/>
    </xf>
    <xf numFmtId="9" fontId="0" fillId="0" borderId="0" xfId="2" applyFont="1"/>
    <xf numFmtId="0" fontId="45" fillId="0" borderId="44" xfId="0" applyFont="1" applyFill="1" applyBorder="1" applyAlignment="1">
      <alignment horizontal="center" vertical="center" wrapText="1"/>
    </xf>
    <xf numFmtId="0" fontId="45" fillId="0" borderId="46" xfId="0" applyFont="1" applyFill="1" applyBorder="1" applyAlignment="1">
      <alignment vertical="center" wrapText="1"/>
    </xf>
    <xf numFmtId="2" fontId="46" fillId="0" borderId="47" xfId="0" applyNumberFormat="1" applyFont="1" applyFill="1" applyBorder="1" applyAlignment="1">
      <alignment horizontal="center"/>
    </xf>
    <xf numFmtId="0" fontId="45" fillId="0" borderId="46" xfId="0" applyFont="1" applyFill="1" applyBorder="1" applyAlignment="1">
      <alignment horizontal="left" vertical="center" wrapText="1"/>
    </xf>
    <xf numFmtId="0" fontId="47" fillId="0" borderId="46" xfId="0" applyFont="1" applyFill="1" applyBorder="1" applyAlignment="1">
      <alignment vertical="center" wrapText="1"/>
    </xf>
    <xf numFmtId="0" fontId="43" fillId="0" borderId="42" xfId="0" applyFont="1" applyFill="1" applyBorder="1" applyAlignment="1">
      <alignment horizontal="center" vertical="center" wrapText="1"/>
    </xf>
    <xf numFmtId="0" fontId="43" fillId="0" borderId="43" xfId="0" applyFont="1" applyFill="1" applyBorder="1" applyAlignment="1">
      <alignment horizontal="center" vertical="center" wrapText="1"/>
    </xf>
    <xf numFmtId="0" fontId="44" fillId="0" borderId="45" xfId="0" applyFont="1" applyFill="1" applyBorder="1" applyAlignment="1">
      <alignment horizontal="center" vertical="center" wrapText="1"/>
    </xf>
    <xf numFmtId="0" fontId="46" fillId="0" borderId="46" xfId="0" applyFont="1" applyFill="1" applyBorder="1" applyAlignment="1">
      <alignment vertical="center" wrapText="1"/>
    </xf>
    <xf numFmtId="0" fontId="43" fillId="0" borderId="48" xfId="0" applyFont="1" applyFill="1" applyBorder="1" applyAlignment="1">
      <alignment horizontal="center" vertical="center" wrapText="1"/>
    </xf>
    <xf numFmtId="168" fontId="43" fillId="0" borderId="49" xfId="5" applyNumberFormat="1" applyFont="1" applyFill="1" applyBorder="1" applyAlignment="1">
      <alignment vertical="center" wrapText="1"/>
    </xf>
    <xf numFmtId="169" fontId="43" fillId="0" borderId="50" xfId="0" applyNumberFormat="1" applyFont="1" applyFill="1" applyBorder="1" applyAlignment="1">
      <alignment horizontal="center" vertical="center" wrapText="1"/>
    </xf>
    <xf numFmtId="165" fontId="4" fillId="0" borderId="11" xfId="2" applyNumberFormat="1" applyFont="1" applyBorder="1" applyAlignment="1">
      <alignment vertical="center"/>
    </xf>
    <xf numFmtId="0" fontId="27" fillId="0" borderId="0" xfId="0" applyFont="1" applyFill="1" applyBorder="1" applyAlignment="1">
      <alignment horizontal="center" vertical="center"/>
    </xf>
    <xf numFmtId="0" fontId="27" fillId="5" borderId="39" xfId="0" applyFont="1" applyFill="1" applyBorder="1" applyAlignment="1">
      <alignment horizontal="center" vertical="center"/>
    </xf>
    <xf numFmtId="0" fontId="27" fillId="5" borderId="36" xfId="0" applyFont="1" applyFill="1" applyBorder="1" applyAlignment="1">
      <alignment horizontal="center" vertical="center"/>
    </xf>
    <xf numFmtId="0" fontId="27" fillId="5" borderId="40" xfId="0" applyFont="1" applyFill="1" applyBorder="1" applyAlignment="1">
      <alignment horizontal="center" vertical="center"/>
    </xf>
    <xf numFmtId="10" fontId="36" fillId="0" borderId="41" xfId="2" applyNumberFormat="1" applyFont="1" applyFill="1" applyBorder="1" applyAlignment="1">
      <alignment horizontal="right" vertical="center"/>
    </xf>
    <xf numFmtId="10" fontId="36" fillId="0" borderId="0" xfId="2" applyNumberFormat="1" applyFont="1" applyFill="1" applyAlignment="1">
      <alignment horizontal="right" vertical="center"/>
    </xf>
    <xf numFmtId="2" fontId="36" fillId="0" borderId="41" xfId="0" applyNumberFormat="1" applyFont="1" applyFill="1" applyBorder="1" applyAlignment="1">
      <alignment horizontal="right" vertical="center"/>
    </xf>
    <xf numFmtId="2" fontId="36" fillId="0" borderId="0" xfId="0" applyNumberFormat="1" applyFont="1" applyFill="1" applyAlignment="1">
      <alignment horizontal="right" vertical="center"/>
    </xf>
    <xf numFmtId="0" fontId="27" fillId="5" borderId="39" xfId="0" applyFont="1" applyFill="1" applyBorder="1" applyAlignment="1">
      <alignment horizontal="center"/>
    </xf>
    <xf numFmtId="0" fontId="27" fillId="5" borderId="36" xfId="0" applyFont="1" applyFill="1" applyBorder="1" applyAlignment="1">
      <alignment horizontal="center"/>
    </xf>
    <xf numFmtId="0" fontId="27" fillId="5" borderId="40" xfId="0" applyFont="1" applyFill="1" applyBorder="1" applyAlignment="1">
      <alignment horizontal="center"/>
    </xf>
    <xf numFmtId="41" fontId="5" fillId="3" borderId="2" xfId="1" applyFont="1" applyFill="1" applyBorder="1" applyAlignment="1">
      <alignment horizontal="center" vertical="center" wrapText="1"/>
    </xf>
    <xf numFmtId="41" fontId="5" fillId="3" borderId="5" xfId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37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37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</cellXfs>
  <cellStyles count="6">
    <cellStyle name="Millares" xfId="5" builtinId="3"/>
    <cellStyle name="Millares [0]" xfId="1" builtinId="6"/>
    <cellStyle name="Millares 2" xfId="4"/>
    <cellStyle name="Moneda [0]" xfId="3" builtinId="7"/>
    <cellStyle name="Normal" xfId="0" builtinId="0"/>
    <cellStyle name="Porcentaje" xfId="2" builtinId="5"/>
  </cellStyles>
  <dxfs count="3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5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7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accent6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2000" b="1">
                <a:solidFill>
                  <a:schemeClr val="accent6">
                    <a:lumMod val="50000"/>
                  </a:schemeClr>
                </a:solidFill>
              </a:rPr>
              <a:t>COMPOSICIÓN</a:t>
            </a:r>
            <a:r>
              <a:rPr lang="es-CO" sz="2000" b="1" baseline="0">
                <a:solidFill>
                  <a:schemeClr val="accent6">
                    <a:lumMod val="50000"/>
                  </a:schemeClr>
                </a:solidFill>
              </a:rPr>
              <a:t> </a:t>
            </a:r>
            <a:endParaRPr lang="es-CO" sz="2000" b="1">
              <a:solidFill>
                <a:schemeClr val="accent6">
                  <a:lumMod val="50000"/>
                </a:schemeClr>
              </a:solidFill>
            </a:endParaRPr>
          </a:p>
        </c:rich>
      </c:tx>
      <c:layout>
        <c:manualLayout>
          <c:xMode val="edge"/>
          <c:yMode val="edge"/>
          <c:x val="0.39131962287500122"/>
          <c:y val="4.896698398724590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8472222222222223"/>
          <c:y val="0.32851572197277706"/>
          <c:w val="0.81388888888888888"/>
          <c:h val="0.66745953630796151"/>
        </c:manualLayout>
      </c:layout>
      <c:pie3DChart>
        <c:varyColors val="1"/>
        <c:ser>
          <c:idx val="0"/>
          <c:order val="0"/>
          <c:dPt>
            <c:idx val="0"/>
            <c:bubble3D val="0"/>
            <c:explosion val="7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EBF6-4DE1-8BF2-10DA6784200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EBF6-4DE1-8BF2-10DA6784200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EBF6-4DE1-8BF2-10DA6784200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EBF6-4DE1-8BF2-10DA6784200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EBF6-4DE1-8BF2-10DA6784200A}"/>
              </c:ext>
            </c:extLst>
          </c:dPt>
          <c:dLbls>
            <c:dLbl>
              <c:idx val="0"/>
              <c:layout>
                <c:manualLayout>
                  <c:x val="-0.19203477690288714"/>
                  <c:y val="-0.10771762904636921"/>
                </c:manualLayout>
              </c:layout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BF6-4DE1-8BF2-10DA6784200A}"/>
                </c:ext>
              </c:extLst>
            </c:dLbl>
            <c:dLbl>
              <c:idx val="1"/>
              <c:layout>
                <c:manualLayout>
                  <c:x val="-7.0930336832895874E-2"/>
                  <c:y val="-7.0538057742781301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BF6-4DE1-8BF2-10DA6784200A}"/>
                </c:ext>
              </c:extLst>
            </c:dLbl>
            <c:dLbl>
              <c:idx val="2"/>
              <c:layout>
                <c:manualLayout>
                  <c:x val="-5.1994531933508323E-2"/>
                  <c:y val="-9.6317804024496939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BF6-4DE1-8BF2-10DA6784200A}"/>
                </c:ext>
              </c:extLst>
            </c:dLbl>
            <c:dLbl>
              <c:idx val="3"/>
              <c:layout>
                <c:manualLayout>
                  <c:x val="2.8741688538932643E-2"/>
                  <c:y val="-0.1663181685622630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102777777777779"/>
                      <c:h val="0.2004167397261372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EBF6-4DE1-8BF2-10DA6784200A}"/>
                </c:ext>
              </c:extLst>
            </c:dLbl>
            <c:dLbl>
              <c:idx val="4"/>
              <c:layout>
                <c:manualLayout>
                  <c:x val="8.9835083114610623E-2"/>
                  <c:y val="-6.157042869641293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BF6-4DE1-8BF2-10DA6784200A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Graficos!$C$2:$C$6</c:f>
              <c:strCache>
                <c:ptCount val="5"/>
                <c:pt idx="0">
                  <c:v>Tasa de uso</c:v>
                </c:pt>
                <c:pt idx="1">
                  <c:v>Sellos</c:v>
                </c:pt>
                <c:pt idx="2">
                  <c:v>Servicio de Baños</c:v>
                </c:pt>
                <c:pt idx="3">
                  <c:v>Subvenciones  gubernamentales</c:v>
                </c:pt>
                <c:pt idx="4">
                  <c:v>Otros Ingresos</c:v>
                </c:pt>
              </c:strCache>
            </c:strRef>
          </c:cat>
          <c:val>
            <c:numRef>
              <c:f>Graficos!$E$2:$E$6</c:f>
              <c:numCache>
                <c:formatCode>"$"#,##0,," "</c:formatCode>
                <c:ptCount val="5"/>
                <c:pt idx="0">
                  <c:v>565074850</c:v>
                </c:pt>
                <c:pt idx="1">
                  <c:v>146814600</c:v>
                </c:pt>
                <c:pt idx="2">
                  <c:v>98829500</c:v>
                </c:pt>
                <c:pt idx="3">
                  <c:v>51181000</c:v>
                </c:pt>
                <c:pt idx="4">
                  <c:v>169114806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BF6-4DE1-8BF2-10DA678420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841036796295288E-3"/>
          <c:y val="0.12557551664983854"/>
          <c:w val="0.99111589632037045"/>
          <c:h val="0.74663952089694186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pct40">
                <a:fgClr>
                  <a:schemeClr val="accent1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BB3-4C66-998F-3412F9773E0A}"/>
              </c:ext>
            </c:extLst>
          </c:dPt>
          <c:dPt>
            <c:idx val="1"/>
            <c:invertIfNegative val="0"/>
            <c:bubble3D val="0"/>
            <c:spPr>
              <a:pattFill prst="pct40">
                <a:fgClr>
                  <a:schemeClr val="accent6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BB3-4C66-998F-3412F9773E0A}"/>
              </c:ext>
            </c:extLst>
          </c:dPt>
          <c:dLbls>
            <c:dLbl>
              <c:idx val="0"/>
              <c:layout>
                <c:manualLayout>
                  <c:x val="-6.0882800608828003E-3"/>
                  <c:y val="-9.077705156136529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BB3-4C66-998F-3412F9773E0A}"/>
                </c:ext>
              </c:extLst>
            </c:dLbl>
            <c:dLbl>
              <c:idx val="1"/>
              <c:layout>
                <c:manualLayout>
                  <c:x val="-1.1161717837168212E-16"/>
                  <c:y val="4.538852578068264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BB3-4C66-998F-3412F9773E0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Graficos!$C$40:$C$41</c:f>
              <c:strCache>
                <c:ptCount val="2"/>
                <c:pt idx="0">
                  <c:v>Ejecutado 2020</c:v>
                </c:pt>
                <c:pt idx="1">
                  <c:v>Ejecutado 2019</c:v>
                </c:pt>
              </c:strCache>
            </c:strRef>
          </c:cat>
          <c:val>
            <c:numRef>
              <c:f>Graficos!$E$40:$E$41</c:f>
              <c:numCache>
                <c:formatCode>_("$"* #,##0_);_("$"* \(#,##0\);_("$"* "-"_);_(@_)</c:formatCode>
                <c:ptCount val="2"/>
                <c:pt idx="0">
                  <c:v>1031.014756</c:v>
                </c:pt>
                <c:pt idx="1">
                  <c:v>1898.8164899999999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BB3-4C66-998F-3412F9773E0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64"/>
        <c:overlap val="-22"/>
        <c:axId val="521515328"/>
        <c:axId val="521517680"/>
      </c:barChart>
      <c:catAx>
        <c:axId val="521515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1517680"/>
        <c:crosses val="autoZero"/>
        <c:auto val="1"/>
        <c:lblAlgn val="ctr"/>
        <c:lblOffset val="100"/>
        <c:noMultiLvlLbl val="0"/>
      </c:catAx>
      <c:valAx>
        <c:axId val="521517680"/>
        <c:scaling>
          <c:orientation val="minMax"/>
        </c:scaling>
        <c:delete val="1"/>
        <c:axPos val="l"/>
        <c:numFmt formatCode="_(&quot;$&quot;* #,##0_);_(&quot;$&quot;* \(#,##0\);_(&quot;$&quot;* &quot;-&quot;_);_(@_)" sourceLinked="1"/>
        <c:majorTickMark val="none"/>
        <c:minorTickMark val="none"/>
        <c:tickLblPos val="nextTo"/>
        <c:crossAx val="521515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CO" sz="1600" b="1"/>
              <a:t>DESPACHOS</a:t>
            </a:r>
            <a:r>
              <a:rPr lang="es-CO" sz="1600" b="1" baseline="0"/>
              <a:t> DE ORIGEN</a:t>
            </a:r>
            <a:br>
              <a:rPr lang="es-CO" sz="1600" b="1" baseline="0"/>
            </a:br>
            <a:r>
              <a:rPr lang="es-CO" sz="1600" b="0" baseline="0"/>
              <a:t>Cantidad Vehículos</a:t>
            </a:r>
            <a:endParaRPr lang="es-CO" sz="1600" b="0"/>
          </a:p>
        </c:rich>
      </c:tx>
      <c:layout>
        <c:manualLayout>
          <c:xMode val="edge"/>
          <c:yMode val="edge"/>
          <c:x val="0.36261199696279423"/>
          <c:y val="3.859140754714229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[1]despachos!$C$2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2"/>
              <c:layout>
                <c:manualLayout>
                  <c:x val="-2.7932605985227458E-2"/>
                  <c:y val="-5.292796351623026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C2D-493B-BE90-0FE19A4662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[1]despachos!$B$3:$B$14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[1]despachos!$C$3:$C$14</c:f>
              <c:numCache>
                <c:formatCode>General</c:formatCode>
                <c:ptCount val="12"/>
                <c:pt idx="0">
                  <c:v>7216</c:v>
                </c:pt>
                <c:pt idx="1">
                  <c:v>6127</c:v>
                </c:pt>
                <c:pt idx="2">
                  <c:v>3787</c:v>
                </c:pt>
                <c:pt idx="3">
                  <c:v>1</c:v>
                </c:pt>
                <c:pt idx="4">
                  <c:v>14</c:v>
                </c:pt>
                <c:pt idx="5">
                  <c:v>31</c:v>
                </c:pt>
                <c:pt idx="6">
                  <c:v>168</c:v>
                </c:pt>
                <c:pt idx="7">
                  <c:v>294</c:v>
                </c:pt>
                <c:pt idx="8">
                  <c:v>2084</c:v>
                </c:pt>
                <c:pt idx="9">
                  <c:v>4040</c:v>
                </c:pt>
                <c:pt idx="10">
                  <c:v>4072</c:v>
                </c:pt>
                <c:pt idx="11">
                  <c:v>4957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2D-493B-BE90-0FE19A466221}"/>
            </c:ext>
          </c:extLst>
        </c:ser>
        <c:ser>
          <c:idx val="1"/>
          <c:order val="1"/>
          <c:tx>
            <c:strRef>
              <c:f>[1]despachos!$D$2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4.4967062044073761E-2"/>
                  <c:y val="5.126883686105387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C2D-493B-BE90-0FE19A466221}"/>
                </c:ext>
              </c:extLst>
            </c:dLbl>
            <c:dLbl>
              <c:idx val="1"/>
              <c:layout>
                <c:manualLayout>
                  <c:x val="-3.2578366728549177E-2"/>
                  <c:y val="3.9691414596911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C2D-493B-BE90-0FE19A4662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[1]despachos!$B$3:$B$14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[1]despachos!$D$3:$D$14</c:f>
              <c:numCache>
                <c:formatCode>General</c:formatCode>
                <c:ptCount val="12"/>
                <c:pt idx="0">
                  <c:v>6996</c:v>
                </c:pt>
                <c:pt idx="1">
                  <c:v>5691</c:v>
                </c:pt>
                <c:pt idx="2">
                  <c:v>6863</c:v>
                </c:pt>
                <c:pt idx="3">
                  <c:v>6586</c:v>
                </c:pt>
                <c:pt idx="4">
                  <c:v>6451</c:v>
                </c:pt>
                <c:pt idx="5">
                  <c:v>6811</c:v>
                </c:pt>
                <c:pt idx="6">
                  <c:v>7216</c:v>
                </c:pt>
                <c:pt idx="7">
                  <c:v>6821</c:v>
                </c:pt>
                <c:pt idx="8">
                  <c:v>6179</c:v>
                </c:pt>
                <c:pt idx="9">
                  <c:v>6593</c:v>
                </c:pt>
                <c:pt idx="10">
                  <c:v>6432</c:v>
                </c:pt>
                <c:pt idx="11">
                  <c:v>6999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C2D-493B-BE90-0FE19A46622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21514152"/>
        <c:axId val="521513368"/>
      </c:lineChart>
      <c:catAx>
        <c:axId val="5215141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1513368"/>
        <c:crosses val="autoZero"/>
        <c:auto val="1"/>
        <c:lblAlgn val="ctr"/>
        <c:lblOffset val="100"/>
        <c:noMultiLvlLbl val="0"/>
      </c:catAx>
      <c:valAx>
        <c:axId val="521513368"/>
        <c:scaling>
          <c:orientation val="minMax"/>
          <c:max val="10000"/>
        </c:scaling>
        <c:delete val="1"/>
        <c:axPos val="l"/>
        <c:numFmt formatCode="General" sourceLinked="1"/>
        <c:majorTickMark val="out"/>
        <c:minorTickMark val="none"/>
        <c:tickLblPos val="nextTo"/>
        <c:crossAx val="521514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CO" sz="1600" b="1" i="0" baseline="0">
                <a:effectLst/>
              </a:rPr>
              <a:t>DESPACHOS DE TRANSITO</a:t>
            </a:r>
            <a:br>
              <a:rPr lang="es-CO" sz="1600" b="1" i="0" baseline="0">
                <a:effectLst/>
              </a:rPr>
            </a:br>
            <a:r>
              <a:rPr lang="es-CO" sz="1600" b="0" i="0" baseline="0">
                <a:effectLst/>
              </a:rPr>
              <a:t>Cantidad Vehículos</a:t>
            </a:r>
            <a:endParaRPr lang="es-CO" sz="1200" b="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strRef>
              <c:f>[1]despachos!$C$22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dLbl>
              <c:idx val="1"/>
              <c:layout>
                <c:manualLayout>
                  <c:x val="-4.4879126951236359E-2"/>
                  <c:y val="8.002333041703112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D47-4FEE-B0C1-60EF0D38A86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accent4">
                        <a:lumMod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[1]despachos!$B$23:$B$34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[1]despachos!$C$23:$C$34</c:f>
              <c:numCache>
                <c:formatCode>General</c:formatCode>
                <c:ptCount val="12"/>
                <c:pt idx="0">
                  <c:v>14252</c:v>
                </c:pt>
                <c:pt idx="1">
                  <c:v>12489</c:v>
                </c:pt>
                <c:pt idx="2">
                  <c:v>7717</c:v>
                </c:pt>
                <c:pt idx="3">
                  <c:v>5</c:v>
                </c:pt>
                <c:pt idx="4">
                  <c:v>27</c:v>
                </c:pt>
                <c:pt idx="5">
                  <c:v>101</c:v>
                </c:pt>
                <c:pt idx="6">
                  <c:v>440</c:v>
                </c:pt>
                <c:pt idx="7">
                  <c:v>1178</c:v>
                </c:pt>
                <c:pt idx="8">
                  <c:v>5554</c:v>
                </c:pt>
                <c:pt idx="9">
                  <c:v>9273</c:v>
                </c:pt>
                <c:pt idx="10">
                  <c:v>9881</c:v>
                </c:pt>
                <c:pt idx="11">
                  <c:v>10506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47-4FEE-B0C1-60EF0D38A864}"/>
            </c:ext>
          </c:extLst>
        </c:ser>
        <c:ser>
          <c:idx val="4"/>
          <c:order val="1"/>
          <c:tx>
            <c:strRef>
              <c:f>[1]despachos!$D$22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50000"/>
                </a:schemeClr>
              </a:solidFill>
              <a:ln w="9525">
                <a:solidFill>
                  <a:schemeClr val="accent6">
                    <a:lumMod val="50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4.1737437365783822E-2"/>
                  <c:y val="8.002333041703120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D47-4FEE-B0C1-60EF0D38A864}"/>
                </c:ext>
              </c:extLst>
            </c:dLbl>
            <c:dLbl>
              <c:idx val="1"/>
              <c:layout>
                <c:manualLayout>
                  <c:x val="-4.3353598981945456E-2"/>
                  <c:y val="-6.349518810148735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D47-4FEE-B0C1-60EF0D38A86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accent6">
                        <a:lumMod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[1]despachos!$B$23:$B$34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[1]despachos!$D$23:$D$34</c:f>
              <c:numCache>
                <c:formatCode>General</c:formatCode>
                <c:ptCount val="12"/>
                <c:pt idx="0">
                  <c:v>15049</c:v>
                </c:pt>
                <c:pt idx="1">
                  <c:v>12631</c:v>
                </c:pt>
                <c:pt idx="2">
                  <c:v>15694</c:v>
                </c:pt>
                <c:pt idx="3">
                  <c:v>14310</c:v>
                </c:pt>
                <c:pt idx="4">
                  <c:v>15854</c:v>
                </c:pt>
                <c:pt idx="5">
                  <c:v>16689</c:v>
                </c:pt>
                <c:pt idx="6">
                  <c:v>15659</c:v>
                </c:pt>
                <c:pt idx="7">
                  <c:v>16104</c:v>
                </c:pt>
                <c:pt idx="8">
                  <c:v>14589</c:v>
                </c:pt>
                <c:pt idx="9">
                  <c:v>15054</c:v>
                </c:pt>
                <c:pt idx="10">
                  <c:v>13894</c:v>
                </c:pt>
                <c:pt idx="11">
                  <c:v>15217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D47-4FEE-B0C1-60EF0D38A86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21520816"/>
        <c:axId val="521513760"/>
      </c:lineChart>
      <c:catAx>
        <c:axId val="521520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1513760"/>
        <c:crosses val="autoZero"/>
        <c:auto val="1"/>
        <c:lblAlgn val="ctr"/>
        <c:lblOffset val="100"/>
        <c:noMultiLvlLbl val="0"/>
      </c:catAx>
      <c:valAx>
        <c:axId val="521513760"/>
        <c:scaling>
          <c:orientation val="minMax"/>
          <c:max val="20000"/>
        </c:scaling>
        <c:delete val="1"/>
        <c:axPos val="l"/>
        <c:numFmt formatCode="General" sourceLinked="1"/>
        <c:majorTickMark val="out"/>
        <c:minorTickMark val="none"/>
        <c:tickLblPos val="nextTo"/>
        <c:crossAx val="521520816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CO" sz="1600" b="1"/>
              <a:t>INGRESOS SERVICIOS DE BAÑOS 2020</a:t>
            </a:r>
            <a:br>
              <a:rPr lang="es-CO" sz="1600" b="1"/>
            </a:br>
            <a:r>
              <a:rPr lang="es-CO" sz="1600" b="0"/>
              <a:t>Cifras presentadas</a:t>
            </a:r>
            <a:r>
              <a:rPr lang="es-CO" sz="1600" b="0" baseline="0"/>
              <a:t> en pesos</a:t>
            </a:r>
            <a:endParaRPr lang="es-CO" sz="1600" b="0"/>
          </a:p>
        </c:rich>
      </c:tx>
      <c:layout>
        <c:manualLayout>
          <c:xMode val="edge"/>
          <c:yMode val="edge"/>
          <c:x val="0.36453938836631977"/>
          <c:y val="0.1064814814814814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"/>
              <c:layout>
                <c:manualLayout>
                  <c:x val="-3.3095288114490536E-2"/>
                  <c:y val="-7.63542578011081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645-4607-8454-0DB62DE6C348}"/>
                </c:ext>
              </c:extLst>
            </c:dLbl>
            <c:dLbl>
              <c:idx val="2"/>
              <c:layout>
                <c:manualLayout>
                  <c:x val="-3.4074879846282061E-2"/>
                  <c:y val="-6.7094998541848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645-4607-8454-0DB62DE6C348}"/>
                </c:ext>
              </c:extLst>
            </c:dLbl>
            <c:dLbl>
              <c:idx val="8"/>
              <c:layout>
                <c:manualLayout>
                  <c:x val="-4.1234609530154315E-2"/>
                  <c:y val="-9.87266695829688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645-4607-8454-0DB62DE6C348}"/>
                </c:ext>
              </c:extLst>
            </c:dLbl>
            <c:dLbl>
              <c:idx val="9"/>
              <c:layout>
                <c:manualLayout>
                  <c:x val="-6.1544830234858579E-2"/>
                  <c:y val="-7.55785214348206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645-4607-8454-0DB62DE6C348}"/>
                </c:ext>
              </c:extLst>
            </c:dLbl>
            <c:dLbl>
              <c:idx val="11"/>
              <c:layout>
                <c:manualLayout>
                  <c:x val="-1.1201589020428768E-3"/>
                  <c:y val="-7.55785214348206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645-4607-8454-0DB62DE6C348}"/>
                </c:ext>
              </c:extLst>
            </c:dLbl>
            <c:numFmt formatCode="&quot;$&quot;\ 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[1]baños!$A$7:$A$18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[1]baños!$B$7:$B$18</c:f>
              <c:numCache>
                <c:formatCode>General</c:formatCode>
                <c:ptCount val="12"/>
                <c:pt idx="0">
                  <c:v>25137050</c:v>
                </c:pt>
                <c:pt idx="1">
                  <c:v>16074350</c:v>
                </c:pt>
                <c:pt idx="2">
                  <c:v>8515300</c:v>
                </c:pt>
                <c:pt idx="3">
                  <c:v>0</c:v>
                </c:pt>
                <c:pt idx="4">
                  <c:v>0</c:v>
                </c:pt>
                <c:pt idx="5">
                  <c:v>6000</c:v>
                </c:pt>
                <c:pt idx="6">
                  <c:v>559000</c:v>
                </c:pt>
                <c:pt idx="7">
                  <c:v>1524900</c:v>
                </c:pt>
                <c:pt idx="8">
                  <c:v>3286950</c:v>
                </c:pt>
                <c:pt idx="9">
                  <c:v>12423350</c:v>
                </c:pt>
                <c:pt idx="10">
                  <c:v>14967350</c:v>
                </c:pt>
                <c:pt idx="11">
                  <c:v>16335250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645-4607-8454-0DB62DE6C34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21514544"/>
        <c:axId val="521518072"/>
      </c:lineChart>
      <c:catAx>
        <c:axId val="521514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1518072"/>
        <c:crosses val="autoZero"/>
        <c:auto val="1"/>
        <c:lblAlgn val="ctr"/>
        <c:lblOffset val="100"/>
        <c:noMultiLvlLbl val="0"/>
      </c:catAx>
      <c:valAx>
        <c:axId val="5215180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21514544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5350016179484414E-2"/>
          <c:y val="0.23071809651244574"/>
          <c:w val="0.91464998382051543"/>
          <c:h val="0.56702062568976264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pct40">
              <a:fgClr>
                <a:schemeClr val="accent6">
                  <a:lumMod val="60000"/>
                  <a:lumOff val="40000"/>
                </a:schemeClr>
              </a:fgClr>
              <a:bgClr>
                <a:schemeClr val="bg1"/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Pt>
            <c:idx val="0"/>
            <c:invertIfNegative val="0"/>
            <c:bubble3D val="0"/>
            <c:spPr>
              <a:pattFill prst="pct40">
                <a:fgClr>
                  <a:schemeClr val="accent5">
                    <a:lumMod val="75000"/>
                  </a:schemeClr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121-437F-B76F-4D3CFD8EC6DA}"/>
              </c:ext>
            </c:extLst>
          </c:dPt>
          <c:dPt>
            <c:idx val="1"/>
            <c:invertIfNegative val="0"/>
            <c:bubble3D val="0"/>
            <c:spPr>
              <a:pattFill prst="pct40">
                <a:fgClr>
                  <a:schemeClr val="accent6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121-437F-B76F-4D3CFD8EC6D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Graficos!$C$55:$C$56</c:f>
              <c:strCache>
                <c:ptCount val="2"/>
                <c:pt idx="0">
                  <c:v>Ejecutado 2020</c:v>
                </c:pt>
                <c:pt idx="1">
                  <c:v>Ejecutado 2019</c:v>
                </c:pt>
              </c:strCache>
            </c:strRef>
          </c:cat>
          <c:val>
            <c:numRef>
              <c:f>Graficos!$E$55:$E$56</c:f>
              <c:numCache>
                <c:formatCode>_("$"* #,##0_);_("$"* \(#,##0\);_("$"* "-"_);_(@_)</c:formatCode>
                <c:ptCount val="2"/>
                <c:pt idx="0">
                  <c:v>525.63240699999994</c:v>
                </c:pt>
                <c:pt idx="1">
                  <c:v>648.27249500000005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121-437F-B76F-4D3CFD8EC6D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64"/>
        <c:overlap val="-22"/>
        <c:axId val="521514936"/>
        <c:axId val="521520424"/>
      </c:barChart>
      <c:catAx>
        <c:axId val="521514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1520424"/>
        <c:crosses val="autoZero"/>
        <c:auto val="1"/>
        <c:lblAlgn val="ctr"/>
        <c:lblOffset val="100"/>
        <c:noMultiLvlLbl val="0"/>
      </c:catAx>
      <c:valAx>
        <c:axId val="521520424"/>
        <c:scaling>
          <c:orientation val="minMax"/>
        </c:scaling>
        <c:delete val="1"/>
        <c:axPos val="l"/>
        <c:numFmt formatCode="_(&quot;$&quot;* #,##0_);_(&quot;$&quot;* \(#,##0\);_(&quot;$&quot;* &quot;-&quot;_);_(@_)" sourceLinked="1"/>
        <c:majorTickMark val="none"/>
        <c:minorTickMark val="none"/>
        <c:tickLblPos val="nextTo"/>
        <c:crossAx val="521514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8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GASTOS DE PERSONAL AÑO 2020</a:t>
            </a:r>
            <a:br>
              <a:rPr lang="es-CO" b="1"/>
            </a:br>
            <a:r>
              <a:rPr lang="es-CO" b="0"/>
              <a:t>Cifras representadas en pesos</a:t>
            </a:r>
          </a:p>
        </c:rich>
      </c:tx>
      <c:layout>
        <c:manualLayout>
          <c:xMode val="edge"/>
          <c:yMode val="edge"/>
          <c:x val="0.33940257976917854"/>
          <c:y val="4.62962962962962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8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3"/>
              <c:layout>
                <c:manualLayout>
                  <c:x val="-4.0149828441802766E-2"/>
                  <c:y val="-0.1037099176835558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CBA-44A8-B4A2-91CC30B16FBA}"/>
                </c:ext>
              </c:extLst>
            </c:dLbl>
            <c:dLbl>
              <c:idx val="10"/>
              <c:layout>
                <c:manualLayout>
                  <c:x val="-5.5435825086082517E-2"/>
                  <c:y val="-0.113695263192905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CBA-44A8-B4A2-91CC30B16FBA}"/>
                </c:ext>
              </c:extLst>
            </c:dLbl>
            <c:numFmt formatCode="&quot;$&quot;\ 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[2]Hoja4!$D$5:$D$16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[2]Hoja4!$E$5:$E$16</c:f>
              <c:numCache>
                <c:formatCode>General</c:formatCode>
                <c:ptCount val="12"/>
                <c:pt idx="0">
                  <c:v>57328987</c:v>
                </c:pt>
                <c:pt idx="1">
                  <c:v>59539610</c:v>
                </c:pt>
                <c:pt idx="2">
                  <c:v>53138531</c:v>
                </c:pt>
                <c:pt idx="3">
                  <c:v>13178081</c:v>
                </c:pt>
                <c:pt idx="4">
                  <c:v>8152727</c:v>
                </c:pt>
                <c:pt idx="5">
                  <c:v>30942672</c:v>
                </c:pt>
                <c:pt idx="6">
                  <c:v>25300396</c:v>
                </c:pt>
                <c:pt idx="7">
                  <c:v>34885921</c:v>
                </c:pt>
                <c:pt idx="8">
                  <c:v>37561749</c:v>
                </c:pt>
                <c:pt idx="9">
                  <c:v>52759338</c:v>
                </c:pt>
                <c:pt idx="10">
                  <c:v>55385543</c:v>
                </c:pt>
                <c:pt idx="11">
                  <c:v>97458852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CBA-44A8-B4A2-91CC30B16FB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21522384"/>
        <c:axId val="521516112"/>
      </c:lineChart>
      <c:catAx>
        <c:axId val="521522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1516112"/>
        <c:crosses val="autoZero"/>
        <c:auto val="1"/>
        <c:lblAlgn val="ctr"/>
        <c:lblOffset val="100"/>
        <c:noMultiLvlLbl val="0"/>
      </c:catAx>
      <c:valAx>
        <c:axId val="52151611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21522384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>
          <a:solidFill>
            <a:sysClr val="windowText" lastClr="000000"/>
          </a:solidFill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600" b="1"/>
              <a:t>GASTOS</a:t>
            </a:r>
            <a:r>
              <a:rPr lang="en-US" sz="1600" b="1" baseline="0"/>
              <a:t> ADMINISTRATIVOS AÑO 2020</a:t>
            </a:r>
            <a:r>
              <a:rPr lang="en-US" sz="1600" baseline="0"/>
              <a:t/>
            </a:r>
            <a:br>
              <a:rPr lang="en-US" sz="1600" baseline="0"/>
            </a:br>
            <a:r>
              <a:rPr lang="en-US" sz="1600" baseline="0"/>
              <a:t>Cifras representadas en pesos</a:t>
            </a:r>
            <a:endParaRPr lang="en-US" sz="1600"/>
          </a:p>
        </c:rich>
      </c:tx>
      <c:layout>
        <c:manualLayout>
          <c:xMode val="edge"/>
          <c:yMode val="edge"/>
          <c:x val="0.37014941042818922"/>
          <c:y val="6.48148148148148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3"/>
              <c:layout>
                <c:manualLayout>
                  <c:x val="-5.303622944999898E-2"/>
                  <c:y val="-0.1222685185185186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034-4797-8CB4-5ED2AEEE2DB1}"/>
                </c:ext>
              </c:extLst>
            </c:dLbl>
            <c:dLbl>
              <c:idx val="6"/>
              <c:layout>
                <c:manualLayout>
                  <c:x val="-4.4457831209713056E-2"/>
                  <c:y val="-8.523148148148147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034-4797-8CB4-5ED2AEEE2DB1}"/>
                </c:ext>
              </c:extLst>
            </c:dLbl>
            <c:dLbl>
              <c:idx val="10"/>
              <c:layout>
                <c:manualLayout>
                  <c:x val="-4.5687845655383669E-2"/>
                  <c:y val="-7.55785214348206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F07-414E-992D-006AFAA839BF}"/>
                </c:ext>
              </c:extLst>
            </c:dLbl>
            <c:numFmt formatCode="&quot;$&quot;\ 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[3]Hoja4!$A$8:$A$19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[3]Hoja4!$B$8:$B$19</c:f>
              <c:numCache>
                <c:formatCode>General</c:formatCode>
                <c:ptCount val="12"/>
                <c:pt idx="0">
                  <c:v>60179792</c:v>
                </c:pt>
                <c:pt idx="1">
                  <c:v>66884532</c:v>
                </c:pt>
                <c:pt idx="2">
                  <c:v>71646659</c:v>
                </c:pt>
                <c:pt idx="3">
                  <c:v>45354706</c:v>
                </c:pt>
                <c:pt idx="4">
                  <c:v>50254957</c:v>
                </c:pt>
                <c:pt idx="5">
                  <c:v>49798714</c:v>
                </c:pt>
                <c:pt idx="6">
                  <c:v>31273585</c:v>
                </c:pt>
                <c:pt idx="7">
                  <c:v>51259955</c:v>
                </c:pt>
                <c:pt idx="8">
                  <c:v>57961689</c:v>
                </c:pt>
                <c:pt idx="9">
                  <c:v>53017439</c:v>
                </c:pt>
                <c:pt idx="10">
                  <c:v>66503061</c:v>
                </c:pt>
                <c:pt idx="11">
                  <c:v>84810203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034-4797-8CB4-5ED2AEEE2DB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21521208"/>
        <c:axId val="521516896"/>
      </c:lineChart>
      <c:catAx>
        <c:axId val="521521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1516896"/>
        <c:crosses val="autoZero"/>
        <c:auto val="1"/>
        <c:lblAlgn val="ctr"/>
        <c:lblOffset val="100"/>
        <c:noMultiLvlLbl val="0"/>
      </c:catAx>
      <c:valAx>
        <c:axId val="52151689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2152120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50">
          <a:solidFill>
            <a:sysClr val="windowText" lastClr="000000"/>
          </a:solidFill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CO" sz="1800" b="1"/>
              <a:t>COMPORTAMIENTO EBITDA</a:t>
            </a:r>
            <a:br>
              <a:rPr lang="es-CO" sz="1800" b="1"/>
            </a:br>
            <a:r>
              <a:rPr lang="es-CO" sz="1800" b="1"/>
              <a:t>2020 vs</a:t>
            </a:r>
            <a:r>
              <a:rPr lang="es-CO" sz="1800" b="1" baseline="0"/>
              <a:t> 2019 </a:t>
            </a:r>
            <a:endParaRPr lang="es-CO" sz="1800" b="1"/>
          </a:p>
        </c:rich>
      </c:tx>
      <c:layout>
        <c:manualLayout>
          <c:xMode val="edge"/>
          <c:yMode val="edge"/>
          <c:x val="0.22641680582402729"/>
          <c:y val="3.298658458981051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20554231762959321"/>
          <c:y val="0.12250782769882797"/>
          <c:w val="0.66644906943172222"/>
          <c:h val="0.6484458879518684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Ebitda!$C$19</c:f>
              <c:strCache>
                <c:ptCount val="1"/>
                <c:pt idx="0">
                  <c:v>EBITDA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0CC-4582-93A2-8BBA5FA73AB1}"/>
              </c:ext>
            </c:extLst>
          </c:dPt>
          <c:dLbls>
            <c:dLbl>
              <c:idx val="0"/>
              <c:layout>
                <c:manualLayout>
                  <c:x val="-0.18414037529696925"/>
                  <c:y val="8.396585168315405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600" b="1" i="0" u="none" strike="noStrike" kern="1200" baseline="0">
                      <a:solidFill>
                        <a:schemeClr val="accent1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0CC-4582-93A2-8BBA5FA73AB1}"/>
                </c:ext>
              </c:extLst>
            </c:dLbl>
            <c:dLbl>
              <c:idx val="1"/>
              <c:layout>
                <c:manualLayout>
                  <c:x val="0.16168423196807055"/>
                  <c:y val="0.2608938963012286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6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0CC-4582-93A2-8BBA5FA73AB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Ebitda!$D$8:$E$8</c:f>
              <c:numCache>
                <c:formatCode>General</c:formatCode>
                <c:ptCount val="2"/>
                <c:pt idx="0">
                  <c:v>2020</c:v>
                </c:pt>
                <c:pt idx="1">
                  <c:v>2019</c:v>
                </c:pt>
              </c:numCache>
            </c:numRef>
          </c:cat>
          <c:val>
            <c:numRef>
              <c:f>Ebitda!$D$19:$E$19</c:f>
              <c:numCache>
                <c:formatCode>#,##0</c:formatCode>
                <c:ptCount val="2"/>
                <c:pt idx="0">
                  <c:v>56203702</c:v>
                </c:pt>
                <c:pt idx="1">
                  <c:v>446878783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0CC-4582-93A2-8BBA5FA73AB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521517288"/>
        <c:axId val="521523168"/>
      </c:barChart>
      <c:lineChart>
        <c:grouping val="standard"/>
        <c:varyColors val="0"/>
        <c:ser>
          <c:idx val="1"/>
          <c:order val="1"/>
          <c:tx>
            <c:strRef>
              <c:f>Ebitda!$C$21</c:f>
              <c:strCache>
                <c:ptCount val="1"/>
                <c:pt idx="0">
                  <c:v>MARGEN EBITDA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2">
                  <a:lumMod val="75000"/>
                </a:schemeClr>
              </a:solidFill>
              <a:ln w="9525">
                <a:solidFill>
                  <a:schemeClr val="accent2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bg2">
                    <a:lumMod val="75000"/>
                  </a:schemeClr>
                </a:solidFill>
                <a:ln w="9525">
                  <a:solidFill>
                    <a:schemeClr val="accent2"/>
                  </a:solidFill>
                  <a:prstDash val="lgDash"/>
                </a:ln>
                <a:effectLst/>
              </c:spPr>
            </c:marker>
            <c:bubble3D val="0"/>
            <c:spPr>
              <a:ln w="28575" cap="rnd">
                <a:solidFill>
                  <a:schemeClr val="accent2"/>
                </a:solidFill>
                <a:prstDash val="lgDash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C0CC-4582-93A2-8BBA5FA73AB1}"/>
              </c:ext>
            </c:extLst>
          </c:dPt>
          <c:dLbls>
            <c:dLbl>
              <c:idx val="0"/>
              <c:layout>
                <c:manualLayout>
                  <c:x val="-6.287720132091637E-2"/>
                  <c:y val="2.998780417255501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5,5%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0CC-4582-93A2-8BBA5FA73AB1}"/>
                </c:ext>
              </c:extLst>
            </c:dLbl>
            <c:dLbl>
              <c:idx val="1"/>
              <c:layout>
                <c:manualLayout>
                  <c:x val="-4.4912286657796553E-3"/>
                  <c:y val="-5.997560834511017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0CC-4582-93A2-8BBA5FA73AB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Ebitda!$D$8:$E$8</c:f>
              <c:numCache>
                <c:formatCode>General</c:formatCode>
                <c:ptCount val="2"/>
                <c:pt idx="0">
                  <c:v>2020</c:v>
                </c:pt>
                <c:pt idx="1">
                  <c:v>2019</c:v>
                </c:pt>
              </c:numCache>
            </c:numRef>
          </c:cat>
          <c:val>
            <c:numRef>
              <c:f>Ebitda!$D$21:$E$21</c:f>
              <c:numCache>
                <c:formatCode>0.0%</c:formatCode>
                <c:ptCount val="2"/>
                <c:pt idx="0">
                  <c:v>5.4512994768427935E-2</c:v>
                </c:pt>
                <c:pt idx="1">
                  <c:v>0.23534595646996936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C0CC-4582-93A2-8BBA5FA73AB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21518856"/>
        <c:axId val="521511408"/>
      </c:lineChart>
      <c:catAx>
        <c:axId val="521517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1523168"/>
        <c:crosses val="autoZero"/>
        <c:auto val="1"/>
        <c:lblAlgn val="ctr"/>
        <c:lblOffset val="100"/>
        <c:noMultiLvlLbl val="0"/>
      </c:catAx>
      <c:valAx>
        <c:axId val="521523168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1517288"/>
        <c:crosses val="autoZero"/>
        <c:crossBetween val="between"/>
      </c:valAx>
      <c:valAx>
        <c:axId val="521511408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1518856"/>
        <c:crosses val="max"/>
        <c:crossBetween val="between"/>
      </c:valAx>
      <c:catAx>
        <c:axId val="5215188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15114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2930445367209226"/>
          <c:y val="0.87476195704660265"/>
          <c:w val="0.55960779903626012"/>
          <c:h val="0.12297124830728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5350016179484414E-2"/>
          <c:y val="0.23071809651244574"/>
          <c:w val="0.91464998382051543"/>
          <c:h val="0.56702062568976264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pct40">
              <a:fgClr>
                <a:schemeClr val="accent6">
                  <a:lumMod val="60000"/>
                  <a:lumOff val="40000"/>
                </a:schemeClr>
              </a:fgClr>
              <a:bgClr>
                <a:schemeClr val="bg1"/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Pt>
            <c:idx val="0"/>
            <c:invertIfNegative val="0"/>
            <c:bubble3D val="0"/>
            <c:spPr>
              <a:pattFill prst="pct40">
                <a:fgClr>
                  <a:schemeClr val="accent5">
                    <a:lumMod val="75000"/>
                  </a:schemeClr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121-437F-B76F-4D3CFD8EC6DA}"/>
              </c:ext>
            </c:extLst>
          </c:dPt>
          <c:dPt>
            <c:idx val="1"/>
            <c:invertIfNegative val="0"/>
            <c:bubble3D val="0"/>
            <c:spPr>
              <a:pattFill prst="pct40">
                <a:fgClr>
                  <a:schemeClr val="accent6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121-437F-B76F-4D3CFD8EC6D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Graficos!$C$55:$C$56</c:f>
              <c:strCache>
                <c:ptCount val="2"/>
                <c:pt idx="0">
                  <c:v>Ejecutado 2020</c:v>
                </c:pt>
                <c:pt idx="1">
                  <c:v>Ejecutado 2019</c:v>
                </c:pt>
              </c:strCache>
            </c:strRef>
          </c:cat>
          <c:val>
            <c:numRef>
              <c:f>Graficos!$E$55:$E$56</c:f>
              <c:numCache>
                <c:formatCode>_("$"* #,##0_);_("$"* \(#,##0\);_("$"* "-"_);_(@_)</c:formatCode>
                <c:ptCount val="2"/>
                <c:pt idx="0">
                  <c:v>525.63240699999994</c:v>
                </c:pt>
                <c:pt idx="1">
                  <c:v>648.27249500000005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121-437F-B76F-4D3CFD8EC6D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64"/>
        <c:overlap val="-22"/>
        <c:axId val="521512192"/>
        <c:axId val="521512584"/>
      </c:barChart>
      <c:catAx>
        <c:axId val="521512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1512584"/>
        <c:crosses val="autoZero"/>
        <c:auto val="1"/>
        <c:lblAlgn val="ctr"/>
        <c:lblOffset val="100"/>
        <c:noMultiLvlLbl val="0"/>
      </c:catAx>
      <c:valAx>
        <c:axId val="521512584"/>
        <c:scaling>
          <c:orientation val="minMax"/>
        </c:scaling>
        <c:delete val="1"/>
        <c:axPos val="l"/>
        <c:numFmt formatCode="_(&quot;$&quot;* #,##0_);_(&quot;$&quot;* \(#,##0\);_(&quot;$&quot;* &quot;-&quot;_);_(@_)" sourceLinked="1"/>
        <c:majorTickMark val="none"/>
        <c:minorTickMark val="none"/>
        <c:tickLblPos val="nextTo"/>
        <c:crossAx val="521512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accent6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2000" b="1">
                <a:solidFill>
                  <a:schemeClr val="accent6">
                    <a:lumMod val="50000"/>
                  </a:schemeClr>
                </a:solidFill>
              </a:rPr>
              <a:t>COMPOSICIÓN</a:t>
            </a:r>
            <a:r>
              <a:rPr lang="es-CO" sz="2000" b="1" baseline="0">
                <a:solidFill>
                  <a:schemeClr val="accent6">
                    <a:lumMod val="50000"/>
                  </a:schemeClr>
                </a:solidFill>
              </a:rPr>
              <a:t> </a:t>
            </a:r>
            <a:endParaRPr lang="es-CO" sz="2000" b="1">
              <a:solidFill>
                <a:schemeClr val="accent6">
                  <a:lumMod val="50000"/>
                </a:schemeClr>
              </a:solidFill>
            </a:endParaRPr>
          </a:p>
        </c:rich>
      </c:tx>
      <c:layout>
        <c:manualLayout>
          <c:xMode val="edge"/>
          <c:yMode val="edge"/>
          <c:x val="0.39131962287500122"/>
          <c:y val="4.896698398724590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8472222222222223"/>
          <c:y val="0.32851572197277706"/>
          <c:w val="0.81388888888888888"/>
          <c:h val="0.66745953630796151"/>
        </c:manualLayout>
      </c:layout>
      <c:pie3DChart>
        <c:varyColors val="1"/>
        <c:ser>
          <c:idx val="0"/>
          <c:order val="0"/>
          <c:dPt>
            <c:idx val="0"/>
            <c:bubble3D val="0"/>
            <c:explosion val="7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EBF6-4DE1-8BF2-10DA6784200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EBF6-4DE1-8BF2-10DA6784200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EBF6-4DE1-8BF2-10DA6784200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EBF6-4DE1-8BF2-10DA6784200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EBF6-4DE1-8BF2-10DA6784200A}"/>
              </c:ext>
            </c:extLst>
          </c:dPt>
          <c:dLbls>
            <c:dLbl>
              <c:idx val="0"/>
              <c:layout>
                <c:manualLayout>
                  <c:x val="-0.19203477690288714"/>
                  <c:y val="-0.1077176290463692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BF6-4DE1-8BF2-10DA6784200A}"/>
                </c:ext>
              </c:extLst>
            </c:dLbl>
            <c:dLbl>
              <c:idx val="1"/>
              <c:layout>
                <c:manualLayout>
                  <c:x val="-7.0930336832895874E-2"/>
                  <c:y val="-7.0538057742781301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BF6-4DE1-8BF2-10DA6784200A}"/>
                </c:ext>
              </c:extLst>
            </c:dLbl>
            <c:dLbl>
              <c:idx val="2"/>
              <c:layout>
                <c:manualLayout>
                  <c:x val="-5.1994531933508323E-2"/>
                  <c:y val="-9.6317804024496939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BF6-4DE1-8BF2-10DA6784200A}"/>
                </c:ext>
              </c:extLst>
            </c:dLbl>
            <c:dLbl>
              <c:idx val="3"/>
              <c:layout>
                <c:manualLayout>
                  <c:x val="2.8741688538932643E-2"/>
                  <c:y val="-0.1663181685622630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102777777777779"/>
                      <c:h val="0.2004167397261372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EBF6-4DE1-8BF2-10DA6784200A}"/>
                </c:ext>
              </c:extLst>
            </c:dLbl>
            <c:dLbl>
              <c:idx val="4"/>
              <c:layout>
                <c:manualLayout>
                  <c:x val="8.9835083114610623E-2"/>
                  <c:y val="-6.157042869641293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BF6-4DE1-8BF2-10DA6784200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Graficos!$C$2:$C$6</c:f>
              <c:strCache>
                <c:ptCount val="5"/>
                <c:pt idx="0">
                  <c:v>Tasa de uso</c:v>
                </c:pt>
                <c:pt idx="1">
                  <c:v>Sellos</c:v>
                </c:pt>
                <c:pt idx="2">
                  <c:v>Servicio de Baños</c:v>
                </c:pt>
                <c:pt idx="3">
                  <c:v>Subvenciones  gubernamentales</c:v>
                </c:pt>
                <c:pt idx="4">
                  <c:v>Otros Ingresos</c:v>
                </c:pt>
              </c:strCache>
            </c:strRef>
          </c:cat>
          <c:val>
            <c:numRef>
              <c:f>Graficos!$E$2:$E$6</c:f>
              <c:numCache>
                <c:formatCode>"$"#,##0,," "</c:formatCode>
                <c:ptCount val="5"/>
                <c:pt idx="0">
                  <c:v>565074850</c:v>
                </c:pt>
                <c:pt idx="1">
                  <c:v>146814600</c:v>
                </c:pt>
                <c:pt idx="2">
                  <c:v>98829500</c:v>
                </c:pt>
                <c:pt idx="3">
                  <c:v>51181000</c:v>
                </c:pt>
                <c:pt idx="4">
                  <c:v>169114806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BF6-4DE1-8BF2-10DA678420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841036796295288E-3"/>
          <c:y val="0.12557551664983854"/>
          <c:w val="0.99111589632037045"/>
          <c:h val="0.74663952089694186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pct40">
                <a:fgClr>
                  <a:schemeClr val="accent1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BB3-4C66-998F-3412F9773E0A}"/>
              </c:ext>
            </c:extLst>
          </c:dPt>
          <c:dPt>
            <c:idx val="1"/>
            <c:invertIfNegative val="0"/>
            <c:bubble3D val="0"/>
            <c:spPr>
              <a:pattFill prst="pct40">
                <a:fgClr>
                  <a:schemeClr val="accent6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BB3-4C66-998F-3412F9773E0A}"/>
              </c:ext>
            </c:extLst>
          </c:dPt>
          <c:dLbls>
            <c:dLbl>
              <c:idx val="0"/>
              <c:layout>
                <c:manualLayout>
                  <c:x val="-6.0882800608828003E-3"/>
                  <c:y val="-9.077705156136529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BB3-4C66-998F-3412F9773E0A}"/>
                </c:ext>
              </c:extLst>
            </c:dLbl>
            <c:dLbl>
              <c:idx val="1"/>
              <c:layout>
                <c:manualLayout>
                  <c:x val="-1.1161717837168212E-16"/>
                  <c:y val="4.538852578068264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BB3-4C66-998F-3412F9773E0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Graficos!$C$40:$C$41</c:f>
              <c:strCache>
                <c:ptCount val="2"/>
                <c:pt idx="0">
                  <c:v>Ejecutado 2020</c:v>
                </c:pt>
                <c:pt idx="1">
                  <c:v>Ejecutado 2019</c:v>
                </c:pt>
              </c:strCache>
            </c:strRef>
          </c:cat>
          <c:val>
            <c:numRef>
              <c:f>Graficos!$E$40:$E$41</c:f>
              <c:numCache>
                <c:formatCode>_("$"* #,##0_);_("$"* \(#,##0\);_("$"* "-"_);_(@_)</c:formatCode>
                <c:ptCount val="2"/>
                <c:pt idx="0">
                  <c:v>1031.014756</c:v>
                </c:pt>
                <c:pt idx="1">
                  <c:v>1898.8164899999999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BB3-4C66-998F-3412F9773E0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64"/>
        <c:overlap val="-22"/>
        <c:axId val="521524736"/>
        <c:axId val="521525520"/>
      </c:barChart>
      <c:catAx>
        <c:axId val="521524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1525520"/>
        <c:crosses val="autoZero"/>
        <c:auto val="1"/>
        <c:lblAlgn val="ctr"/>
        <c:lblOffset val="100"/>
        <c:noMultiLvlLbl val="0"/>
      </c:catAx>
      <c:valAx>
        <c:axId val="521525520"/>
        <c:scaling>
          <c:orientation val="minMax"/>
        </c:scaling>
        <c:delete val="1"/>
        <c:axPos val="l"/>
        <c:numFmt formatCode="_(&quot;$&quot;* #,##0_);_(&quot;$&quot;* \(#,##0\);_(&quot;$&quot;* &quot;-&quot;_);_(@_)" sourceLinked="1"/>
        <c:majorTickMark val="none"/>
        <c:minorTickMark val="none"/>
        <c:tickLblPos val="nextTo"/>
        <c:crossAx val="521524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accent6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>
                <a:solidFill>
                  <a:schemeClr val="accent6">
                    <a:lumMod val="50000"/>
                  </a:schemeClr>
                </a:solidFill>
              </a:rPr>
              <a:t>Composición</a:t>
            </a:r>
            <a:r>
              <a:rPr lang="es-CO" b="1" baseline="0">
                <a:solidFill>
                  <a:schemeClr val="accent6">
                    <a:lumMod val="50000"/>
                  </a:schemeClr>
                </a:solidFill>
              </a:rPr>
              <a:t> Ingresos</a:t>
            </a:r>
            <a:endParaRPr lang="es-CO" b="1">
              <a:solidFill>
                <a:schemeClr val="accent6">
                  <a:lumMod val="50000"/>
                </a:schemeClr>
              </a:solidFill>
            </a:endParaRPr>
          </a:p>
        </c:rich>
      </c:tx>
      <c:layout>
        <c:manualLayout>
          <c:xMode val="edge"/>
          <c:yMode val="edge"/>
          <c:x val="0.643013779527559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5416666666666667"/>
          <c:y val="0.21740449110527851"/>
          <c:w val="0.81388888888888888"/>
          <c:h val="0.66745953630796151"/>
        </c:manualLayout>
      </c:layout>
      <c:pie3DChart>
        <c:varyColors val="1"/>
        <c:ser>
          <c:idx val="0"/>
          <c:order val="0"/>
          <c:dPt>
            <c:idx val="0"/>
            <c:bubble3D val="0"/>
            <c:explosion val="7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23E7-45D0-8E12-8D4C01F4F63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23E7-45D0-8E12-8D4C01F4F63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23E7-45D0-8E12-8D4C01F4F63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23E7-45D0-8E12-8D4C01F4F63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23E7-45D0-8E12-8D4C01F4F637}"/>
              </c:ext>
            </c:extLst>
          </c:dPt>
          <c:dLbls>
            <c:dLbl>
              <c:idx val="0"/>
              <c:layout>
                <c:manualLayout>
                  <c:x val="-0.19203477690288714"/>
                  <c:y val="-0.1077176290463692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3E7-45D0-8E12-8D4C01F4F637}"/>
                </c:ext>
              </c:extLst>
            </c:dLbl>
            <c:dLbl>
              <c:idx val="1"/>
              <c:layout>
                <c:manualLayout>
                  <c:x val="-7.0930336832895874E-2"/>
                  <c:y val="-7.0538057742781301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3E7-45D0-8E12-8D4C01F4F637}"/>
                </c:ext>
              </c:extLst>
            </c:dLbl>
            <c:dLbl>
              <c:idx val="2"/>
              <c:layout>
                <c:manualLayout>
                  <c:x val="-5.1994531933508323E-2"/>
                  <c:y val="-9.6317804024496939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3E7-45D0-8E12-8D4C01F4F637}"/>
                </c:ext>
              </c:extLst>
            </c:dLbl>
            <c:dLbl>
              <c:idx val="3"/>
              <c:layout>
                <c:manualLayout>
                  <c:x val="-3.2027559055118112E-3"/>
                  <c:y val="-0.1663181685622630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3E7-45D0-8E12-8D4C01F4F637}"/>
                </c:ext>
              </c:extLst>
            </c:dLbl>
            <c:dLbl>
              <c:idx val="4"/>
              <c:layout>
                <c:manualLayout>
                  <c:x val="8.9835083114610623E-2"/>
                  <c:y val="-6.157042869641293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3E7-45D0-8E12-8D4C01F4F63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Graficos!$C$2:$C$6</c:f>
              <c:strCache>
                <c:ptCount val="5"/>
                <c:pt idx="0">
                  <c:v>Tasa de uso</c:v>
                </c:pt>
                <c:pt idx="1">
                  <c:v>Sellos</c:v>
                </c:pt>
                <c:pt idx="2">
                  <c:v>Servicio de Baños</c:v>
                </c:pt>
                <c:pt idx="3">
                  <c:v>Subvenciones  gubernamentales</c:v>
                </c:pt>
                <c:pt idx="4">
                  <c:v>Otros Ingresos</c:v>
                </c:pt>
              </c:strCache>
            </c:strRef>
          </c:cat>
          <c:val>
            <c:numRef>
              <c:f>Graficos!$E$2:$E$6</c:f>
              <c:numCache>
                <c:formatCode>"$"#,##0,," "</c:formatCode>
                <c:ptCount val="5"/>
                <c:pt idx="0">
                  <c:v>565074850</c:v>
                </c:pt>
                <c:pt idx="1">
                  <c:v>146814600</c:v>
                </c:pt>
                <c:pt idx="2">
                  <c:v>98829500</c:v>
                </c:pt>
                <c:pt idx="3">
                  <c:v>51181000</c:v>
                </c:pt>
                <c:pt idx="4">
                  <c:v>169114806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E7-45D0-8E12-8D4C01F4F6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27584361329833773"/>
          <c:y val="0.17171296296296298"/>
          <c:w val="0.68648972003499564"/>
          <c:h val="0.7208876494604841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Graficos!$F$22</c:f>
              <c:strCache>
                <c:ptCount val="1"/>
                <c:pt idx="0">
                  <c:v>No. Funcionarios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Graficos!$C$23:$C$27</c:f>
              <c:strCache>
                <c:ptCount val="5"/>
                <c:pt idx="0">
                  <c:v>Servicios generales</c:v>
                </c:pt>
                <c:pt idx="1">
                  <c:v>Tasa de uso</c:v>
                </c:pt>
                <c:pt idx="2">
                  <c:v>Alcoholimetría</c:v>
                </c:pt>
                <c:pt idx="3">
                  <c:v>Administrativos</c:v>
                </c:pt>
                <c:pt idx="4">
                  <c:v>Operativos</c:v>
                </c:pt>
              </c:strCache>
            </c:strRef>
          </c:cat>
          <c:val>
            <c:numRef>
              <c:f>Graficos!$F$23:$F$27</c:f>
              <c:numCache>
                <c:formatCode>0%</c:formatCode>
                <c:ptCount val="5"/>
                <c:pt idx="0">
                  <c:v>2.1739130434782608E-2</c:v>
                </c:pt>
                <c:pt idx="1">
                  <c:v>6.5217391304347824E-2</c:v>
                </c:pt>
                <c:pt idx="2">
                  <c:v>0.13043478260869565</c:v>
                </c:pt>
                <c:pt idx="3">
                  <c:v>0.17391304347826086</c:v>
                </c:pt>
                <c:pt idx="4">
                  <c:v>0.60869565217391308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87-460E-9676-14420EFCB0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21525912"/>
        <c:axId val="521525128"/>
      </c:barChart>
      <c:catAx>
        <c:axId val="5215259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1525128"/>
        <c:crosses val="autoZero"/>
        <c:auto val="1"/>
        <c:lblAlgn val="ctr"/>
        <c:lblOffset val="100"/>
        <c:noMultiLvlLbl val="0"/>
      </c:catAx>
      <c:valAx>
        <c:axId val="521525128"/>
        <c:scaling>
          <c:orientation val="minMax"/>
        </c:scaling>
        <c:delete val="1"/>
        <c:axPos val="b"/>
        <c:numFmt formatCode="0%" sourceLinked="1"/>
        <c:majorTickMark val="none"/>
        <c:minorTickMark val="none"/>
        <c:tickLblPos val="nextTo"/>
        <c:crossAx val="521525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5350016179484414E-2"/>
          <c:y val="0.23071809651244574"/>
          <c:w val="0.91464998382051543"/>
          <c:h val="0.56702062568976264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pct40">
                <a:fgClr>
                  <a:schemeClr val="accent1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174-420B-BDE8-226774B818EF}"/>
              </c:ext>
            </c:extLst>
          </c:dPt>
          <c:dPt>
            <c:idx val="1"/>
            <c:invertIfNegative val="0"/>
            <c:bubble3D val="0"/>
            <c:spPr>
              <a:pattFill prst="pct40">
                <a:fgClr>
                  <a:schemeClr val="accent6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D174-420B-BDE8-226774B818EF}"/>
              </c:ext>
            </c:extLst>
          </c:dPt>
          <c:dLbls>
            <c:dLbl>
              <c:idx val="0"/>
              <c:layout>
                <c:manualLayout>
                  <c:x val="-6.0882800608828003E-3"/>
                  <c:y val="-9.077705156136529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174-420B-BDE8-226774B818EF}"/>
                </c:ext>
              </c:extLst>
            </c:dLbl>
            <c:dLbl>
              <c:idx val="1"/>
              <c:layout>
                <c:manualLayout>
                  <c:x val="-1.1161717837168212E-16"/>
                  <c:y val="4.538852578068264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174-420B-BDE8-226774B818E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Graficos!$C$40:$C$41</c:f>
              <c:strCache>
                <c:ptCount val="2"/>
                <c:pt idx="0">
                  <c:v>Ejecutado 2020</c:v>
                </c:pt>
                <c:pt idx="1">
                  <c:v>Ejecutado 2019</c:v>
                </c:pt>
              </c:strCache>
            </c:strRef>
          </c:cat>
          <c:val>
            <c:numRef>
              <c:f>Graficos!$E$40:$E$41</c:f>
              <c:numCache>
                <c:formatCode>_("$"* #,##0_);_("$"* \(#,##0\);_("$"* "-"_);_(@_)</c:formatCode>
                <c:ptCount val="2"/>
                <c:pt idx="0">
                  <c:v>1031.014756</c:v>
                </c:pt>
                <c:pt idx="1">
                  <c:v>1898.8164899999999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74-420B-BDE8-226774B818E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64"/>
        <c:overlap val="-22"/>
        <c:axId val="521523560"/>
        <c:axId val="521523952"/>
      </c:barChart>
      <c:catAx>
        <c:axId val="521523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1523952"/>
        <c:crosses val="autoZero"/>
        <c:auto val="1"/>
        <c:lblAlgn val="ctr"/>
        <c:lblOffset val="100"/>
        <c:noMultiLvlLbl val="0"/>
      </c:catAx>
      <c:valAx>
        <c:axId val="521523952"/>
        <c:scaling>
          <c:orientation val="minMax"/>
        </c:scaling>
        <c:delete val="1"/>
        <c:axPos val="l"/>
        <c:numFmt formatCode="_(&quot;$&quot;* #,##0_);_(&quot;$&quot;* \(#,##0\);_(&quot;$&quot;* &quot;-&quot;_);_(@_)" sourceLinked="1"/>
        <c:majorTickMark val="none"/>
        <c:minorTickMark val="none"/>
        <c:tickLblPos val="nextTo"/>
        <c:crossAx val="521523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5350016179484414E-2"/>
          <c:y val="0.23071809651244574"/>
          <c:w val="0.91464998382051543"/>
          <c:h val="0.56702062568976264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pct40">
              <a:fgClr>
                <a:schemeClr val="accent6">
                  <a:lumMod val="60000"/>
                  <a:lumOff val="40000"/>
                </a:schemeClr>
              </a:fgClr>
              <a:bgClr>
                <a:schemeClr val="bg1"/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Pt>
            <c:idx val="0"/>
            <c:invertIfNegative val="0"/>
            <c:bubble3D val="0"/>
            <c:spPr>
              <a:pattFill prst="pct40">
                <a:fgClr>
                  <a:schemeClr val="accent5">
                    <a:lumMod val="75000"/>
                  </a:schemeClr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308-49D4-84AC-10D87838D925}"/>
              </c:ext>
            </c:extLst>
          </c:dPt>
          <c:dPt>
            <c:idx val="1"/>
            <c:invertIfNegative val="0"/>
            <c:bubble3D val="0"/>
            <c:spPr>
              <a:pattFill prst="pct40">
                <a:fgClr>
                  <a:schemeClr val="accent6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308-49D4-84AC-10D87838D92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Graficos!$C$55:$C$56</c:f>
              <c:strCache>
                <c:ptCount val="2"/>
                <c:pt idx="0">
                  <c:v>Ejecutado 2020</c:v>
                </c:pt>
                <c:pt idx="1">
                  <c:v>Ejecutado 2019</c:v>
                </c:pt>
              </c:strCache>
            </c:strRef>
          </c:cat>
          <c:val>
            <c:numRef>
              <c:f>Graficos!$E$55:$E$56</c:f>
              <c:numCache>
                <c:formatCode>_("$"* #,##0_);_("$"* \(#,##0\);_("$"* "-"_);_(@_)</c:formatCode>
                <c:ptCount val="2"/>
                <c:pt idx="0">
                  <c:v>525.63240699999994</c:v>
                </c:pt>
                <c:pt idx="1">
                  <c:v>648.27249500000005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308-49D4-84AC-10D87838D92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64"/>
        <c:overlap val="-22"/>
        <c:axId val="655571168"/>
        <c:axId val="655571560"/>
      </c:barChart>
      <c:catAx>
        <c:axId val="655571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655571560"/>
        <c:crosses val="autoZero"/>
        <c:auto val="1"/>
        <c:lblAlgn val="ctr"/>
        <c:lblOffset val="100"/>
        <c:noMultiLvlLbl val="0"/>
      </c:catAx>
      <c:valAx>
        <c:axId val="655571560"/>
        <c:scaling>
          <c:orientation val="minMax"/>
        </c:scaling>
        <c:delete val="1"/>
        <c:axPos val="l"/>
        <c:numFmt formatCode="_(&quot;$&quot;* #,##0_);_(&quot;$&quot;* \(#,##0\);_(&quot;$&quot;* &quot;-&quot;_);_(@_)" sourceLinked="1"/>
        <c:majorTickMark val="none"/>
        <c:minorTickMark val="none"/>
        <c:tickLblPos val="nextTo"/>
        <c:crossAx val="655571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userShapes r:id="rId3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COMPOSICIÓN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115589045992907"/>
          <c:y val="0.3255125992133866"/>
          <c:w val="0.81388888888888888"/>
          <c:h val="0.6674595363079615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23E7-45D0-8E12-8D4C01F4F63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23E7-45D0-8E12-8D4C01F4F63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23E7-45D0-8E12-8D4C01F4F63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23E7-45D0-8E12-8D4C01F4F63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23E7-45D0-8E12-8D4C01F4F637}"/>
              </c:ext>
            </c:extLst>
          </c:dPt>
          <c:dLbls>
            <c:dLbl>
              <c:idx val="0"/>
              <c:layout>
                <c:manualLayout>
                  <c:x val="-0.18399044205495818"/>
                  <c:y val="-0.11858756394189465"/>
                </c:manualLayout>
              </c:layout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985663082437277"/>
                      <c:h val="0.1741741741741741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23E7-45D0-8E12-8D4C01F4F637}"/>
                </c:ext>
              </c:extLst>
            </c:dLbl>
            <c:dLbl>
              <c:idx val="1"/>
              <c:layout>
                <c:manualLayout>
                  <c:x val="0.23178016726403824"/>
                  <c:y val="-0.12731503156700008"/>
                </c:manualLayout>
              </c:layout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702508960573479"/>
                      <c:h val="0.2282282282282282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23E7-45D0-8E12-8D4C01F4F637}"/>
                </c:ext>
              </c:extLst>
            </c:dLbl>
            <c:dLbl>
              <c:idx val="2"/>
              <c:layout>
                <c:manualLayout>
                  <c:x val="-0.1003584229390681"/>
                  <c:y val="8.375682769383555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915173237753883"/>
                      <c:h val="0.1741741741741741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23E7-45D0-8E12-8D4C01F4F637}"/>
                </c:ext>
              </c:extLst>
            </c:dLbl>
            <c:dLbl>
              <c:idx val="3"/>
              <c:layout>
                <c:manualLayout>
                  <c:x val="-7.1684587813620072E-3"/>
                  <c:y val="-2.4990659951289872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058542413381122"/>
                      <c:h val="0.1711711711711711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23E7-45D0-8E12-8D4C01F4F637}"/>
                </c:ext>
              </c:extLst>
            </c:dLbl>
            <c:dLbl>
              <c:idx val="4"/>
              <c:layout>
                <c:manualLayout>
                  <c:x val="0.16965352449223417"/>
                  <c:y val="-4.3008677969307893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268817204301075"/>
                      <c:h val="0.1171171171171171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23E7-45D0-8E12-8D4C01F4F637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Graficos!$H$93:$H$97</c:f>
              <c:strCache>
                <c:ptCount val="5"/>
                <c:pt idx="0">
                  <c:v>Sueldos</c:v>
                </c:pt>
                <c:pt idx="1">
                  <c:v>Prestaciones sociales</c:v>
                </c:pt>
                <c:pt idx="2">
                  <c:v>Recargos y dominicales</c:v>
                </c:pt>
                <c:pt idx="3">
                  <c:v>Dotaciones</c:v>
                </c:pt>
                <c:pt idx="4">
                  <c:v>Otros</c:v>
                </c:pt>
              </c:strCache>
            </c:strRef>
          </c:cat>
          <c:val>
            <c:numRef>
              <c:f>Graficos!$I$93:$I$97</c:f>
              <c:numCache>
                <c:formatCode>#,##0</c:formatCode>
                <c:ptCount val="5"/>
                <c:pt idx="0">
                  <c:v>299879542</c:v>
                </c:pt>
                <c:pt idx="1">
                  <c:v>170773636</c:v>
                </c:pt>
                <c:pt idx="2">
                  <c:v>38140854</c:v>
                </c:pt>
                <c:pt idx="3">
                  <c:v>12959025</c:v>
                </c:pt>
                <c:pt idx="4">
                  <c:v>3879350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E7-45D0-8E12-8D4C01F4F637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ysClr val="windowText" lastClr="000000"/>
          </a:solidFill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5350016179484414E-2"/>
          <c:y val="0.23071809651244574"/>
          <c:w val="0.91464998382051543"/>
          <c:h val="0.5670206256897626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Graficos!$C$110:$C$111</c:f>
              <c:strCache>
                <c:ptCount val="2"/>
                <c:pt idx="0">
                  <c:v>Ejecutado 2020</c:v>
                </c:pt>
                <c:pt idx="1">
                  <c:v>Ejecutado 2019</c:v>
                </c:pt>
              </c:strCache>
            </c:strRef>
          </c:tx>
          <c:spPr>
            <a:pattFill prst="pct40">
              <a:fgClr>
                <a:schemeClr val="accent1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pattFill prst="pct40">
                <a:fgClr>
                  <a:schemeClr val="accent6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308-49D4-84AC-10D87838D925}"/>
              </c:ext>
            </c:extLst>
          </c:dPt>
          <c:dLbls>
            <c:numFmt formatCode="&quot;$&quot;\ 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Graficos!$C$55:$C$56</c:f>
              <c:strCache>
                <c:ptCount val="2"/>
                <c:pt idx="0">
                  <c:v>Ejecutado 2020</c:v>
                </c:pt>
                <c:pt idx="1">
                  <c:v>Ejecutado 2019</c:v>
                </c:pt>
              </c:strCache>
            </c:strRef>
          </c:cat>
          <c:val>
            <c:numRef>
              <c:f>Graficos!$E$110:$E$111</c:f>
              <c:numCache>
                <c:formatCode>_("$"* #,##0_);_("$"* \(#,##0\);_("$"* "-"_);_(@_)</c:formatCode>
                <c:ptCount val="2"/>
                <c:pt idx="0">
                  <c:v>688.94529199999999</c:v>
                </c:pt>
                <c:pt idx="1">
                  <c:v>803.13617399999998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308-49D4-84AC-10D87838D92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64"/>
        <c:overlap val="-22"/>
        <c:axId val="655572736"/>
        <c:axId val="655573128"/>
      </c:barChart>
      <c:catAx>
        <c:axId val="655572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655573128"/>
        <c:crosses val="autoZero"/>
        <c:auto val="1"/>
        <c:lblAlgn val="ctr"/>
        <c:lblOffset val="100"/>
        <c:noMultiLvlLbl val="0"/>
      </c:catAx>
      <c:valAx>
        <c:axId val="655573128"/>
        <c:scaling>
          <c:orientation val="minMax"/>
        </c:scaling>
        <c:delete val="1"/>
        <c:axPos val="l"/>
        <c:numFmt formatCode="_(&quot;$&quot;* #,##0_);_(&quot;$&quot;* \(#,##0\);_(&quot;$&quot;* &quot;-&quot;_);_(@_)" sourceLinked="1"/>
        <c:majorTickMark val="none"/>
        <c:minorTickMark val="none"/>
        <c:tickLblPos val="nextTo"/>
        <c:crossAx val="655572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crdownload"/><Relationship Id="rId1" Type="http://schemas.openxmlformats.org/officeDocument/2006/relationships/image" Target="../media/image1.png"/><Relationship Id="rId5" Type="http://schemas.openxmlformats.org/officeDocument/2006/relationships/hyperlink" Target="#'Cuadro de mando'!A1"/><Relationship Id="rId4" Type="http://schemas.openxmlformats.org/officeDocument/2006/relationships/hyperlink" Target="#'Cuadro de mando'!A39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.xml"/><Relationship Id="rId3" Type="http://schemas.openxmlformats.org/officeDocument/2006/relationships/chart" Target="../charts/chart2.xml"/><Relationship Id="rId7" Type="http://schemas.openxmlformats.org/officeDocument/2006/relationships/chart" Target="../charts/chart4.xml"/><Relationship Id="rId2" Type="http://schemas.openxmlformats.org/officeDocument/2006/relationships/image" Target="../media/image4.jpg"/><Relationship Id="rId1" Type="http://schemas.openxmlformats.org/officeDocument/2006/relationships/chart" Target="../charts/chart1.xml"/><Relationship Id="rId6" Type="http://schemas.openxmlformats.org/officeDocument/2006/relationships/chart" Target="../charts/chart3.xml"/><Relationship Id="rId11" Type="http://schemas.openxmlformats.org/officeDocument/2006/relationships/hyperlink" Target="#Ingresos!A1"/><Relationship Id="rId5" Type="http://schemas.openxmlformats.org/officeDocument/2006/relationships/hyperlink" Target="#Ingresos!A99"/><Relationship Id="rId10" Type="http://schemas.openxmlformats.org/officeDocument/2006/relationships/hyperlink" Target="#Ingresos!A148"/><Relationship Id="rId4" Type="http://schemas.openxmlformats.org/officeDocument/2006/relationships/image" Target="../media/image5.png"/><Relationship Id="rId9" Type="http://schemas.openxmlformats.org/officeDocument/2006/relationships/hyperlink" Target="#Ingresos!A55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image" Target="../media/image5.png"/><Relationship Id="rId7" Type="http://schemas.openxmlformats.org/officeDocument/2006/relationships/image" Target="../media/image7.png"/><Relationship Id="rId2" Type="http://schemas.openxmlformats.org/officeDocument/2006/relationships/image" Target="../media/image4.jpg"/><Relationship Id="rId1" Type="http://schemas.openxmlformats.org/officeDocument/2006/relationships/chart" Target="../charts/chart6.xml"/><Relationship Id="rId6" Type="http://schemas.openxmlformats.org/officeDocument/2006/relationships/image" Target="../media/image6.png"/><Relationship Id="rId5" Type="http://schemas.openxmlformats.org/officeDocument/2006/relationships/hyperlink" Target="#'Gastos de personal'!A150"/><Relationship Id="rId4" Type="http://schemas.openxmlformats.org/officeDocument/2006/relationships/hyperlink" Target="#'Gastos de personal'!A1"/><Relationship Id="rId9" Type="http://schemas.openxmlformats.org/officeDocument/2006/relationships/hyperlink" Target="#'Gastos de personal'!A105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Gastos administrativos'!A1"/><Relationship Id="rId3" Type="http://schemas.openxmlformats.org/officeDocument/2006/relationships/image" Target="../media/image8.png"/><Relationship Id="rId7" Type="http://schemas.openxmlformats.org/officeDocument/2006/relationships/chart" Target="../charts/chart8.xml"/><Relationship Id="rId2" Type="http://schemas.openxmlformats.org/officeDocument/2006/relationships/image" Target="../media/image5.png"/><Relationship Id="rId1" Type="http://schemas.openxmlformats.org/officeDocument/2006/relationships/image" Target="../media/image4.jpg"/><Relationship Id="rId6" Type="http://schemas.openxmlformats.org/officeDocument/2006/relationships/hyperlink" Target="#'Gastos administrativos'!A150"/><Relationship Id="rId5" Type="http://schemas.openxmlformats.org/officeDocument/2006/relationships/hyperlink" Target="#'Gastos administrativos'!A106"/><Relationship Id="rId4" Type="http://schemas.openxmlformats.org/officeDocument/2006/relationships/image" Target="../media/image9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image" Target="../media/image4.jp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'ESTADO SITUACI&#211;N FINANCIERA'!A1"/><Relationship Id="rId2" Type="http://schemas.openxmlformats.org/officeDocument/2006/relationships/hyperlink" Target="#A60"/><Relationship Id="rId1" Type="http://schemas.openxmlformats.org/officeDocument/2006/relationships/image" Target="../media/image4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 Informe TTM'!B262"/><Relationship Id="rId13" Type="http://schemas.openxmlformats.org/officeDocument/2006/relationships/image" Target="../media/image8.png"/><Relationship Id="rId3" Type="http://schemas.openxmlformats.org/officeDocument/2006/relationships/hyperlink" Target="#' Informe TTM'!A56"/><Relationship Id="rId7" Type="http://schemas.openxmlformats.org/officeDocument/2006/relationships/hyperlink" Target="#' Informe TTM'!B217"/><Relationship Id="rId12" Type="http://schemas.openxmlformats.org/officeDocument/2006/relationships/image" Target="../media/image10.png"/><Relationship Id="rId2" Type="http://schemas.openxmlformats.org/officeDocument/2006/relationships/chart" Target="../charts/chart11.xml"/><Relationship Id="rId16" Type="http://schemas.openxmlformats.org/officeDocument/2006/relationships/hyperlink" Target="#Tablero!O2"/><Relationship Id="rId1" Type="http://schemas.openxmlformats.org/officeDocument/2006/relationships/chart" Target="../charts/chart10.xml"/><Relationship Id="rId6" Type="http://schemas.openxmlformats.org/officeDocument/2006/relationships/hyperlink" Target="#' Informe TTM'!B126"/><Relationship Id="rId11" Type="http://schemas.openxmlformats.org/officeDocument/2006/relationships/image" Target="../media/image5.png"/><Relationship Id="rId5" Type="http://schemas.openxmlformats.org/officeDocument/2006/relationships/hyperlink" Target="#' Informe TTM'!B172"/><Relationship Id="rId15" Type="http://schemas.openxmlformats.org/officeDocument/2006/relationships/hyperlink" Target="#' Informe TTM'!O2"/><Relationship Id="rId10" Type="http://schemas.openxmlformats.org/officeDocument/2006/relationships/chart" Target="../charts/chart12.xml"/><Relationship Id="rId4" Type="http://schemas.openxmlformats.org/officeDocument/2006/relationships/image" Target="../media/image4.jpg"/><Relationship Id="rId9" Type="http://schemas.openxmlformats.org/officeDocument/2006/relationships/hyperlink" Target="#' Informe TTM'!B307"/><Relationship Id="rId14" Type="http://schemas.openxmlformats.org/officeDocument/2006/relationships/image" Target="../media/image9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7" Type="http://schemas.openxmlformats.org/officeDocument/2006/relationships/chart" Target="../charts/chart18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825501</xdr:colOff>
      <xdr:row>3</xdr:row>
      <xdr:rowOff>274052</xdr:rowOff>
    </xdr:from>
    <xdr:to>
      <xdr:col>11</xdr:col>
      <xdr:colOff>105834</xdr:colOff>
      <xdr:row>9</xdr:row>
      <xdr:rowOff>321398</xdr:rowOff>
    </xdr:to>
    <xdr:sp macro="" textlink="">
      <xdr:nvSpPr>
        <xdr:cNvPr id="5" name="Rectángulo redondeado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227054" y="1417052"/>
          <a:ext cx="7341491" cy="2122793"/>
        </a:xfrm>
        <a:prstGeom prst="roundRect">
          <a:avLst/>
        </a:prstGeom>
        <a:noFill/>
        <a:ln>
          <a:prstDash val="lg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</xdr:col>
      <xdr:colOff>944369</xdr:colOff>
      <xdr:row>3</xdr:row>
      <xdr:rowOff>0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200150" y="857250"/>
          <a:ext cx="4782944" cy="319204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es-CO" sz="1400" b="1"/>
            <a:t>INDICADORES FINANCIEROS</a:t>
          </a:r>
          <a:endParaRPr lang="es-CO" sz="1400" b="1">
            <a:solidFill>
              <a:schemeClr val="accent1">
                <a:lumMod val="40000"/>
                <a:lumOff val="60000"/>
              </a:schemeClr>
            </a:solidFill>
          </a:endParaRPr>
        </a:p>
      </xdr:txBody>
    </xdr:sp>
    <xdr:clientData/>
  </xdr:twoCellAnchor>
  <xdr:twoCellAnchor editAs="oneCell">
    <xdr:from>
      <xdr:col>1</xdr:col>
      <xdr:colOff>252330</xdr:colOff>
      <xdr:row>3</xdr:row>
      <xdr:rowOff>160978</xdr:rowOff>
    </xdr:from>
    <xdr:to>
      <xdr:col>3</xdr:col>
      <xdr:colOff>46482</xdr:colOff>
      <xdr:row>11</xdr:row>
      <xdr:rowOff>57651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4567" y="1303978"/>
          <a:ext cx="3714442" cy="25436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3</xdr:col>
      <xdr:colOff>993497</xdr:colOff>
      <xdr:row>5</xdr:row>
      <xdr:rowOff>192620</xdr:rowOff>
    </xdr:from>
    <xdr:to>
      <xdr:col>3</xdr:col>
      <xdr:colOff>1109913</xdr:colOff>
      <xdr:row>5</xdr:row>
      <xdr:rowOff>309035</xdr:rowOff>
    </xdr:to>
    <xdr:sp macro="" textlink="">
      <xdr:nvSpPr>
        <xdr:cNvPr id="14" name="Cheurón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5395050" y="1887067"/>
          <a:ext cx="116416" cy="11641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997730</xdr:colOff>
      <xdr:row>7</xdr:row>
      <xdr:rowOff>192403</xdr:rowOff>
    </xdr:from>
    <xdr:to>
      <xdr:col>3</xdr:col>
      <xdr:colOff>1114146</xdr:colOff>
      <xdr:row>7</xdr:row>
      <xdr:rowOff>308818</xdr:rowOff>
    </xdr:to>
    <xdr:sp macro="" textlink="">
      <xdr:nvSpPr>
        <xdr:cNvPr id="15" name="Cheurón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5399283" y="2648850"/>
          <a:ext cx="116416" cy="11641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990830</xdr:colOff>
      <xdr:row>8</xdr:row>
      <xdr:rowOff>152632</xdr:rowOff>
    </xdr:from>
    <xdr:to>
      <xdr:col>3</xdr:col>
      <xdr:colOff>1107246</xdr:colOff>
      <xdr:row>8</xdr:row>
      <xdr:rowOff>269047</xdr:rowOff>
    </xdr:to>
    <xdr:sp macro="" textlink="">
      <xdr:nvSpPr>
        <xdr:cNvPr id="27" name="Cheurón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5392383" y="2990079"/>
          <a:ext cx="116416" cy="11641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997734</xdr:colOff>
      <xdr:row>6</xdr:row>
      <xdr:rowOff>201307</xdr:rowOff>
    </xdr:from>
    <xdr:to>
      <xdr:col>3</xdr:col>
      <xdr:colOff>1114150</xdr:colOff>
      <xdr:row>6</xdr:row>
      <xdr:rowOff>317165</xdr:rowOff>
    </xdr:to>
    <xdr:sp macro="" textlink="">
      <xdr:nvSpPr>
        <xdr:cNvPr id="28" name="Cheurón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5399287" y="2276754"/>
          <a:ext cx="116416" cy="115858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22949</xdr:colOff>
      <xdr:row>5</xdr:row>
      <xdr:rowOff>184599</xdr:rowOff>
    </xdr:from>
    <xdr:to>
      <xdr:col>8</xdr:col>
      <xdr:colOff>139365</xdr:colOff>
      <xdr:row>5</xdr:row>
      <xdr:rowOff>301014</xdr:rowOff>
    </xdr:to>
    <xdr:sp macro="" textlink="">
      <xdr:nvSpPr>
        <xdr:cNvPr id="32" name="Cheurón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9608107" y="1879046"/>
          <a:ext cx="116416" cy="11641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27182</xdr:colOff>
      <xdr:row>7</xdr:row>
      <xdr:rowOff>184382</xdr:rowOff>
    </xdr:from>
    <xdr:to>
      <xdr:col>8</xdr:col>
      <xdr:colOff>143598</xdr:colOff>
      <xdr:row>7</xdr:row>
      <xdr:rowOff>300797</xdr:rowOff>
    </xdr:to>
    <xdr:sp macro="" textlink="">
      <xdr:nvSpPr>
        <xdr:cNvPr id="33" name="Cheurón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9612340" y="2640829"/>
          <a:ext cx="116416" cy="11641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27186</xdr:colOff>
      <xdr:row>6</xdr:row>
      <xdr:rowOff>193286</xdr:rowOff>
    </xdr:from>
    <xdr:to>
      <xdr:col>8</xdr:col>
      <xdr:colOff>143602</xdr:colOff>
      <xdr:row>6</xdr:row>
      <xdr:rowOff>309144</xdr:rowOff>
    </xdr:to>
    <xdr:sp macro="" textlink="">
      <xdr:nvSpPr>
        <xdr:cNvPr id="35" name="Cheurón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9612344" y="2268733"/>
          <a:ext cx="116416" cy="115858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1293394</xdr:colOff>
      <xdr:row>11</xdr:row>
      <xdr:rowOff>30080</xdr:rowOff>
    </xdr:from>
    <xdr:to>
      <xdr:col>7</xdr:col>
      <xdr:colOff>360947</xdr:colOff>
      <xdr:row>12</xdr:row>
      <xdr:rowOff>110290</xdr:rowOff>
    </xdr:to>
    <xdr:sp macro="[0]!Pentágono36_Haga_clic_en" textlink="">
      <xdr:nvSpPr>
        <xdr:cNvPr id="37" name="Pentágono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7469605" y="3820027"/>
          <a:ext cx="1975184" cy="270710"/>
        </a:xfrm>
        <a:prstGeom prst="homePlate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 b="1">
              <a:solidFill>
                <a:sysClr val="windowText" lastClr="000000"/>
              </a:solidFill>
            </a:rPr>
            <a:t>DETALLE</a:t>
          </a:r>
          <a:r>
            <a:rPr lang="es-CO" sz="1100" b="1" baseline="0">
              <a:solidFill>
                <a:sysClr val="windowText" lastClr="000000"/>
              </a:solidFill>
            </a:rPr>
            <a:t> INDICADORES</a:t>
          </a:r>
          <a:endParaRPr lang="es-CO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391024</xdr:colOff>
      <xdr:row>12</xdr:row>
      <xdr:rowOff>150392</xdr:rowOff>
    </xdr:from>
    <xdr:to>
      <xdr:col>6</xdr:col>
      <xdr:colOff>916403</xdr:colOff>
      <xdr:row>15</xdr:row>
      <xdr:rowOff>104271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1340" y="4130839"/>
          <a:ext cx="525379" cy="525379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</xdr:row>
      <xdr:rowOff>0</xdr:rowOff>
    </xdr:from>
    <xdr:to>
      <xdr:col>3</xdr:col>
      <xdr:colOff>944369</xdr:colOff>
      <xdr:row>25</xdr:row>
      <xdr:rowOff>42979</xdr:rowOff>
    </xdr:to>
    <xdr:sp macro="" textlink="">
      <xdr:nvSpPr>
        <xdr:cNvPr id="16" name="Rectángulo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1200150" y="857250"/>
          <a:ext cx="4944869" cy="319204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es-CO" sz="1400" b="1"/>
            <a:t>CUMPLIMIENTO PRESUPUESTAL </a:t>
          </a:r>
          <a:endParaRPr lang="es-CO" sz="1400" b="1">
            <a:solidFill>
              <a:schemeClr val="accent1">
                <a:lumMod val="40000"/>
                <a:lumOff val="60000"/>
              </a:schemeClr>
            </a:solidFill>
          </a:endParaRPr>
        </a:p>
      </xdr:txBody>
    </xdr:sp>
    <xdr:clientData/>
  </xdr:twoCellAnchor>
  <xdr:oneCellAnchor>
    <xdr:from>
      <xdr:col>2</xdr:col>
      <xdr:colOff>986591</xdr:colOff>
      <xdr:row>34</xdr:row>
      <xdr:rowOff>90738</xdr:rowOff>
    </xdr:from>
    <xdr:ext cx="1704974" cy="43601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1678407" y="9024185"/>
          <a:ext cx="1704974" cy="4360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s-CO" sz="1100" b="1" baseline="0">
              <a:solidFill>
                <a:schemeClr val="accent1">
                  <a:lumMod val="50000"/>
                </a:schemeClr>
              </a:solidFill>
            </a:rPr>
            <a:t>INGRESOS Y     EBITDA</a:t>
          </a:r>
          <a:endParaRPr lang="es-CO" sz="1100" b="1">
            <a:solidFill>
              <a:schemeClr val="accent1">
                <a:lumMod val="50000"/>
              </a:schemeClr>
            </a:solidFill>
          </a:endParaRPr>
        </a:p>
      </xdr:txBody>
    </xdr:sp>
    <xdr:clientData/>
  </xdr:oneCellAnchor>
  <xdr:oneCellAnchor>
    <xdr:from>
      <xdr:col>5</xdr:col>
      <xdr:colOff>150395</xdr:colOff>
      <xdr:row>34</xdr:row>
      <xdr:rowOff>30580</xdr:rowOff>
    </xdr:from>
    <xdr:ext cx="1704974" cy="43601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/>
      </xdr:nvSpPr>
      <xdr:spPr>
        <a:xfrm>
          <a:off x="6647448" y="8964027"/>
          <a:ext cx="1704974" cy="4360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s-CO" sz="1100" b="1" baseline="0">
              <a:solidFill>
                <a:schemeClr val="accent1">
                  <a:lumMod val="50000"/>
                </a:schemeClr>
              </a:solidFill>
            </a:rPr>
            <a:t> GASTOS</a:t>
          </a:r>
          <a:endParaRPr lang="es-CO" sz="1100" b="1">
            <a:solidFill>
              <a:schemeClr val="accent1">
                <a:lumMod val="50000"/>
              </a:schemeClr>
            </a:solidFill>
          </a:endParaRPr>
        </a:p>
      </xdr:txBody>
    </xdr:sp>
    <xdr:clientData/>
  </xdr:oneCellAnchor>
  <xdr:twoCellAnchor>
    <xdr:from>
      <xdr:col>0</xdr:col>
      <xdr:colOff>0</xdr:colOff>
      <xdr:row>35</xdr:row>
      <xdr:rowOff>114790</xdr:rowOff>
    </xdr:from>
    <xdr:to>
      <xdr:col>3</xdr:col>
      <xdr:colOff>852738</xdr:colOff>
      <xdr:row>36</xdr:row>
      <xdr:rowOff>175510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pSpPr/>
      </xdr:nvGrpSpPr>
      <xdr:grpSpPr>
        <a:xfrm>
          <a:off x="0" y="9429237"/>
          <a:ext cx="5063791" cy="251220"/>
          <a:chOff x="169946" y="9218684"/>
          <a:chExt cx="5063791" cy="251220"/>
        </a:xfrm>
      </xdr:grpSpPr>
      <xdr:grpSp>
        <xdr:nvGrpSpPr>
          <xdr:cNvPr id="17" name="Grupo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GrpSpPr/>
        </xdr:nvGrpSpPr>
        <xdr:grpSpPr>
          <a:xfrm>
            <a:off x="169946" y="9218684"/>
            <a:ext cx="5063791" cy="251220"/>
            <a:chOff x="-37956" y="6495970"/>
            <a:chExt cx="2997864" cy="274584"/>
          </a:xfrm>
        </xdr:grpSpPr>
        <xdr:sp macro="" textlink="">
          <xdr:nvSpPr>
            <xdr:cNvPr id="18" name="CuadroTexto 71">
              <a:extLst>
                <a:ext uri="{FF2B5EF4-FFF2-40B4-BE49-F238E27FC236}">
                  <a16:creationId xmlns:a16="http://schemas.microsoft.com/office/drawing/2014/main" id="{00000000-0008-0000-0100-000012000000}"/>
                </a:ext>
              </a:extLst>
            </xdr:cNvPr>
            <xdr:cNvSpPr txBox="1"/>
          </xdr:nvSpPr>
          <xdr:spPr>
            <a:xfrm>
              <a:off x="1953006" y="6553073"/>
              <a:ext cx="1006902" cy="217481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r"/>
              <a:r>
                <a:rPr lang="es-CO" sz="1000"/>
                <a:t>Real = &gt;  100% Ppto</a:t>
              </a:r>
            </a:p>
          </xdr:txBody>
        </xdr:sp>
        <xdr:sp macro="" textlink="">
          <xdr:nvSpPr>
            <xdr:cNvPr id="19" name="CuadroTexto 73">
              <a:extLst>
                <a:ext uri="{FF2B5EF4-FFF2-40B4-BE49-F238E27FC236}">
                  <a16:creationId xmlns:a16="http://schemas.microsoft.com/office/drawing/2014/main" id="{00000000-0008-0000-0100-000013000000}"/>
                </a:ext>
              </a:extLst>
            </xdr:cNvPr>
            <xdr:cNvSpPr txBox="1"/>
          </xdr:nvSpPr>
          <xdr:spPr>
            <a:xfrm>
              <a:off x="347192" y="6536179"/>
              <a:ext cx="1787989" cy="217481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r"/>
              <a:r>
                <a:rPr lang="es-CO" sz="1000"/>
                <a:t>Real &gt; 90% Ppto  y &lt; 100% Ppto </a:t>
              </a:r>
            </a:p>
          </xdr:txBody>
        </xdr:sp>
        <xdr:sp macro="" textlink="">
          <xdr:nvSpPr>
            <xdr:cNvPr id="20" name="59 Elipse">
              <a:extLst>
                <a:ext uri="{FF2B5EF4-FFF2-40B4-BE49-F238E27FC236}">
                  <a16:creationId xmlns:a16="http://schemas.microsoft.com/office/drawing/2014/main" id="{00000000-0008-0000-0100-000014000000}"/>
                </a:ext>
              </a:extLst>
            </xdr:cNvPr>
            <xdr:cNvSpPr/>
          </xdr:nvSpPr>
          <xdr:spPr>
            <a:xfrm>
              <a:off x="2127805" y="6529453"/>
              <a:ext cx="136887" cy="198879"/>
            </a:xfrm>
            <a:prstGeom prst="upArrow">
              <a:avLst/>
            </a:prstGeom>
            <a:solidFill>
              <a:srgbClr val="70AD47"/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0">
              <a:schemeClr val="accent2"/>
            </a:lnRef>
            <a:fillRef idx="3">
              <a:schemeClr val="accent2"/>
            </a:fillRef>
            <a:effectRef idx="3">
              <a:schemeClr val="accent2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 sz="200">
                <a:solidFill>
                  <a:schemeClr val="tx1"/>
                </a:solidFill>
              </a:endParaRPr>
            </a:p>
            <a:p>
              <a:pPr algn="ctr"/>
              <a:endParaRPr lang="es-CO" sz="2000" b="1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21" name="CuadroTexto 75">
              <a:extLst>
                <a:ext uri="{FF2B5EF4-FFF2-40B4-BE49-F238E27FC236}">
                  <a16:creationId xmlns:a16="http://schemas.microsoft.com/office/drawing/2014/main" id="{00000000-0008-0000-0100-000015000000}"/>
                </a:ext>
              </a:extLst>
            </xdr:cNvPr>
            <xdr:cNvSpPr txBox="1"/>
          </xdr:nvSpPr>
          <xdr:spPr>
            <a:xfrm>
              <a:off x="-37956" y="6495970"/>
              <a:ext cx="961067" cy="248851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r"/>
              <a:r>
                <a:rPr lang="es-CO" sz="1000"/>
                <a:t>Real &lt; 90%  Ppto</a:t>
              </a:r>
            </a:p>
          </xdr:txBody>
        </xdr:sp>
        <xdr:sp macro="" textlink="">
          <xdr:nvSpPr>
            <xdr:cNvPr id="22" name="59 Elipse">
              <a:extLst>
                <a:ext uri="{FF2B5EF4-FFF2-40B4-BE49-F238E27FC236}">
                  <a16:creationId xmlns:a16="http://schemas.microsoft.com/office/drawing/2014/main" id="{00000000-0008-0000-0100-000016000000}"/>
                </a:ext>
              </a:extLst>
            </xdr:cNvPr>
            <xdr:cNvSpPr/>
          </xdr:nvSpPr>
          <xdr:spPr>
            <a:xfrm>
              <a:off x="193009" y="6526727"/>
              <a:ext cx="136887" cy="198879"/>
            </a:xfrm>
            <a:prstGeom prst="downArrow">
              <a:avLst/>
            </a:prstGeom>
            <a:solidFill>
              <a:srgbClr val="C00000"/>
            </a:solidFill>
            <a:ln>
              <a:solidFill>
                <a:schemeClr val="accent2">
                  <a:lumMod val="50000"/>
                </a:schemeClr>
              </a:solidFill>
            </a:ln>
          </xdr:spPr>
          <xdr:style>
            <a:lnRef idx="0">
              <a:schemeClr val="accent2"/>
            </a:lnRef>
            <a:fillRef idx="3">
              <a:schemeClr val="accent2"/>
            </a:fillRef>
            <a:effectRef idx="3">
              <a:schemeClr val="accent2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 sz="200">
                <a:solidFill>
                  <a:schemeClr val="tx1"/>
                </a:solidFill>
              </a:endParaRPr>
            </a:p>
            <a:p>
              <a:pPr algn="ctr"/>
              <a:endParaRPr lang="es-CO" sz="2000" b="1">
                <a:solidFill>
                  <a:schemeClr val="tx1"/>
                </a:solidFill>
              </a:endParaRPr>
            </a:p>
          </xdr:txBody>
        </xdr:sp>
      </xdr:grpSp>
      <xdr:sp macro="" textlink="">
        <xdr:nvSpPr>
          <xdr:cNvPr id="34" name="59 Elipse">
            <a:extLst>
              <a:ext uri="{FF2B5EF4-FFF2-40B4-BE49-F238E27FC236}">
                <a16:creationId xmlns:a16="http://schemas.microsoft.com/office/drawing/2014/main" id="{00000000-0008-0000-0100-000022000000}"/>
              </a:ext>
            </a:extLst>
          </xdr:cNvPr>
          <xdr:cNvSpPr/>
        </xdr:nvSpPr>
        <xdr:spPr>
          <a:xfrm>
            <a:off x="1894083" y="9267880"/>
            <a:ext cx="193197" cy="193934"/>
          </a:xfrm>
          <a:prstGeom prst="rightArrow">
            <a:avLst/>
          </a:prstGeom>
          <a:solidFill>
            <a:srgbClr val="FFC000"/>
          </a:solidFill>
          <a:ln>
            <a:solidFill>
              <a:schemeClr val="accent4">
                <a:lumMod val="75000"/>
              </a:schemeClr>
            </a:solidFill>
          </a:ln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s-CO" sz="1000">
              <a:solidFill>
                <a:schemeClr val="tx1"/>
              </a:solidFill>
            </a:endParaRPr>
          </a:p>
        </xdr:txBody>
      </xdr:sp>
    </xdr:grpSp>
    <xdr:clientData/>
  </xdr:twoCellAnchor>
  <xdr:twoCellAnchor editAs="oneCell">
    <xdr:from>
      <xdr:col>4</xdr:col>
      <xdr:colOff>533576</xdr:colOff>
      <xdr:row>26</xdr:row>
      <xdr:rowOff>80211</xdr:rowOff>
    </xdr:from>
    <xdr:to>
      <xdr:col>6</xdr:col>
      <xdr:colOff>1148709</xdr:colOff>
      <xdr:row>31</xdr:row>
      <xdr:rowOff>387047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87629" y="6096000"/>
          <a:ext cx="3232001" cy="2261968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>
    <xdr:from>
      <xdr:col>3</xdr:col>
      <xdr:colOff>797093</xdr:colOff>
      <xdr:row>35</xdr:row>
      <xdr:rowOff>84713</xdr:rowOff>
    </xdr:from>
    <xdr:to>
      <xdr:col>7</xdr:col>
      <xdr:colOff>127336</xdr:colOff>
      <xdr:row>36</xdr:row>
      <xdr:rowOff>185007</xdr:rowOff>
    </xdr:to>
    <xdr:grpSp>
      <xdr:nvGrpSpPr>
        <xdr:cNvPr id="9" name="Grupo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pSpPr/>
      </xdr:nvGrpSpPr>
      <xdr:grpSpPr>
        <a:xfrm>
          <a:off x="5008146" y="9399160"/>
          <a:ext cx="4433637" cy="290794"/>
          <a:chOff x="5439277" y="9198634"/>
          <a:chExt cx="4433637" cy="290794"/>
        </a:xfrm>
      </xdr:grpSpPr>
      <xdr:grpSp>
        <xdr:nvGrpSpPr>
          <xdr:cNvPr id="23" name="Grupo 22"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GrpSpPr/>
        </xdr:nvGrpSpPr>
        <xdr:grpSpPr>
          <a:xfrm>
            <a:off x="5439277" y="9217170"/>
            <a:ext cx="4433637" cy="272258"/>
            <a:chOff x="-198671" y="6619460"/>
            <a:chExt cx="3299706" cy="239151"/>
          </a:xfrm>
        </xdr:grpSpPr>
        <xdr:sp macro="" textlink="">
          <xdr:nvSpPr>
            <xdr:cNvPr id="24" name="CuadroTexto 105">
              <a:extLst>
                <a:ext uri="{FF2B5EF4-FFF2-40B4-BE49-F238E27FC236}">
                  <a16:creationId xmlns:a16="http://schemas.microsoft.com/office/drawing/2014/main" id="{00000000-0008-0000-0100-000018000000}"/>
                </a:ext>
              </a:extLst>
            </xdr:cNvPr>
            <xdr:cNvSpPr txBox="1"/>
          </xdr:nvSpPr>
          <xdr:spPr>
            <a:xfrm>
              <a:off x="987733" y="6619460"/>
              <a:ext cx="2113302" cy="239151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r"/>
              <a:r>
                <a:rPr lang="es-CO" sz="900"/>
                <a:t>Real &lt;  90% Ppto</a:t>
              </a:r>
            </a:p>
          </xdr:txBody>
        </xdr:sp>
        <xdr:sp macro="" textlink="">
          <xdr:nvSpPr>
            <xdr:cNvPr id="25" name="59 Elipse">
              <a:extLst>
                <a:ext uri="{FF2B5EF4-FFF2-40B4-BE49-F238E27FC236}">
                  <a16:creationId xmlns:a16="http://schemas.microsoft.com/office/drawing/2014/main" id="{00000000-0008-0000-0100-000019000000}"/>
                </a:ext>
              </a:extLst>
            </xdr:cNvPr>
            <xdr:cNvSpPr/>
          </xdr:nvSpPr>
          <xdr:spPr>
            <a:xfrm>
              <a:off x="915375" y="6625322"/>
              <a:ext cx="138984" cy="170351"/>
            </a:xfrm>
            <a:prstGeom prst="rightArrow">
              <a:avLst/>
            </a:prstGeom>
            <a:solidFill>
              <a:srgbClr val="FFC000"/>
            </a:solidFill>
            <a:ln>
              <a:solidFill>
                <a:schemeClr val="accent4">
                  <a:lumMod val="75000"/>
                </a:schemeClr>
              </a:solidFill>
            </a:ln>
          </xdr:spPr>
          <xdr:style>
            <a:lnRef idx="0">
              <a:schemeClr val="accent2"/>
            </a:lnRef>
            <a:fillRef idx="3">
              <a:schemeClr val="accent2"/>
            </a:fillRef>
            <a:effectRef idx="3">
              <a:schemeClr val="accent2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 sz="10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26" name="CuadroTexto 107">
              <a:extLst>
                <a:ext uri="{FF2B5EF4-FFF2-40B4-BE49-F238E27FC236}">
                  <a16:creationId xmlns:a16="http://schemas.microsoft.com/office/drawing/2014/main" id="{00000000-0008-0000-0100-00001A000000}"/>
                </a:ext>
              </a:extLst>
            </xdr:cNvPr>
            <xdr:cNvSpPr txBox="1"/>
          </xdr:nvSpPr>
          <xdr:spPr>
            <a:xfrm>
              <a:off x="344373" y="6629717"/>
              <a:ext cx="1922951" cy="145780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r"/>
              <a:r>
                <a:rPr lang="es-CO" sz="900"/>
                <a:t>Real &gt; 90% Ppto  y &lt; 100% Ppto </a:t>
              </a:r>
            </a:p>
          </xdr:txBody>
        </xdr:sp>
        <xdr:sp macro="" textlink="">
          <xdr:nvSpPr>
            <xdr:cNvPr id="29" name="CuadroTexto 109">
              <a:extLst>
                <a:ext uri="{FF2B5EF4-FFF2-40B4-BE49-F238E27FC236}">
                  <a16:creationId xmlns:a16="http://schemas.microsoft.com/office/drawing/2014/main" id="{00000000-0008-0000-0100-00001D000000}"/>
                </a:ext>
              </a:extLst>
            </xdr:cNvPr>
            <xdr:cNvSpPr txBox="1"/>
          </xdr:nvSpPr>
          <xdr:spPr>
            <a:xfrm>
              <a:off x="-198671" y="6634486"/>
              <a:ext cx="995552" cy="166982"/>
            </a:xfrm>
            <a:prstGeom prst="rect">
              <a:avLst/>
            </a:prstGeom>
            <a:noFill/>
          </xdr:spPr>
          <xdr:txBody>
            <a:bodyPr wrap="square" rtlCol="0">
              <a:noAutofit/>
            </a:bodyPr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r"/>
              <a:r>
                <a:rPr lang="es-CO" sz="900"/>
                <a:t>Real  =&gt;100% Ppto</a:t>
              </a:r>
            </a:p>
          </xdr:txBody>
        </xdr:sp>
      </xdr:grpSp>
      <xdr:sp macro="" textlink="">
        <xdr:nvSpPr>
          <xdr:cNvPr id="39" name="59 Elipse">
            <a:extLst>
              <a:ext uri="{FF2B5EF4-FFF2-40B4-BE49-F238E27FC236}">
                <a16:creationId xmlns:a16="http://schemas.microsoft.com/office/drawing/2014/main" id="{00000000-0008-0000-0100-000027000000}"/>
              </a:ext>
            </a:extLst>
          </xdr:cNvPr>
          <xdr:cNvSpPr/>
        </xdr:nvSpPr>
        <xdr:spPr>
          <a:xfrm>
            <a:off x="5532521" y="9266822"/>
            <a:ext cx="244477" cy="181957"/>
          </a:xfrm>
          <a:prstGeom prst="downArrow">
            <a:avLst/>
          </a:prstGeom>
          <a:solidFill>
            <a:srgbClr val="C00000"/>
          </a:solidFill>
          <a:ln>
            <a:solidFill>
              <a:schemeClr val="accent2">
                <a:lumMod val="50000"/>
              </a:schemeClr>
            </a:solidFill>
          </a:ln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s-CO" sz="200">
              <a:solidFill>
                <a:schemeClr val="tx1"/>
              </a:solidFill>
            </a:endParaRPr>
          </a:p>
          <a:p>
            <a:pPr algn="ctr"/>
            <a:endParaRPr lang="es-CO" sz="2000" b="1">
              <a:solidFill>
                <a:schemeClr val="tx1"/>
              </a:solidFill>
            </a:endParaRPr>
          </a:p>
        </xdr:txBody>
      </xdr:sp>
      <xdr:sp macro="" textlink="">
        <xdr:nvSpPr>
          <xdr:cNvPr id="42" name="59 Elipse">
            <a:extLst>
              <a:ext uri="{FF2B5EF4-FFF2-40B4-BE49-F238E27FC236}">
                <a16:creationId xmlns:a16="http://schemas.microsoft.com/office/drawing/2014/main" id="{00000000-0008-0000-0100-00002A000000}"/>
              </a:ext>
            </a:extLst>
          </xdr:cNvPr>
          <xdr:cNvSpPr/>
        </xdr:nvSpPr>
        <xdr:spPr>
          <a:xfrm>
            <a:off x="8742447" y="9198634"/>
            <a:ext cx="231220" cy="181957"/>
          </a:xfrm>
          <a:prstGeom prst="upArrow">
            <a:avLst/>
          </a:prstGeom>
          <a:solidFill>
            <a:srgbClr val="70AD47"/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s-CO" sz="200">
              <a:solidFill>
                <a:schemeClr val="tx1"/>
              </a:solidFill>
            </a:endParaRPr>
          </a:p>
          <a:p>
            <a:pPr algn="ctr"/>
            <a:endParaRPr lang="es-CO" sz="2000" b="1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8</xdr:col>
      <xdr:colOff>180474</xdr:colOff>
      <xdr:row>26</xdr:row>
      <xdr:rowOff>100264</xdr:rowOff>
    </xdr:from>
    <xdr:to>
      <xdr:col>11</xdr:col>
      <xdr:colOff>50132</xdr:colOff>
      <xdr:row>33</xdr:row>
      <xdr:rowOff>50132</xdr:rowOff>
    </xdr:to>
    <xdr:sp macro="" textlink="">
      <xdr:nvSpPr>
        <xdr:cNvPr id="43" name="Rectángulo redondeado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9865895" y="5925553"/>
          <a:ext cx="2436395" cy="2867526"/>
        </a:xfrm>
        <a:prstGeom prst="roundRect">
          <a:avLst/>
        </a:prstGeom>
        <a:noFill/>
        <a:ln>
          <a:prstDash val="lg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9</xdr:col>
      <xdr:colOff>190499</xdr:colOff>
      <xdr:row>27</xdr:row>
      <xdr:rowOff>0</xdr:rowOff>
    </xdr:from>
    <xdr:ext cx="2238498" cy="1094146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0066420" y="6096000"/>
          <a:ext cx="2238498" cy="10941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600" b="1" i="1">
              <a:latin typeface="+mj-lt"/>
            </a:rPr>
            <a:t>COBERTURA</a:t>
          </a:r>
          <a:r>
            <a:rPr lang="es-CO" sz="1600" b="1" i="1" baseline="0">
              <a:latin typeface="+mj-lt"/>
            </a:rPr>
            <a:t> PASAJEROS</a:t>
          </a:r>
          <a:br>
            <a:rPr lang="es-CO" sz="1600" b="1" i="1" baseline="0">
              <a:latin typeface="+mj-lt"/>
            </a:rPr>
          </a:br>
          <a:r>
            <a:rPr lang="es-CO" sz="1600" b="1" i="1" baseline="0">
              <a:latin typeface="+mj-lt"/>
            </a:rPr>
            <a:t/>
          </a:r>
          <a:br>
            <a:rPr lang="es-CO" sz="1600" b="1" i="1" baseline="0">
              <a:latin typeface="+mj-lt"/>
            </a:rPr>
          </a:br>
          <a:r>
            <a:rPr lang="es-CO" sz="1600">
              <a:latin typeface="+mn-lt"/>
            </a:rPr>
            <a:t>De origen             </a:t>
          </a:r>
          <a:r>
            <a:rPr lang="es-CO" sz="1600" b="1">
              <a:solidFill>
                <a:schemeClr val="accent6">
                  <a:lumMod val="50000"/>
                </a:schemeClr>
              </a:solidFill>
              <a:latin typeface="+mn-lt"/>
            </a:rPr>
            <a:t>42,75%</a:t>
          </a:r>
          <a:r>
            <a:rPr lang="es-CO" sz="1600">
              <a:latin typeface="+mj-lt"/>
            </a:rPr>
            <a:t/>
          </a:r>
          <a:br>
            <a:rPr lang="es-CO" sz="1600">
              <a:latin typeface="+mj-lt"/>
            </a:rPr>
          </a:br>
          <a:r>
            <a:rPr lang="es-CO" sz="1600">
              <a:latin typeface="+mn-lt"/>
            </a:rPr>
            <a:t>De</a:t>
          </a:r>
          <a:r>
            <a:rPr lang="es-CO" sz="1600" baseline="0">
              <a:latin typeface="+mn-lt"/>
            </a:rPr>
            <a:t> transito           </a:t>
          </a:r>
          <a:r>
            <a:rPr lang="es-CO" sz="1600" b="1" baseline="0">
              <a:solidFill>
                <a:schemeClr val="accent6">
                  <a:lumMod val="50000"/>
                </a:schemeClr>
              </a:solidFill>
              <a:latin typeface="+mn-lt"/>
            </a:rPr>
            <a:t>57,25%</a:t>
          </a:r>
          <a:endParaRPr lang="es-CO" sz="1600" b="1">
            <a:solidFill>
              <a:schemeClr val="accent6">
                <a:lumMod val="50000"/>
              </a:schemeClr>
            </a:solidFill>
            <a:latin typeface="+mn-lt"/>
          </a:endParaRPr>
        </a:p>
      </xdr:txBody>
    </xdr:sp>
    <xdr:clientData/>
  </xdr:oneCellAnchor>
  <xdr:twoCellAnchor>
    <xdr:from>
      <xdr:col>8</xdr:col>
      <xdr:colOff>130341</xdr:colOff>
      <xdr:row>24</xdr:row>
      <xdr:rowOff>25067</xdr:rowOff>
    </xdr:from>
    <xdr:to>
      <xdr:col>11</xdr:col>
      <xdr:colOff>89124</xdr:colOff>
      <xdr:row>25</xdr:row>
      <xdr:rowOff>50132</xdr:rowOff>
    </xdr:to>
    <xdr:sp macro="" textlink="">
      <xdr:nvSpPr>
        <xdr:cNvPr id="46" name="Rectángulo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>
        <a:xfrm>
          <a:off x="9815762" y="5379120"/>
          <a:ext cx="2525520" cy="305801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es-CO" sz="1400" b="1"/>
            <a:t>INDICADORES OPERATIVOS</a:t>
          </a:r>
          <a:endParaRPr lang="es-CO" sz="1400" b="1">
            <a:solidFill>
              <a:schemeClr val="accent1">
                <a:lumMod val="40000"/>
                <a:lumOff val="60000"/>
              </a:schemeClr>
            </a:solidFill>
          </a:endParaRPr>
        </a:p>
      </xdr:txBody>
    </xdr:sp>
    <xdr:clientData/>
  </xdr:twoCellAnchor>
  <xdr:twoCellAnchor>
    <xdr:from>
      <xdr:col>9</xdr:col>
      <xdr:colOff>100262</xdr:colOff>
      <xdr:row>27</xdr:row>
      <xdr:rowOff>110289</xdr:rowOff>
    </xdr:from>
    <xdr:to>
      <xdr:col>9</xdr:col>
      <xdr:colOff>216678</xdr:colOff>
      <xdr:row>27</xdr:row>
      <xdr:rowOff>226704</xdr:rowOff>
    </xdr:to>
    <xdr:sp macro="" textlink="">
      <xdr:nvSpPr>
        <xdr:cNvPr id="48" name="Cheurón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>
        <a:xfrm>
          <a:off x="9976183" y="6206289"/>
          <a:ext cx="116416" cy="11641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solidFill>
              <a:schemeClr val="tx1"/>
            </a:solidFill>
          </a:endParaRPr>
        </a:p>
      </xdr:txBody>
    </xdr:sp>
    <xdr:clientData/>
  </xdr:twoCellAnchor>
  <xdr:oneCellAnchor>
    <xdr:from>
      <xdr:col>9</xdr:col>
      <xdr:colOff>172453</xdr:colOff>
      <xdr:row>30</xdr:row>
      <xdr:rowOff>282743</xdr:rowOff>
    </xdr:from>
    <xdr:ext cx="2238498" cy="1094146"/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/>
      </xdr:nvSpPr>
      <xdr:spPr>
        <a:xfrm>
          <a:off x="10048374" y="7581901"/>
          <a:ext cx="2238498" cy="10941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600" b="1" i="1">
              <a:latin typeface="+mj-lt"/>
            </a:rPr>
            <a:t>COBERTURA</a:t>
          </a:r>
          <a:r>
            <a:rPr lang="es-CO" sz="1600" b="1" i="1" baseline="0">
              <a:latin typeface="+mj-lt"/>
            </a:rPr>
            <a:t> DESPACHOS</a:t>
          </a:r>
          <a:br>
            <a:rPr lang="es-CO" sz="1600" b="1" i="1" baseline="0">
              <a:latin typeface="+mj-lt"/>
            </a:rPr>
          </a:br>
          <a:r>
            <a:rPr lang="es-CO" sz="1600" b="1" i="1" baseline="0">
              <a:latin typeface="+mj-lt"/>
            </a:rPr>
            <a:t/>
          </a:r>
          <a:br>
            <a:rPr lang="es-CO" sz="1600" b="1" i="1" baseline="0">
              <a:latin typeface="+mj-lt"/>
            </a:rPr>
          </a:br>
          <a:r>
            <a:rPr lang="es-CO" sz="1600">
              <a:latin typeface="+mn-lt"/>
            </a:rPr>
            <a:t>De origen             </a:t>
          </a:r>
          <a:r>
            <a:rPr lang="es-CO" sz="1600" b="1">
              <a:solidFill>
                <a:schemeClr val="accent6">
                  <a:lumMod val="50000"/>
                </a:schemeClr>
              </a:solidFill>
              <a:latin typeface="+mn-lt"/>
            </a:rPr>
            <a:t>31,47%</a:t>
          </a:r>
          <a:r>
            <a:rPr lang="es-CO" sz="1600">
              <a:latin typeface="+mj-lt"/>
            </a:rPr>
            <a:t/>
          </a:r>
          <a:br>
            <a:rPr lang="es-CO" sz="1600">
              <a:latin typeface="+mj-lt"/>
            </a:rPr>
          </a:br>
          <a:r>
            <a:rPr lang="es-CO" sz="1600">
              <a:latin typeface="+mn-lt"/>
            </a:rPr>
            <a:t>De</a:t>
          </a:r>
          <a:r>
            <a:rPr lang="es-CO" sz="1600" baseline="0">
              <a:latin typeface="+mn-lt"/>
            </a:rPr>
            <a:t> transito           </a:t>
          </a:r>
          <a:r>
            <a:rPr lang="es-CO" sz="1600" b="1" baseline="0">
              <a:solidFill>
                <a:schemeClr val="accent6">
                  <a:lumMod val="50000"/>
                </a:schemeClr>
              </a:solidFill>
              <a:latin typeface="+mn-lt"/>
            </a:rPr>
            <a:t>68,53%</a:t>
          </a:r>
          <a:endParaRPr lang="es-CO" sz="1600" b="1">
            <a:solidFill>
              <a:schemeClr val="accent6">
                <a:lumMod val="50000"/>
              </a:schemeClr>
            </a:solidFill>
            <a:latin typeface="+mn-lt"/>
          </a:endParaRPr>
        </a:p>
      </xdr:txBody>
    </xdr:sp>
    <xdr:clientData/>
  </xdr:oneCellAnchor>
  <xdr:twoCellAnchor>
    <xdr:from>
      <xdr:col>9</xdr:col>
      <xdr:colOff>112294</xdr:colOff>
      <xdr:row>30</xdr:row>
      <xdr:rowOff>393032</xdr:rowOff>
    </xdr:from>
    <xdr:to>
      <xdr:col>9</xdr:col>
      <xdr:colOff>228710</xdr:colOff>
      <xdr:row>31</xdr:row>
      <xdr:rowOff>28184</xdr:rowOff>
    </xdr:to>
    <xdr:sp macro="" textlink="">
      <xdr:nvSpPr>
        <xdr:cNvPr id="50" name="Cheurón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/>
      </xdr:nvSpPr>
      <xdr:spPr>
        <a:xfrm>
          <a:off x="9988215" y="7692190"/>
          <a:ext cx="116416" cy="11641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70185</xdr:colOff>
      <xdr:row>12</xdr:row>
      <xdr:rowOff>20057</xdr:rowOff>
    </xdr:from>
    <xdr:to>
      <xdr:col>2</xdr:col>
      <xdr:colOff>401052</xdr:colOff>
      <xdr:row>15</xdr:row>
      <xdr:rowOff>16528</xdr:rowOff>
    </xdr:to>
    <xdr:sp macro="" textlink="">
      <xdr:nvSpPr>
        <xdr:cNvPr id="44" name="Flecha derecha 4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>
        <a:xfrm rot="5400000">
          <a:off x="643449" y="4119056"/>
          <a:ext cx="567971" cy="330867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401052</xdr:colOff>
      <xdr:row>12</xdr:row>
      <xdr:rowOff>130343</xdr:rowOff>
    </xdr:from>
    <xdr:to>
      <xdr:col>2</xdr:col>
      <xdr:colOff>2777289</xdr:colOff>
      <xdr:row>13</xdr:row>
      <xdr:rowOff>140369</xdr:rowOff>
    </xdr:to>
    <xdr:sp macro="" textlink="">
      <xdr:nvSpPr>
        <xdr:cNvPr id="47" name="Rectángulo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/>
      </xdr:nvSpPr>
      <xdr:spPr>
        <a:xfrm>
          <a:off x="1092868" y="4110790"/>
          <a:ext cx="2376237" cy="20052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>
              <a:solidFill>
                <a:schemeClr val="lt1"/>
              </a:solidFill>
            </a:rPr>
            <a:t>CUMPLIMIENTO</a:t>
          </a:r>
          <a:r>
            <a:rPr lang="es-CO" sz="1200" b="1" baseline="0">
              <a:solidFill>
                <a:schemeClr val="lt1"/>
              </a:solidFill>
            </a:rPr>
            <a:t> PRESUPUESTAL</a:t>
          </a:r>
          <a:endParaRPr lang="es-CO" sz="1200" b="1">
            <a:solidFill>
              <a:schemeClr val="accent1">
                <a:lumMod val="40000"/>
                <a:lumOff val="60000"/>
              </a:schemeClr>
            </a:solidFill>
          </a:endParaRPr>
        </a:p>
      </xdr:txBody>
    </xdr:sp>
    <xdr:clientData/>
  </xdr:twoCellAnchor>
  <xdr:twoCellAnchor>
    <xdr:from>
      <xdr:col>10</xdr:col>
      <xdr:colOff>551448</xdr:colOff>
      <xdr:row>34</xdr:row>
      <xdr:rowOff>60158</xdr:rowOff>
    </xdr:from>
    <xdr:to>
      <xdr:col>11</xdr:col>
      <xdr:colOff>624765</xdr:colOff>
      <xdr:row>36</xdr:row>
      <xdr:rowOff>83971</xdr:rowOff>
    </xdr:to>
    <xdr:sp macro="[0]!Hexágono51_Haga_clic_en" textlink="">
      <xdr:nvSpPr>
        <xdr:cNvPr id="52" name="Hexágono 5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/>
      </xdr:nvSpPr>
      <xdr:spPr>
        <a:xfrm>
          <a:off x="12031580" y="9755605"/>
          <a:ext cx="845343" cy="404813"/>
        </a:xfrm>
        <a:prstGeom prst="hexagon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400" b="1"/>
            <a:t>Menú</a:t>
          </a:r>
        </a:p>
      </xdr:txBody>
    </xdr:sp>
    <xdr:clientData/>
  </xdr:twoCellAnchor>
  <xdr:twoCellAnchor>
    <xdr:from>
      <xdr:col>5</xdr:col>
      <xdr:colOff>711869</xdr:colOff>
      <xdr:row>24</xdr:row>
      <xdr:rowOff>140367</xdr:rowOff>
    </xdr:from>
    <xdr:to>
      <xdr:col>5</xdr:col>
      <xdr:colOff>1042736</xdr:colOff>
      <xdr:row>26</xdr:row>
      <xdr:rowOff>10027</xdr:rowOff>
    </xdr:to>
    <xdr:sp macro="" textlink="">
      <xdr:nvSpPr>
        <xdr:cNvPr id="45" name="Flecha derecha 4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7FAF020-7DB1-4E28-A6EA-EC0AB6F3C65F}"/>
            </a:ext>
          </a:extLst>
        </xdr:cNvPr>
        <xdr:cNvSpPr/>
      </xdr:nvSpPr>
      <xdr:spPr>
        <a:xfrm rot="16200000">
          <a:off x="7203908" y="6261434"/>
          <a:ext cx="340896" cy="330867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952500</xdr:colOff>
      <xdr:row>23</xdr:row>
      <xdr:rowOff>130343</xdr:rowOff>
    </xdr:from>
    <xdr:to>
      <xdr:col>6</xdr:col>
      <xdr:colOff>360948</xdr:colOff>
      <xdr:row>24</xdr:row>
      <xdr:rowOff>130342</xdr:rowOff>
    </xdr:to>
    <xdr:sp macro="" textlink="">
      <xdr:nvSpPr>
        <xdr:cNvPr id="53" name="Rectángulo 52">
          <a:extLst>
            <a:ext uri="{FF2B5EF4-FFF2-40B4-BE49-F238E27FC236}">
              <a16:creationId xmlns:a16="http://schemas.microsoft.com/office/drawing/2014/main" id="{87706635-72AB-4792-96C3-33426AAFDBA0}"/>
            </a:ext>
          </a:extLst>
        </xdr:cNvPr>
        <xdr:cNvSpPr/>
      </xdr:nvSpPr>
      <xdr:spPr>
        <a:xfrm>
          <a:off x="6306553" y="6045869"/>
          <a:ext cx="2025316" cy="20052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050" b="1">
              <a:solidFill>
                <a:schemeClr val="lt1"/>
              </a:solidFill>
            </a:rPr>
            <a:t>INDICADORES FINANCIEROS</a:t>
          </a:r>
          <a:endParaRPr lang="es-CO" sz="1050" b="1">
            <a:solidFill>
              <a:schemeClr val="accent1">
                <a:lumMod val="40000"/>
                <a:lumOff val="60000"/>
              </a:schemeClr>
            </a:solidFill>
          </a:endParaRPr>
        </a:p>
      </xdr:txBody>
    </xdr:sp>
    <xdr:clientData/>
  </xdr:twoCellAnchor>
  <xdr:twoCellAnchor>
    <xdr:from>
      <xdr:col>10</xdr:col>
      <xdr:colOff>461210</xdr:colOff>
      <xdr:row>12</xdr:row>
      <xdr:rowOff>160421</xdr:rowOff>
    </xdr:from>
    <xdr:to>
      <xdr:col>11</xdr:col>
      <xdr:colOff>534527</xdr:colOff>
      <xdr:row>14</xdr:row>
      <xdr:rowOff>184234</xdr:rowOff>
    </xdr:to>
    <xdr:sp macro="[0]!Hexágono51_Haga_clic_en" textlink="">
      <xdr:nvSpPr>
        <xdr:cNvPr id="54" name="Hexágono 53">
          <a:extLst>
            <a:ext uri="{FF2B5EF4-FFF2-40B4-BE49-F238E27FC236}">
              <a16:creationId xmlns:a16="http://schemas.microsoft.com/office/drawing/2014/main" id="{6664B78C-700E-40E9-A96B-6EC74464E64B}"/>
            </a:ext>
          </a:extLst>
        </xdr:cNvPr>
        <xdr:cNvSpPr/>
      </xdr:nvSpPr>
      <xdr:spPr>
        <a:xfrm>
          <a:off x="11941342" y="4140868"/>
          <a:ext cx="845343" cy="404813"/>
        </a:xfrm>
        <a:prstGeom prst="hexagon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400" b="1"/>
            <a:t>Menú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14286</xdr:colOff>
      <xdr:row>3</xdr:row>
      <xdr:rowOff>97489</xdr:rowOff>
    </xdr:from>
    <xdr:to>
      <xdr:col>3</xdr:col>
      <xdr:colOff>1071562</xdr:colOff>
      <xdr:row>5</xdr:row>
      <xdr:rowOff>71576</xdr:rowOff>
    </xdr:to>
    <xdr:sp macro="" textlink="">
      <xdr:nvSpPr>
        <xdr:cNvPr id="27" name="Pentágono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609599" y="3264552"/>
          <a:ext cx="2200276" cy="438430"/>
        </a:xfrm>
        <a:prstGeom prst="homePlate">
          <a:avLst>
            <a:gd name="adj" fmla="val 60811"/>
          </a:avLst>
        </a:prstGeom>
        <a:noFill/>
        <a:ln w="12700">
          <a:solidFill>
            <a:schemeClr val="accent4">
              <a:lumMod val="75000"/>
            </a:schemeClr>
          </a:solidFill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</xdr:col>
      <xdr:colOff>1381125</xdr:colOff>
      <xdr:row>10</xdr:row>
      <xdr:rowOff>23812</xdr:rowOff>
    </xdr:from>
    <xdr:to>
      <xdr:col>3</xdr:col>
      <xdr:colOff>1321593</xdr:colOff>
      <xdr:row>10</xdr:row>
      <xdr:rowOff>23812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2381250" y="4679156"/>
          <a:ext cx="148828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69052</xdr:colOff>
      <xdr:row>9</xdr:row>
      <xdr:rowOff>259556</xdr:rowOff>
    </xdr:from>
    <xdr:to>
      <xdr:col>4</xdr:col>
      <xdr:colOff>1689052</xdr:colOff>
      <xdr:row>9</xdr:row>
      <xdr:rowOff>259556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/>
      </xdr:nvCxnSpPr>
      <xdr:spPr>
        <a:xfrm>
          <a:off x="4712490" y="4652962"/>
          <a:ext cx="1620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1523999</xdr:colOff>
      <xdr:row>8</xdr:row>
      <xdr:rowOff>166686</xdr:rowOff>
    </xdr:from>
    <xdr:ext cx="389081" cy="593304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4071937" y="4298155"/>
          <a:ext cx="389081" cy="593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3200"/>
            <a:t>=</a:t>
          </a:r>
        </a:p>
      </xdr:txBody>
    </xdr:sp>
    <xdr:clientData/>
  </xdr:oneCellAnchor>
  <xdr:oneCellAnchor>
    <xdr:from>
      <xdr:col>5</xdr:col>
      <xdr:colOff>69055</xdr:colOff>
      <xdr:row>8</xdr:row>
      <xdr:rowOff>164303</xdr:rowOff>
    </xdr:from>
    <xdr:ext cx="389081" cy="633413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5545930" y="4295772"/>
          <a:ext cx="389081" cy="6334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s-CO" sz="3200"/>
            <a:t>=</a:t>
          </a:r>
        </a:p>
      </xdr:txBody>
    </xdr:sp>
    <xdr:clientData/>
  </xdr:oneCellAnchor>
  <xdr:twoCellAnchor>
    <xdr:from>
      <xdr:col>2</xdr:col>
      <xdr:colOff>1438277</xdr:colOff>
      <xdr:row>15</xdr:row>
      <xdr:rowOff>9517</xdr:rowOff>
    </xdr:from>
    <xdr:to>
      <xdr:col>3</xdr:col>
      <xdr:colOff>1378745</xdr:colOff>
      <xdr:row>15</xdr:row>
      <xdr:rowOff>9517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CxnSpPr/>
      </xdr:nvCxnSpPr>
      <xdr:spPr>
        <a:xfrm>
          <a:off x="2438402" y="5974548"/>
          <a:ext cx="148828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126204</xdr:colOff>
      <xdr:row>14</xdr:row>
      <xdr:rowOff>245260</xdr:rowOff>
    </xdr:from>
    <xdr:to>
      <xdr:col>5</xdr:col>
      <xdr:colOff>31704</xdr:colOff>
      <xdr:row>14</xdr:row>
      <xdr:rowOff>245260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4769642" y="5948354"/>
          <a:ext cx="1620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1581151</xdr:colOff>
      <xdr:row>13</xdr:row>
      <xdr:rowOff>152391</xdr:rowOff>
    </xdr:from>
    <xdr:ext cx="389081" cy="593304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/>
      </xdr:nvSpPr>
      <xdr:spPr>
        <a:xfrm>
          <a:off x="4129089" y="5593547"/>
          <a:ext cx="389081" cy="593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3200"/>
            <a:t>=</a:t>
          </a:r>
        </a:p>
      </xdr:txBody>
    </xdr:sp>
    <xdr:clientData/>
  </xdr:oneCellAnchor>
  <xdr:oneCellAnchor>
    <xdr:from>
      <xdr:col>5</xdr:col>
      <xdr:colOff>126207</xdr:colOff>
      <xdr:row>13</xdr:row>
      <xdr:rowOff>150008</xdr:rowOff>
    </xdr:from>
    <xdr:ext cx="389081" cy="633413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/>
      </xdr:nvSpPr>
      <xdr:spPr>
        <a:xfrm>
          <a:off x="6484145" y="5591164"/>
          <a:ext cx="389081" cy="6334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s-CO" sz="3200"/>
            <a:t>=</a:t>
          </a:r>
        </a:p>
      </xdr:txBody>
    </xdr:sp>
    <xdr:clientData/>
  </xdr:oneCellAnchor>
  <xdr:twoCellAnchor>
    <xdr:from>
      <xdr:col>2</xdr:col>
      <xdr:colOff>1459708</xdr:colOff>
      <xdr:row>19</xdr:row>
      <xdr:rowOff>257167</xdr:rowOff>
    </xdr:from>
    <xdr:to>
      <xdr:col>3</xdr:col>
      <xdr:colOff>1400176</xdr:colOff>
      <xdr:row>19</xdr:row>
      <xdr:rowOff>257167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CxnSpPr/>
      </xdr:nvCxnSpPr>
      <xdr:spPr>
        <a:xfrm>
          <a:off x="2459833" y="7269948"/>
          <a:ext cx="148828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147635</xdr:colOff>
      <xdr:row>19</xdr:row>
      <xdr:rowOff>230973</xdr:rowOff>
    </xdr:from>
    <xdr:to>
      <xdr:col>5</xdr:col>
      <xdr:colOff>53135</xdr:colOff>
      <xdr:row>19</xdr:row>
      <xdr:rowOff>230973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CxnSpPr/>
      </xdr:nvCxnSpPr>
      <xdr:spPr>
        <a:xfrm>
          <a:off x="4791073" y="7243754"/>
          <a:ext cx="1620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1602582</xdr:colOff>
      <xdr:row>18</xdr:row>
      <xdr:rowOff>138103</xdr:rowOff>
    </xdr:from>
    <xdr:ext cx="389081" cy="593304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4150520" y="6888947"/>
          <a:ext cx="389081" cy="593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3200"/>
            <a:t>=</a:t>
          </a:r>
        </a:p>
      </xdr:txBody>
    </xdr:sp>
    <xdr:clientData/>
  </xdr:oneCellAnchor>
  <xdr:oneCellAnchor>
    <xdr:from>
      <xdr:col>5</xdr:col>
      <xdr:colOff>147638</xdr:colOff>
      <xdr:row>18</xdr:row>
      <xdr:rowOff>135720</xdr:rowOff>
    </xdr:from>
    <xdr:ext cx="389081" cy="633413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6505576" y="6886564"/>
          <a:ext cx="389081" cy="6334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s-CO" sz="3200"/>
            <a:t>=</a:t>
          </a:r>
        </a:p>
      </xdr:txBody>
    </xdr:sp>
    <xdr:clientData/>
  </xdr:oneCellAnchor>
  <xdr:twoCellAnchor>
    <xdr:from>
      <xdr:col>7</xdr:col>
      <xdr:colOff>897733</xdr:colOff>
      <xdr:row>12</xdr:row>
      <xdr:rowOff>4754</xdr:rowOff>
    </xdr:from>
    <xdr:to>
      <xdr:col>8</xdr:col>
      <xdr:colOff>1302546</xdr:colOff>
      <xdr:row>12</xdr:row>
      <xdr:rowOff>4754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CxnSpPr/>
      </xdr:nvCxnSpPr>
      <xdr:spPr>
        <a:xfrm>
          <a:off x="7684296" y="5969785"/>
          <a:ext cx="139303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50004</xdr:colOff>
      <xdr:row>11</xdr:row>
      <xdr:rowOff>240497</xdr:rowOff>
    </xdr:from>
    <xdr:to>
      <xdr:col>9</xdr:col>
      <xdr:colOff>1670004</xdr:colOff>
      <xdr:row>11</xdr:row>
      <xdr:rowOff>240497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CxnSpPr/>
      </xdr:nvCxnSpPr>
      <xdr:spPr>
        <a:xfrm>
          <a:off x="9610723" y="5943591"/>
          <a:ext cx="1620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1504952</xdr:colOff>
      <xdr:row>10</xdr:row>
      <xdr:rowOff>147628</xdr:rowOff>
    </xdr:from>
    <xdr:ext cx="389081" cy="593304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/>
      </xdr:nvSpPr>
      <xdr:spPr>
        <a:xfrm>
          <a:off x="9279733" y="5588784"/>
          <a:ext cx="389081" cy="593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3200"/>
            <a:t>=</a:t>
          </a:r>
        </a:p>
      </xdr:txBody>
    </xdr:sp>
    <xdr:clientData/>
  </xdr:oneCellAnchor>
  <xdr:oneCellAnchor>
    <xdr:from>
      <xdr:col>10</xdr:col>
      <xdr:colOff>50007</xdr:colOff>
      <xdr:row>10</xdr:row>
      <xdr:rowOff>145245</xdr:rowOff>
    </xdr:from>
    <xdr:ext cx="389081" cy="633413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/>
      </xdr:nvSpPr>
      <xdr:spPr>
        <a:xfrm>
          <a:off x="11325226" y="5586401"/>
          <a:ext cx="389081" cy="6334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s-CO" sz="3200"/>
            <a:t>=</a:t>
          </a:r>
        </a:p>
      </xdr:txBody>
    </xdr:sp>
    <xdr:clientData/>
  </xdr:oneCellAnchor>
  <xdr:twoCellAnchor>
    <xdr:from>
      <xdr:col>7</xdr:col>
      <xdr:colOff>978695</xdr:colOff>
      <xdr:row>17</xdr:row>
      <xdr:rowOff>26184</xdr:rowOff>
    </xdr:from>
    <xdr:to>
      <xdr:col>8</xdr:col>
      <xdr:colOff>1383508</xdr:colOff>
      <xdr:row>17</xdr:row>
      <xdr:rowOff>26184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CxnSpPr/>
      </xdr:nvCxnSpPr>
      <xdr:spPr>
        <a:xfrm>
          <a:off x="7765258" y="7300903"/>
          <a:ext cx="139303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130966</xdr:colOff>
      <xdr:row>16</xdr:row>
      <xdr:rowOff>261928</xdr:rowOff>
    </xdr:from>
    <xdr:to>
      <xdr:col>10</xdr:col>
      <xdr:colOff>36466</xdr:colOff>
      <xdr:row>16</xdr:row>
      <xdr:rowOff>261928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CxnSpPr/>
      </xdr:nvCxnSpPr>
      <xdr:spPr>
        <a:xfrm>
          <a:off x="9691685" y="7274709"/>
          <a:ext cx="1620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1657352</xdr:colOff>
      <xdr:row>15</xdr:row>
      <xdr:rowOff>180964</xdr:rowOff>
    </xdr:from>
    <xdr:ext cx="389081" cy="593304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/>
      </xdr:nvSpPr>
      <xdr:spPr>
        <a:xfrm>
          <a:off x="9432133" y="6312683"/>
          <a:ext cx="389081" cy="593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3200"/>
            <a:t>=</a:t>
          </a:r>
        </a:p>
      </xdr:txBody>
    </xdr:sp>
    <xdr:clientData/>
  </xdr:oneCellAnchor>
  <xdr:oneCellAnchor>
    <xdr:from>
      <xdr:col>10</xdr:col>
      <xdr:colOff>130969</xdr:colOff>
      <xdr:row>15</xdr:row>
      <xdr:rowOff>166675</xdr:rowOff>
    </xdr:from>
    <xdr:ext cx="389081" cy="633413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 txBox="1"/>
      </xdr:nvSpPr>
      <xdr:spPr>
        <a:xfrm>
          <a:off x="11406188" y="6917519"/>
          <a:ext cx="389081" cy="6334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s-CO" sz="3200"/>
            <a:t>=</a:t>
          </a:r>
        </a:p>
      </xdr:txBody>
    </xdr:sp>
    <xdr:clientData/>
  </xdr:oneCellAnchor>
  <xdr:twoCellAnchor editAs="oneCell">
    <xdr:from>
      <xdr:col>9</xdr:col>
      <xdr:colOff>1595439</xdr:colOff>
      <xdr:row>1</xdr:row>
      <xdr:rowOff>23813</xdr:rowOff>
    </xdr:from>
    <xdr:to>
      <xdr:col>13</xdr:col>
      <xdr:colOff>80301</xdr:colOff>
      <xdr:row>8</xdr:row>
      <xdr:rowOff>95250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70470" y="190501"/>
          <a:ext cx="2068644" cy="1369218"/>
        </a:xfrm>
        <a:prstGeom prst="rect">
          <a:avLst/>
        </a:prstGeom>
      </xdr:spPr>
    </xdr:pic>
    <xdr:clientData/>
  </xdr:twoCellAnchor>
  <xdr:oneCellAnchor>
    <xdr:from>
      <xdr:col>12</xdr:col>
      <xdr:colOff>134728</xdr:colOff>
      <xdr:row>1</xdr:row>
      <xdr:rowOff>0</xdr:rowOff>
    </xdr:from>
    <xdr:ext cx="521369" cy="280737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13350666" y="1983959"/>
          <a:ext cx="521369" cy="2807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s-CO" sz="1100">
              <a:solidFill>
                <a:schemeClr val="bg1"/>
              </a:solidFill>
            </a:rPr>
            <a:t>Tablero</a:t>
          </a:r>
          <a:br>
            <a:rPr lang="es-CO" sz="1100">
              <a:solidFill>
                <a:schemeClr val="bg1"/>
              </a:solidFill>
            </a:rPr>
          </a:br>
          <a:r>
            <a:rPr lang="es-CO" sz="1100" baseline="0">
              <a:solidFill>
                <a:schemeClr val="bg1"/>
              </a:solidFill>
            </a:rPr>
            <a:t> </a:t>
          </a:r>
          <a:endParaRPr lang="es-CO" sz="1100">
            <a:solidFill>
              <a:schemeClr val="bg1"/>
            </a:solidFill>
          </a:endParaRPr>
        </a:p>
      </xdr:txBody>
    </xdr:sp>
    <xdr:clientData/>
  </xdr:oneCellAnchor>
  <xdr:twoCellAnchor>
    <xdr:from>
      <xdr:col>11</xdr:col>
      <xdr:colOff>464344</xdr:colOff>
      <xdr:row>21</xdr:row>
      <xdr:rowOff>95250</xdr:rowOff>
    </xdr:from>
    <xdr:to>
      <xdr:col>13</xdr:col>
      <xdr:colOff>535780</xdr:colOff>
      <xdr:row>24</xdr:row>
      <xdr:rowOff>0</xdr:rowOff>
    </xdr:to>
    <xdr:sp macro="[0]!Hexágono56_Haga_clic_en" textlink="">
      <xdr:nvSpPr>
        <xdr:cNvPr id="57" name="Hexágono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/>
      </xdr:nvSpPr>
      <xdr:spPr>
        <a:xfrm>
          <a:off x="13049250" y="7631906"/>
          <a:ext cx="845343" cy="404813"/>
        </a:xfrm>
        <a:prstGeom prst="hexagon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400" b="1"/>
            <a:t>Menú</a:t>
          </a:r>
        </a:p>
      </xdr:txBody>
    </xdr:sp>
    <xdr:clientData/>
  </xdr:twoCellAnchor>
  <xdr:twoCellAnchor>
    <xdr:from>
      <xdr:col>9</xdr:col>
      <xdr:colOff>1071562</xdr:colOff>
      <xdr:row>21</xdr:row>
      <xdr:rowOff>130968</xdr:rowOff>
    </xdr:from>
    <xdr:to>
      <xdr:col>11</xdr:col>
      <xdr:colOff>535780</xdr:colOff>
      <xdr:row>23</xdr:row>
      <xdr:rowOff>119061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pSpPr/>
      </xdr:nvGrpSpPr>
      <xdr:grpSpPr>
        <a:xfrm>
          <a:off x="10846593" y="5000624"/>
          <a:ext cx="2274093" cy="321468"/>
          <a:chOff x="10191749" y="7691437"/>
          <a:chExt cx="2274093" cy="321468"/>
        </a:xfrm>
      </xdr:grpSpPr>
      <xdr:sp macro="[0]!Pentágono1_Haga_clic_en" textlink="">
        <xdr:nvSpPr>
          <xdr:cNvPr id="2" name="Pentágono 1">
            <a:extLst>
              <a:ext uri="{FF2B5EF4-FFF2-40B4-BE49-F238E27FC236}">
                <a16:creationId xmlns:a16="http://schemas.microsoft.com/office/drawing/2014/main" id="{00000000-0008-0000-0200-000002000000}"/>
              </a:ext>
            </a:extLst>
          </xdr:cNvPr>
          <xdr:cNvSpPr/>
        </xdr:nvSpPr>
        <xdr:spPr>
          <a:xfrm rot="10800000">
            <a:off x="10191749" y="7703343"/>
            <a:ext cx="2035969" cy="309562"/>
          </a:xfrm>
          <a:prstGeom prst="homePlate">
            <a:avLst/>
          </a:prstGeom>
          <a:solidFill>
            <a:schemeClr val="accent6">
              <a:lumMod val="5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4" name="CuadroTexto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 txBox="1"/>
        </xdr:nvSpPr>
        <xdr:spPr>
          <a:xfrm>
            <a:off x="10489405" y="7691437"/>
            <a:ext cx="1976437" cy="26193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s-CO" sz="1400" b="1">
                <a:solidFill>
                  <a:schemeClr val="bg1"/>
                </a:solidFill>
              </a:rPr>
              <a:t>Cuadro</a:t>
            </a:r>
            <a:r>
              <a:rPr lang="es-CO" sz="1400" b="1" baseline="0">
                <a:solidFill>
                  <a:schemeClr val="bg1"/>
                </a:solidFill>
              </a:rPr>
              <a:t> de Mando</a:t>
            </a:r>
            <a:endParaRPr lang="es-CO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204507</xdr:colOff>
      <xdr:row>1</xdr:row>
      <xdr:rowOff>83344</xdr:rowOff>
    </xdr:from>
    <xdr:to>
      <xdr:col>2</xdr:col>
      <xdr:colOff>1785938</xdr:colOff>
      <xdr:row>6</xdr:row>
      <xdr:rowOff>165674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4632" y="250032"/>
          <a:ext cx="1581431" cy="1046736"/>
        </a:xfrm>
        <a:prstGeom prst="rect">
          <a:avLst/>
        </a:prstGeom>
      </xdr:spPr>
    </xdr:pic>
    <xdr:clientData/>
  </xdr:twoCellAnchor>
  <xdr:twoCellAnchor>
    <xdr:from>
      <xdr:col>12</xdr:col>
      <xdr:colOff>738188</xdr:colOff>
      <xdr:row>67</xdr:row>
      <xdr:rowOff>166685</xdr:rowOff>
    </xdr:from>
    <xdr:to>
      <xdr:col>14</xdr:col>
      <xdr:colOff>678656</xdr:colOff>
      <xdr:row>70</xdr:row>
      <xdr:rowOff>71436</xdr:rowOff>
    </xdr:to>
    <xdr:sp macro="[0]!Hexágono30_Haga_clic_en" textlink="">
      <xdr:nvSpPr>
        <xdr:cNvPr id="31" name="Hexágono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/>
      </xdr:nvSpPr>
      <xdr:spPr>
        <a:xfrm>
          <a:off x="13204032" y="7000873"/>
          <a:ext cx="845343" cy="404813"/>
        </a:xfrm>
        <a:prstGeom prst="hexagon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400" b="1"/>
            <a:t>Menú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114859</xdr:colOff>
      <xdr:row>26</xdr:row>
      <xdr:rowOff>154781</xdr:rowOff>
    </xdr:from>
    <xdr:to>
      <xdr:col>6</xdr:col>
      <xdr:colOff>359988</xdr:colOff>
      <xdr:row>52</xdr:row>
      <xdr:rowOff>107156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109257</xdr:colOff>
      <xdr:row>1</xdr:row>
      <xdr:rowOff>71439</xdr:rowOff>
    </xdr:from>
    <xdr:to>
      <xdr:col>2</xdr:col>
      <xdr:colOff>1643063</xdr:colOff>
      <xdr:row>6</xdr:row>
      <xdr:rowOff>122246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382" y="238127"/>
          <a:ext cx="1533806" cy="1015213"/>
        </a:xfrm>
        <a:prstGeom prst="rect">
          <a:avLst/>
        </a:prstGeom>
      </xdr:spPr>
    </xdr:pic>
    <xdr:clientData/>
  </xdr:twoCellAnchor>
  <xdr:twoCellAnchor>
    <xdr:from>
      <xdr:col>8</xdr:col>
      <xdr:colOff>560994</xdr:colOff>
      <xdr:row>38</xdr:row>
      <xdr:rowOff>1</xdr:rowOff>
    </xdr:from>
    <xdr:to>
      <xdr:col>11</xdr:col>
      <xdr:colOff>560294</xdr:colOff>
      <xdr:row>39</xdr:row>
      <xdr:rowOff>126766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9279170" y="6477001"/>
          <a:ext cx="2699918" cy="28364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 u="sng"/>
            <a:t>Cifras</a:t>
          </a:r>
          <a:r>
            <a:rPr lang="es-CO" sz="1100" u="sng" baseline="0"/>
            <a:t> representadas en Millones</a:t>
          </a:r>
          <a:endParaRPr lang="es-CO" sz="1100" u="sng"/>
        </a:p>
      </xdr:txBody>
    </xdr:sp>
    <xdr:clientData/>
  </xdr:twoCellAnchor>
  <xdr:twoCellAnchor>
    <xdr:from>
      <xdr:col>8</xdr:col>
      <xdr:colOff>19047</xdr:colOff>
      <xdr:row>28</xdr:row>
      <xdr:rowOff>102252</xdr:rowOff>
    </xdr:from>
    <xdr:to>
      <xdr:col>12</xdr:col>
      <xdr:colOff>572200</xdr:colOff>
      <xdr:row>30</xdr:row>
      <xdr:rowOff>207308</xdr:rowOff>
    </xdr:to>
    <xdr:sp macro="" textlink="">
      <xdr:nvSpPr>
        <xdr:cNvPr id="12" name="Pentágono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 rot="10800000">
          <a:off x="8696322" y="15532752"/>
          <a:ext cx="4248853" cy="428906"/>
        </a:xfrm>
        <a:prstGeom prst="homePlate">
          <a:avLst>
            <a:gd name="adj" fmla="val 60811"/>
          </a:avLst>
        </a:prstGeom>
        <a:noFill/>
        <a:ln w="12700">
          <a:prstDash val="dash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928688</xdr:colOff>
      <xdr:row>40</xdr:row>
      <xdr:rowOff>20310</xdr:rowOff>
    </xdr:from>
    <xdr:to>
      <xdr:col>14</xdr:col>
      <xdr:colOff>21012</xdr:colOff>
      <xdr:row>57</xdr:row>
      <xdr:rowOff>107953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7</xdr:col>
      <xdr:colOff>404812</xdr:colOff>
      <xdr:row>28</xdr:row>
      <xdr:rowOff>83344</xdr:rowOff>
    </xdr:from>
    <xdr:to>
      <xdr:col>7</xdr:col>
      <xdr:colOff>881000</xdr:colOff>
      <xdr:row>31</xdr:row>
      <xdr:rowOff>26129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8091487" y="15513844"/>
          <a:ext cx="476188" cy="504760"/>
        </a:xfrm>
        <a:prstGeom prst="rect">
          <a:avLst/>
        </a:prstGeom>
      </xdr:spPr>
    </xdr:pic>
    <xdr:clientData/>
  </xdr:twoCellAnchor>
  <xdr:oneCellAnchor>
    <xdr:from>
      <xdr:col>8</xdr:col>
      <xdr:colOff>285751</xdr:colOff>
      <xdr:row>28</xdr:row>
      <xdr:rowOff>142874</xdr:rowOff>
    </xdr:from>
    <xdr:ext cx="3747501" cy="342786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8963026" y="15573374"/>
          <a:ext cx="3747501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600" b="1"/>
            <a:t>$ Cumplimiento Presupuestal         </a:t>
          </a:r>
          <a:r>
            <a:rPr lang="es-CO" sz="1600" b="0"/>
            <a:t>-$1.562</a:t>
          </a:r>
        </a:p>
      </xdr:txBody>
    </xdr:sp>
    <xdr:clientData/>
  </xdr:oneCellAnchor>
  <xdr:twoCellAnchor>
    <xdr:from>
      <xdr:col>8</xdr:col>
      <xdr:colOff>52385</xdr:colOff>
      <xdr:row>33</xdr:row>
      <xdr:rowOff>28434</xdr:rowOff>
    </xdr:from>
    <xdr:to>
      <xdr:col>12</xdr:col>
      <xdr:colOff>605538</xdr:colOff>
      <xdr:row>35</xdr:row>
      <xdr:rowOff>73959</xdr:rowOff>
    </xdr:to>
    <xdr:sp macro="" textlink="">
      <xdr:nvSpPr>
        <xdr:cNvPr id="17" name="Pentágono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/>
      </xdr:nvSpPr>
      <xdr:spPr>
        <a:xfrm rot="10800000">
          <a:off x="8729660" y="16344759"/>
          <a:ext cx="4248853" cy="436050"/>
        </a:xfrm>
        <a:prstGeom prst="homePlate">
          <a:avLst>
            <a:gd name="adj" fmla="val 60811"/>
          </a:avLst>
        </a:prstGeom>
        <a:noFill/>
        <a:ln w="12700">
          <a:prstDash val="dash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402431</xdr:colOff>
      <xdr:row>32</xdr:row>
      <xdr:rowOff>140495</xdr:rowOff>
    </xdr:from>
    <xdr:to>
      <xdr:col>7</xdr:col>
      <xdr:colOff>878619</xdr:colOff>
      <xdr:row>35</xdr:row>
      <xdr:rowOff>95187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8089106" y="16294895"/>
          <a:ext cx="476188" cy="507141"/>
        </a:xfrm>
        <a:prstGeom prst="rect">
          <a:avLst/>
        </a:prstGeom>
      </xdr:spPr>
    </xdr:pic>
    <xdr:clientData/>
  </xdr:twoCellAnchor>
  <xdr:oneCellAnchor>
    <xdr:from>
      <xdr:col>8</xdr:col>
      <xdr:colOff>319089</xdr:colOff>
      <xdr:row>33</xdr:row>
      <xdr:rowOff>69056</xdr:rowOff>
    </xdr:from>
    <xdr:ext cx="3668953" cy="342786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/>
      </xdr:nvSpPr>
      <xdr:spPr>
        <a:xfrm>
          <a:off x="8996364" y="16385381"/>
          <a:ext cx="3668953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600" b="1"/>
            <a:t>% Cumplimiento Presupuestal         </a:t>
          </a:r>
          <a:r>
            <a:rPr lang="es-CO" sz="1600" b="0"/>
            <a:t>39.8%</a:t>
          </a:r>
        </a:p>
      </xdr:txBody>
    </xdr:sp>
    <xdr:clientData/>
  </xdr:oneCellAnchor>
  <xdr:twoCellAnchor>
    <xdr:from>
      <xdr:col>0</xdr:col>
      <xdr:colOff>588167</xdr:colOff>
      <xdr:row>69</xdr:row>
      <xdr:rowOff>76058</xdr:rowOff>
    </xdr:from>
    <xdr:to>
      <xdr:col>2</xdr:col>
      <xdr:colOff>3024187</xdr:colOff>
      <xdr:row>71</xdr:row>
      <xdr:rowOff>50145</xdr:rowOff>
    </xdr:to>
    <xdr:sp macro="" textlink="">
      <xdr:nvSpPr>
        <xdr:cNvPr id="26" name="Pentágono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/>
      </xdr:nvSpPr>
      <xdr:spPr>
        <a:xfrm>
          <a:off x="588167" y="22440758"/>
          <a:ext cx="3436145" cy="431287"/>
        </a:xfrm>
        <a:prstGeom prst="homePlate">
          <a:avLst>
            <a:gd name="adj" fmla="val 60811"/>
          </a:avLst>
        </a:prstGeom>
        <a:noFill/>
        <a:ln w="12700">
          <a:solidFill>
            <a:schemeClr val="accent4">
              <a:lumMod val="75000"/>
            </a:schemeClr>
          </a:solidFill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</xdr:col>
      <xdr:colOff>14286</xdr:colOff>
      <xdr:row>24</xdr:row>
      <xdr:rowOff>97489</xdr:rowOff>
    </xdr:from>
    <xdr:to>
      <xdr:col>2</xdr:col>
      <xdr:colOff>2440782</xdr:colOff>
      <xdr:row>26</xdr:row>
      <xdr:rowOff>71576</xdr:rowOff>
    </xdr:to>
    <xdr:sp macro="" textlink="">
      <xdr:nvSpPr>
        <xdr:cNvPr id="27" name="Pentágono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/>
      </xdr:nvSpPr>
      <xdr:spPr>
        <a:xfrm>
          <a:off x="614361" y="14746939"/>
          <a:ext cx="2826546" cy="431287"/>
        </a:xfrm>
        <a:prstGeom prst="homePlate">
          <a:avLst>
            <a:gd name="adj" fmla="val 60811"/>
          </a:avLst>
        </a:prstGeom>
        <a:noFill/>
        <a:ln w="12700">
          <a:solidFill>
            <a:schemeClr val="accent4">
              <a:lumMod val="75000"/>
            </a:schemeClr>
          </a:solidFill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14</xdr:col>
      <xdr:colOff>81244</xdr:colOff>
      <xdr:row>39</xdr:row>
      <xdr:rowOff>98754</xdr:rowOff>
    </xdr:from>
    <xdr:to>
      <xdr:col>14</xdr:col>
      <xdr:colOff>565876</xdr:colOff>
      <xdr:row>42</xdr:row>
      <xdr:rowOff>56368</xdr:rowOff>
    </xdr:to>
    <xdr:sp macro="" textlink="">
      <xdr:nvSpPr>
        <xdr:cNvPr id="47" name="Flecha derecha 4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/>
      </xdr:nvSpPr>
      <xdr:spPr>
        <a:xfrm rot="5400000">
          <a:off x="13433223" y="6704451"/>
          <a:ext cx="428261" cy="484632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738186</xdr:colOff>
      <xdr:row>78</xdr:row>
      <xdr:rowOff>71439</xdr:rowOff>
    </xdr:from>
    <xdr:to>
      <xdr:col>9</xdr:col>
      <xdr:colOff>647699</xdr:colOff>
      <xdr:row>97</xdr:row>
      <xdr:rowOff>135469</xdr:rowOff>
    </xdr:to>
    <xdr:graphicFrame macro="">
      <xdr:nvGraphicFramePr>
        <xdr:cNvPr id="28" name="Gráfico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559592</xdr:colOff>
      <xdr:row>103</xdr:row>
      <xdr:rowOff>11906</xdr:rowOff>
    </xdr:from>
    <xdr:to>
      <xdr:col>12</xdr:col>
      <xdr:colOff>716755</xdr:colOff>
      <xdr:row>123</xdr:row>
      <xdr:rowOff>11376</xdr:rowOff>
    </xdr:to>
    <xdr:graphicFrame macro="">
      <xdr:nvGraphicFramePr>
        <xdr:cNvPr id="30" name="Gráfico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881063</xdr:colOff>
      <xdr:row>73</xdr:row>
      <xdr:rowOff>71437</xdr:rowOff>
    </xdr:from>
    <xdr:to>
      <xdr:col>12</xdr:col>
      <xdr:colOff>388520</xdr:colOff>
      <xdr:row>83</xdr:row>
      <xdr:rowOff>35719</xdr:rowOff>
    </xdr:to>
    <xdr:sp macro="" textlink="">
      <xdr:nvSpPr>
        <xdr:cNvPr id="31" name="Rectángulo redondeado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/>
      </xdr:nvSpPr>
      <xdr:spPr>
        <a:xfrm>
          <a:off x="10370344" y="15430500"/>
          <a:ext cx="2436395" cy="1750219"/>
        </a:xfrm>
        <a:prstGeom prst="roundRect">
          <a:avLst/>
        </a:prstGeom>
        <a:noFill/>
        <a:ln>
          <a:prstDash val="lg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9</xdr:col>
      <xdr:colOff>1045870</xdr:colOff>
      <xdr:row>73</xdr:row>
      <xdr:rowOff>206164</xdr:rowOff>
    </xdr:from>
    <xdr:ext cx="2287881" cy="1936959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 txBox="1"/>
      </xdr:nvSpPr>
      <xdr:spPr>
        <a:xfrm>
          <a:off x="10535151" y="15565227"/>
          <a:ext cx="2287881" cy="19369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s-CO" sz="1600" b="1" i="1">
              <a:latin typeface="+mj-lt"/>
            </a:rPr>
            <a:t>Nota:</a:t>
          </a:r>
          <a:br>
            <a:rPr lang="es-CO" sz="1600" b="1" i="1">
              <a:latin typeface="+mj-lt"/>
            </a:rPr>
          </a:br>
          <a:r>
            <a:rPr lang="es-CO" sz="1600" b="1" i="1">
              <a:latin typeface="+mj-lt"/>
            </a:rPr>
            <a:t/>
          </a:r>
          <a:br>
            <a:rPr lang="es-CO" sz="1600" b="1" i="1">
              <a:latin typeface="+mj-lt"/>
            </a:rPr>
          </a:br>
          <a:r>
            <a:rPr lang="es-CO" sz="1600" b="0" i="1">
              <a:latin typeface="+mj-lt"/>
            </a:rPr>
            <a:t>Las cifras representadas</a:t>
          </a:r>
          <a:r>
            <a:rPr lang="es-CO" sz="1600" b="0" i="1" baseline="0">
              <a:latin typeface="+mj-lt"/>
            </a:rPr>
            <a:t> aplican para la </a:t>
          </a:r>
          <a:r>
            <a:rPr lang="es-CO" sz="1600" b="0" i="1">
              <a:latin typeface="+mj-lt"/>
            </a:rPr>
            <a:t>Tasa de uso y Alcoholimetría.</a:t>
          </a:r>
          <a:endParaRPr lang="es-CO" sz="1600" b="0">
            <a:solidFill>
              <a:schemeClr val="accent6">
                <a:lumMod val="50000"/>
              </a:schemeClr>
            </a:solidFill>
            <a:latin typeface="+mn-lt"/>
          </a:endParaRPr>
        </a:p>
      </xdr:txBody>
    </xdr:sp>
    <xdr:clientData/>
  </xdr:oneCellAnchor>
  <xdr:twoCellAnchor>
    <xdr:from>
      <xdr:col>2</xdr:col>
      <xdr:colOff>404812</xdr:colOff>
      <xdr:row>128</xdr:row>
      <xdr:rowOff>71437</xdr:rowOff>
    </xdr:from>
    <xdr:to>
      <xdr:col>11</xdr:col>
      <xdr:colOff>16670</xdr:colOff>
      <xdr:row>144</xdr:row>
      <xdr:rowOff>147637</xdr:rowOff>
    </xdr:to>
    <xdr:graphicFrame macro="">
      <xdr:nvGraphicFramePr>
        <xdr:cNvPr id="34" name="Gráfico 33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238125</xdr:colOff>
      <xdr:row>16</xdr:row>
      <xdr:rowOff>83346</xdr:rowOff>
    </xdr:from>
    <xdr:to>
      <xdr:col>14</xdr:col>
      <xdr:colOff>615601</xdr:colOff>
      <xdr:row>19</xdr:row>
      <xdr:rowOff>40960</xdr:rowOff>
    </xdr:to>
    <xdr:sp macro="" textlink="">
      <xdr:nvSpPr>
        <xdr:cNvPr id="46" name="Flecha derecha 4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/>
      </xdr:nvSpPr>
      <xdr:spPr>
        <a:xfrm rot="5400000">
          <a:off x="13521118" y="5457447"/>
          <a:ext cx="457677" cy="377476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181397</xdr:colOff>
      <xdr:row>93</xdr:row>
      <xdr:rowOff>141480</xdr:rowOff>
    </xdr:from>
    <xdr:to>
      <xdr:col>14</xdr:col>
      <xdr:colOff>668830</xdr:colOff>
      <xdr:row>96</xdr:row>
      <xdr:rowOff>99094</xdr:rowOff>
    </xdr:to>
    <xdr:sp macro="" textlink="">
      <xdr:nvSpPr>
        <xdr:cNvPr id="51" name="Flecha derecha 5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/>
      </xdr:nvSpPr>
      <xdr:spPr>
        <a:xfrm rot="5400000">
          <a:off x="13534777" y="15710482"/>
          <a:ext cx="428261" cy="487433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669551</xdr:colOff>
      <xdr:row>143</xdr:row>
      <xdr:rowOff>96651</xdr:rowOff>
    </xdr:from>
    <xdr:to>
      <xdr:col>14</xdr:col>
      <xdr:colOff>621927</xdr:colOff>
      <xdr:row>146</xdr:row>
      <xdr:rowOff>13306</xdr:rowOff>
    </xdr:to>
    <xdr:sp macro="[0]!Ingresos_Hexágono51_Haga_clic_en" textlink="">
      <xdr:nvSpPr>
        <xdr:cNvPr id="52" name="Hexágono 51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/>
      </xdr:nvSpPr>
      <xdr:spPr>
        <a:xfrm>
          <a:off x="13085669" y="23539357"/>
          <a:ext cx="860052" cy="387302"/>
        </a:xfrm>
        <a:prstGeom prst="hexagon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400" b="1"/>
            <a:t>Menú</a:t>
          </a:r>
        </a:p>
      </xdr:txBody>
    </xdr:sp>
    <xdr:clientData/>
  </xdr:twoCellAnchor>
  <xdr:twoCellAnchor>
    <xdr:from>
      <xdr:col>12</xdr:col>
      <xdr:colOff>605118</xdr:colOff>
      <xdr:row>69</xdr:row>
      <xdr:rowOff>22412</xdr:rowOff>
    </xdr:from>
    <xdr:to>
      <xdr:col>14</xdr:col>
      <xdr:colOff>557494</xdr:colOff>
      <xdr:row>70</xdr:row>
      <xdr:rowOff>252831</xdr:rowOff>
    </xdr:to>
    <xdr:sp macro="[0]!Ingresos_Hexágono51_Haga_clic_en" textlink="">
      <xdr:nvSpPr>
        <xdr:cNvPr id="23" name="Hexágono 22">
          <a:extLst>
            <a:ext uri="{FF2B5EF4-FFF2-40B4-BE49-F238E27FC236}">
              <a16:creationId xmlns:a16="http://schemas.microsoft.com/office/drawing/2014/main" id="{B2C4DE95-6CF5-4F45-810D-2BE928570881}"/>
            </a:ext>
          </a:extLst>
        </xdr:cNvPr>
        <xdr:cNvSpPr/>
      </xdr:nvSpPr>
      <xdr:spPr>
        <a:xfrm>
          <a:off x="13021236" y="11519647"/>
          <a:ext cx="860052" cy="387302"/>
        </a:xfrm>
        <a:prstGeom prst="hexagon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400" b="1"/>
            <a:t>Menú</a:t>
          </a:r>
        </a:p>
      </xdr:txBody>
    </xdr:sp>
    <xdr:clientData/>
  </xdr:twoCellAnchor>
  <xdr:twoCellAnchor>
    <xdr:from>
      <xdr:col>14</xdr:col>
      <xdr:colOff>22411</xdr:colOff>
      <xdr:row>138</xdr:row>
      <xdr:rowOff>100853</xdr:rowOff>
    </xdr:from>
    <xdr:to>
      <xdr:col>14</xdr:col>
      <xdr:colOff>509844</xdr:colOff>
      <xdr:row>141</xdr:row>
      <xdr:rowOff>58467</xdr:rowOff>
    </xdr:to>
    <xdr:sp macro="" textlink="">
      <xdr:nvSpPr>
        <xdr:cNvPr id="24" name="Flecha derecha 5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DB402923-1A20-4026-BBB9-72CB6FB11314}"/>
            </a:ext>
          </a:extLst>
        </xdr:cNvPr>
        <xdr:cNvSpPr/>
      </xdr:nvSpPr>
      <xdr:spPr>
        <a:xfrm rot="16200000">
          <a:off x="13375791" y="22729561"/>
          <a:ext cx="428261" cy="487433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728382</xdr:colOff>
      <xdr:row>2</xdr:row>
      <xdr:rowOff>33618</xdr:rowOff>
    </xdr:from>
    <xdr:to>
      <xdr:col>14</xdr:col>
      <xdr:colOff>680758</xdr:colOff>
      <xdr:row>4</xdr:row>
      <xdr:rowOff>17508</xdr:rowOff>
    </xdr:to>
    <xdr:sp macro="[0]!Ingresos_Hexágono51_Haga_clic_en" textlink="">
      <xdr:nvSpPr>
        <xdr:cNvPr id="25" name="Hexágono 24">
          <a:extLst>
            <a:ext uri="{FF2B5EF4-FFF2-40B4-BE49-F238E27FC236}">
              <a16:creationId xmlns:a16="http://schemas.microsoft.com/office/drawing/2014/main" id="{93C8BE44-33F5-4777-B593-0FC199445249}"/>
            </a:ext>
          </a:extLst>
        </xdr:cNvPr>
        <xdr:cNvSpPr/>
      </xdr:nvSpPr>
      <xdr:spPr>
        <a:xfrm>
          <a:off x="13144500" y="392206"/>
          <a:ext cx="860052" cy="387302"/>
        </a:xfrm>
        <a:prstGeom prst="hexagon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400" b="1"/>
            <a:t>Menú</a:t>
          </a:r>
        </a:p>
      </xdr:txBody>
    </xdr:sp>
    <xdr:clientData/>
  </xdr:twoCellAnchor>
  <xdr:twoCellAnchor>
    <xdr:from>
      <xdr:col>14</xdr:col>
      <xdr:colOff>100854</xdr:colOff>
      <xdr:row>33</xdr:row>
      <xdr:rowOff>0</xdr:rowOff>
    </xdr:from>
    <xdr:to>
      <xdr:col>14</xdr:col>
      <xdr:colOff>585486</xdr:colOff>
      <xdr:row>35</xdr:row>
      <xdr:rowOff>47261</xdr:rowOff>
    </xdr:to>
    <xdr:sp macro="" textlink="">
      <xdr:nvSpPr>
        <xdr:cNvPr id="33" name="Flecha derecha 4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8136F78C-E036-48EB-BAF0-5BB7962DBB3E}"/>
            </a:ext>
          </a:extLst>
        </xdr:cNvPr>
        <xdr:cNvSpPr/>
      </xdr:nvSpPr>
      <xdr:spPr>
        <a:xfrm rot="16200000">
          <a:off x="13452833" y="5597168"/>
          <a:ext cx="428261" cy="484632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168088</xdr:colOff>
      <xdr:row>88</xdr:row>
      <xdr:rowOff>123264</xdr:rowOff>
    </xdr:from>
    <xdr:to>
      <xdr:col>14</xdr:col>
      <xdr:colOff>655521</xdr:colOff>
      <xdr:row>91</xdr:row>
      <xdr:rowOff>13642</xdr:rowOff>
    </xdr:to>
    <xdr:sp macro="" textlink="">
      <xdr:nvSpPr>
        <xdr:cNvPr id="35" name="Flecha derecha 5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F57B471C-17E9-4A68-B03C-ABC4A5965FFA}"/>
            </a:ext>
          </a:extLst>
        </xdr:cNvPr>
        <xdr:cNvSpPr/>
      </xdr:nvSpPr>
      <xdr:spPr>
        <a:xfrm rot="16200000">
          <a:off x="13521468" y="14840619"/>
          <a:ext cx="428261" cy="487433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0.41205</cdr:x>
      <cdr:y>0.52571</cdr:y>
    </cdr:from>
    <cdr:to>
      <cdr:x>0.64819</cdr:x>
      <cdr:y>0.82336</cdr:y>
    </cdr:to>
    <cdr:sp macro="" textlink="">
      <cdr:nvSpPr>
        <cdr:cNvPr id="2" name="CuadroTexto 7"/>
        <cdr:cNvSpPr txBox="1"/>
      </cdr:nvSpPr>
      <cdr:spPr>
        <a:xfrm xmlns:a="http://schemas.openxmlformats.org/drawingml/2006/main">
          <a:off x="1916206" y="1523999"/>
          <a:ext cx="1098176" cy="862853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s-CO" sz="1600" b="1">
              <a:solidFill>
                <a:srgbClr val="002060"/>
              </a:solidFill>
            </a:rPr>
            <a:t>Variación</a:t>
          </a:r>
          <a:r>
            <a:rPr lang="es-CO" sz="1100" b="1" baseline="0">
              <a:solidFill>
                <a:srgbClr val="002060"/>
              </a:solidFill>
            </a:rPr>
            <a:t> </a:t>
          </a:r>
        </a:p>
        <a:p xmlns:a="http://schemas.openxmlformats.org/drawingml/2006/main">
          <a:r>
            <a:rPr lang="es-CO" sz="2000" b="1" baseline="0">
              <a:solidFill>
                <a:srgbClr val="002060"/>
              </a:solidFill>
            </a:rPr>
            <a:t>-45,7%</a:t>
          </a:r>
          <a:endParaRPr lang="es-CO" sz="2000" b="1">
            <a:solidFill>
              <a:srgbClr val="002060"/>
            </a:solidFill>
          </a:endParaRP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369091</xdr:colOff>
      <xdr:row>76</xdr:row>
      <xdr:rowOff>11906</xdr:rowOff>
    </xdr:from>
    <xdr:to>
      <xdr:col>3</xdr:col>
      <xdr:colOff>547685</xdr:colOff>
      <xdr:row>90</xdr:row>
      <xdr:rowOff>35717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133069</xdr:colOff>
      <xdr:row>1</xdr:row>
      <xdr:rowOff>83345</xdr:rowOff>
    </xdr:from>
    <xdr:to>
      <xdr:col>1</xdr:col>
      <xdr:colOff>1881187</xdr:colOff>
      <xdr:row>7</xdr:row>
      <xdr:rowOff>85503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194" y="250033"/>
          <a:ext cx="1748118" cy="1157064"/>
        </a:xfrm>
        <a:prstGeom prst="rect">
          <a:avLst/>
        </a:prstGeom>
      </xdr:spPr>
    </xdr:pic>
    <xdr:clientData/>
  </xdr:twoCellAnchor>
  <xdr:twoCellAnchor>
    <xdr:from>
      <xdr:col>6</xdr:col>
      <xdr:colOff>650077</xdr:colOff>
      <xdr:row>85</xdr:row>
      <xdr:rowOff>78439</xdr:rowOff>
    </xdr:from>
    <xdr:to>
      <xdr:col>11</xdr:col>
      <xdr:colOff>642936</xdr:colOff>
      <xdr:row>87</xdr:row>
      <xdr:rowOff>123964</xdr:rowOff>
    </xdr:to>
    <xdr:sp macro="" textlink="">
      <xdr:nvSpPr>
        <xdr:cNvPr id="20" name="Pentágono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/>
      </xdr:nvSpPr>
      <xdr:spPr>
        <a:xfrm rot="10800000">
          <a:off x="8341515" y="7603189"/>
          <a:ext cx="4683921" cy="438431"/>
        </a:xfrm>
        <a:prstGeom prst="homePlate">
          <a:avLst>
            <a:gd name="adj" fmla="val 60811"/>
          </a:avLst>
        </a:prstGeom>
        <a:noFill/>
        <a:ln w="12700">
          <a:prstDash val="dash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11906</xdr:colOff>
      <xdr:row>85</xdr:row>
      <xdr:rowOff>23813</xdr:rowOff>
    </xdr:from>
    <xdr:to>
      <xdr:col>6</xdr:col>
      <xdr:colOff>488094</xdr:colOff>
      <xdr:row>87</xdr:row>
      <xdr:rowOff>145192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703344" y="7548563"/>
          <a:ext cx="476188" cy="514285"/>
        </a:xfrm>
        <a:prstGeom prst="rect">
          <a:avLst/>
        </a:prstGeom>
      </xdr:spPr>
    </xdr:pic>
    <xdr:clientData/>
  </xdr:twoCellAnchor>
  <xdr:oneCellAnchor>
    <xdr:from>
      <xdr:col>6</xdr:col>
      <xdr:colOff>916782</xdr:colOff>
      <xdr:row>85</xdr:row>
      <xdr:rowOff>119062</xdr:rowOff>
    </xdr:from>
    <xdr:ext cx="3900748" cy="342786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/>
      </xdr:nvSpPr>
      <xdr:spPr>
        <a:xfrm>
          <a:off x="8608220" y="7643812"/>
          <a:ext cx="390074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600" b="1"/>
            <a:t>% Cumplimiento Presupuestal              </a:t>
          </a:r>
          <a:r>
            <a:rPr lang="es-CO" sz="1600" b="0"/>
            <a:t>45.9%</a:t>
          </a:r>
        </a:p>
      </xdr:txBody>
    </xdr:sp>
    <xdr:clientData/>
  </xdr:oneCellAnchor>
  <xdr:twoCellAnchor>
    <xdr:from>
      <xdr:col>6</xdr:col>
      <xdr:colOff>230974</xdr:colOff>
      <xdr:row>77</xdr:row>
      <xdr:rowOff>142875</xdr:rowOff>
    </xdr:from>
    <xdr:to>
      <xdr:col>11</xdr:col>
      <xdr:colOff>631029</xdr:colOff>
      <xdr:row>83</xdr:row>
      <xdr:rowOff>35717</xdr:rowOff>
    </xdr:to>
    <xdr:sp macro="" textlink="">
      <xdr:nvSpPr>
        <xdr:cNvPr id="23" name="Pentágono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/>
      </xdr:nvSpPr>
      <xdr:spPr>
        <a:xfrm rot="10800000">
          <a:off x="7922412" y="6274594"/>
          <a:ext cx="5091117" cy="952498"/>
        </a:xfrm>
        <a:prstGeom prst="homePlate">
          <a:avLst>
            <a:gd name="adj" fmla="val 60811"/>
          </a:avLst>
        </a:prstGeom>
        <a:noFill/>
        <a:ln w="12700">
          <a:prstDash val="dash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45244</xdr:colOff>
      <xdr:row>79</xdr:row>
      <xdr:rowOff>21431</xdr:rowOff>
    </xdr:from>
    <xdr:to>
      <xdr:col>5</xdr:col>
      <xdr:colOff>515478</xdr:colOff>
      <xdr:row>82</xdr:row>
      <xdr:rowOff>35653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284244" y="6546056"/>
          <a:ext cx="476188" cy="514285"/>
        </a:xfrm>
        <a:prstGeom prst="rect">
          <a:avLst/>
        </a:prstGeom>
      </xdr:spPr>
    </xdr:pic>
    <xdr:clientData/>
  </xdr:twoCellAnchor>
  <xdr:oneCellAnchor>
    <xdr:from>
      <xdr:col>9</xdr:col>
      <xdr:colOff>821530</xdr:colOff>
      <xdr:row>79</xdr:row>
      <xdr:rowOff>164306</xdr:rowOff>
    </xdr:from>
    <xdr:ext cx="1952626" cy="45482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 txBox="1"/>
      </xdr:nvSpPr>
      <xdr:spPr>
        <a:xfrm>
          <a:off x="11370468" y="6688931"/>
          <a:ext cx="1952626" cy="4548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s-CO" sz="1600" b="0">
              <a:solidFill>
                <a:schemeClr val="tx1"/>
              </a:solidFill>
              <a:latin typeface="+mn-lt"/>
              <a:ea typeface="+mn-ea"/>
              <a:cs typeface="+mn-cs"/>
            </a:rPr>
            <a:t>51.0% </a:t>
          </a:r>
          <a:r>
            <a:rPr lang="es-CO" sz="11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</a:t>
          </a:r>
          <a:r>
            <a:rPr lang="es-CO" sz="1600" b="0">
              <a:solidFill>
                <a:schemeClr val="tx1"/>
              </a:solidFill>
              <a:latin typeface="+mn-lt"/>
              <a:ea typeface="+mn-ea"/>
              <a:cs typeface="+mn-cs"/>
            </a:rPr>
            <a:t>34,14%</a:t>
          </a:r>
          <a:br>
            <a:rPr lang="es-CO" sz="1600" b="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es-CO" sz="1600" b="1"/>
            <a:t>     </a:t>
          </a:r>
          <a:endParaRPr lang="es-CO" sz="1600" b="0"/>
        </a:p>
      </xdr:txBody>
    </xdr:sp>
    <xdr:clientData/>
  </xdr:oneCellAnchor>
  <xdr:twoCellAnchor>
    <xdr:from>
      <xdr:col>0</xdr:col>
      <xdr:colOff>0</xdr:colOff>
      <xdr:row>74</xdr:row>
      <xdr:rowOff>76058</xdr:rowOff>
    </xdr:from>
    <xdr:to>
      <xdr:col>1</xdr:col>
      <xdr:colOff>3024187</xdr:colOff>
      <xdr:row>76</xdr:row>
      <xdr:rowOff>50145</xdr:rowOff>
    </xdr:to>
    <xdr:sp macro="" textlink="">
      <xdr:nvSpPr>
        <xdr:cNvPr id="26" name="Pentágono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/>
      </xdr:nvSpPr>
      <xdr:spPr>
        <a:xfrm>
          <a:off x="588167" y="22440758"/>
          <a:ext cx="3436145" cy="431287"/>
        </a:xfrm>
        <a:prstGeom prst="homePlate">
          <a:avLst>
            <a:gd name="adj" fmla="val 60811"/>
          </a:avLst>
        </a:prstGeom>
        <a:noFill/>
        <a:ln w="12700">
          <a:solidFill>
            <a:schemeClr val="accent4">
              <a:lumMod val="75000"/>
            </a:schemeClr>
          </a:solidFill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0</xdr:col>
      <xdr:colOff>26191</xdr:colOff>
      <xdr:row>118</xdr:row>
      <xdr:rowOff>109396</xdr:rowOff>
    </xdr:from>
    <xdr:to>
      <xdr:col>2</xdr:col>
      <xdr:colOff>452436</xdr:colOff>
      <xdr:row>120</xdr:row>
      <xdr:rowOff>83483</xdr:rowOff>
    </xdr:to>
    <xdr:sp macro="" textlink="">
      <xdr:nvSpPr>
        <xdr:cNvPr id="29" name="Pentágono 2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/>
      </xdr:nvSpPr>
      <xdr:spPr>
        <a:xfrm>
          <a:off x="626266" y="30113146"/>
          <a:ext cx="4045745" cy="431287"/>
        </a:xfrm>
        <a:prstGeom prst="homePlate">
          <a:avLst>
            <a:gd name="adj" fmla="val 60811"/>
          </a:avLst>
        </a:prstGeom>
        <a:noFill/>
        <a:ln w="12700">
          <a:solidFill>
            <a:schemeClr val="accent4">
              <a:lumMod val="75000"/>
            </a:schemeClr>
          </a:solidFill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13</xdr:col>
      <xdr:colOff>80203</xdr:colOff>
      <xdr:row>65</xdr:row>
      <xdr:rowOff>95248</xdr:rowOff>
    </xdr:from>
    <xdr:to>
      <xdr:col>13</xdr:col>
      <xdr:colOff>564835</xdr:colOff>
      <xdr:row>68</xdr:row>
      <xdr:rowOff>52863</xdr:rowOff>
    </xdr:to>
    <xdr:sp macro="" textlink="">
      <xdr:nvSpPr>
        <xdr:cNvPr id="40" name="Flecha derecha 3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/>
      </xdr:nvSpPr>
      <xdr:spPr>
        <a:xfrm rot="16200000">
          <a:off x="13378674" y="13247702"/>
          <a:ext cx="443390" cy="484632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69061</xdr:colOff>
      <xdr:row>94</xdr:row>
      <xdr:rowOff>114647</xdr:rowOff>
    </xdr:from>
    <xdr:to>
      <xdr:col>13</xdr:col>
      <xdr:colOff>553693</xdr:colOff>
      <xdr:row>97</xdr:row>
      <xdr:rowOff>72260</xdr:rowOff>
    </xdr:to>
    <xdr:sp macro="" textlink="">
      <xdr:nvSpPr>
        <xdr:cNvPr id="42" name="Flecha derecha 4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/>
      </xdr:nvSpPr>
      <xdr:spPr>
        <a:xfrm rot="5400000">
          <a:off x="13429445" y="6459107"/>
          <a:ext cx="433863" cy="484632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3083719</xdr:colOff>
      <xdr:row>89</xdr:row>
      <xdr:rowOff>142875</xdr:rowOff>
    </xdr:from>
    <xdr:to>
      <xdr:col>4</xdr:col>
      <xdr:colOff>247229</xdr:colOff>
      <xdr:row>91</xdr:row>
      <xdr:rowOff>64434</xdr:rowOff>
    </xdr:to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 txBox="1"/>
      </xdr:nvSpPr>
      <xdr:spPr>
        <a:xfrm>
          <a:off x="4083844" y="8393906"/>
          <a:ext cx="2307010" cy="25493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 u="sng"/>
            <a:t>Cifras</a:t>
          </a:r>
          <a:r>
            <a:rPr lang="es-CO" sz="1100" u="sng" baseline="0"/>
            <a:t> representadas en Millones</a:t>
          </a:r>
          <a:endParaRPr lang="es-CO" sz="1100" u="sng"/>
        </a:p>
      </xdr:txBody>
    </xdr:sp>
    <xdr:clientData/>
  </xdr:twoCellAnchor>
  <xdr:oneCellAnchor>
    <xdr:from>
      <xdr:col>10</xdr:col>
      <xdr:colOff>107156</xdr:colOff>
      <xdr:row>77</xdr:row>
      <xdr:rowOff>130968</xdr:rowOff>
    </xdr:from>
    <xdr:ext cx="600677" cy="342786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1489531" y="6262687"/>
          <a:ext cx="600677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600"/>
            <a:t>2020</a:t>
          </a:r>
        </a:p>
      </xdr:txBody>
    </xdr:sp>
    <xdr:clientData/>
  </xdr:oneCellAnchor>
  <xdr:oneCellAnchor>
    <xdr:from>
      <xdr:col>10</xdr:col>
      <xdr:colOff>890588</xdr:colOff>
      <xdr:row>77</xdr:row>
      <xdr:rowOff>128587</xdr:rowOff>
    </xdr:from>
    <xdr:ext cx="600677" cy="342786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 txBox="1"/>
      </xdr:nvSpPr>
      <xdr:spPr>
        <a:xfrm>
          <a:off x="12272963" y="6260306"/>
          <a:ext cx="600677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600"/>
            <a:t>2019</a:t>
          </a:r>
        </a:p>
      </xdr:txBody>
    </xdr:sp>
    <xdr:clientData/>
  </xdr:oneCellAnchor>
  <xdr:twoCellAnchor>
    <xdr:from>
      <xdr:col>10</xdr:col>
      <xdr:colOff>771525</xdr:colOff>
      <xdr:row>78</xdr:row>
      <xdr:rowOff>14230</xdr:rowOff>
    </xdr:from>
    <xdr:to>
      <xdr:col>10</xdr:col>
      <xdr:colOff>771525</xdr:colOff>
      <xdr:row>83</xdr:row>
      <xdr:rowOff>59531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>
          <a:off x="12153900" y="6312636"/>
          <a:ext cx="0" cy="93827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59530</xdr:colOff>
      <xdr:row>79</xdr:row>
      <xdr:rowOff>47625</xdr:rowOff>
    </xdr:from>
    <xdr:to>
      <xdr:col>11</xdr:col>
      <xdr:colOff>571405</xdr:colOff>
      <xdr:row>79</xdr:row>
      <xdr:rowOff>47625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CxnSpPr/>
      </xdr:nvCxnSpPr>
      <xdr:spPr>
        <a:xfrm>
          <a:off x="11441905" y="6572250"/>
          <a:ext cx="1512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507207</xdr:colOff>
      <xdr:row>78</xdr:row>
      <xdr:rowOff>126205</xdr:rowOff>
    </xdr:from>
    <xdr:ext cx="3159917" cy="593239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 txBox="1"/>
      </xdr:nvSpPr>
      <xdr:spPr>
        <a:xfrm>
          <a:off x="8198645" y="6424611"/>
          <a:ext cx="3159917" cy="593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s-CO" sz="1600" b="1"/>
            <a:t>% Participación Gastos de Personal </a:t>
          </a:r>
          <a:r>
            <a:rPr lang="es-CO" sz="1600" b="0">
              <a:solidFill>
                <a:schemeClr val="tx1"/>
              </a:solidFill>
              <a:latin typeface="+mn-lt"/>
              <a:ea typeface="+mn-ea"/>
              <a:cs typeface="+mn-cs"/>
            </a:rPr>
            <a:t/>
          </a:r>
          <a:br>
            <a:rPr lang="es-CO" sz="1600" b="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es-CO" sz="1600" b="1"/>
            <a:t>sobre Ingresos         </a:t>
          </a:r>
          <a:endParaRPr lang="es-CO" sz="1600" b="0"/>
        </a:p>
      </xdr:txBody>
    </xdr:sp>
    <xdr:clientData/>
  </xdr:oneCellAnchor>
  <xdr:twoCellAnchor editAs="oneCell">
    <xdr:from>
      <xdr:col>2</xdr:col>
      <xdr:colOff>676382</xdr:colOff>
      <xdr:row>92</xdr:row>
      <xdr:rowOff>35718</xdr:rowOff>
    </xdr:from>
    <xdr:to>
      <xdr:col>8</xdr:col>
      <xdr:colOff>740427</xdr:colOff>
      <xdr:row>109</xdr:row>
      <xdr:rowOff>78661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293742" y="6082488"/>
          <a:ext cx="5350955" cy="2836229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135</xdr:row>
      <xdr:rowOff>128480</xdr:rowOff>
    </xdr:from>
    <xdr:to>
      <xdr:col>7</xdr:col>
      <xdr:colOff>585391</xdr:colOff>
      <xdr:row>156</xdr:row>
      <xdr:rowOff>119064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262438" y="16201918"/>
          <a:ext cx="5072062" cy="3491021"/>
        </a:xfrm>
        <a:prstGeom prst="rect">
          <a:avLst/>
        </a:prstGeom>
      </xdr:spPr>
    </xdr:pic>
    <xdr:clientData/>
  </xdr:twoCellAnchor>
  <xdr:twoCellAnchor>
    <xdr:from>
      <xdr:col>1</xdr:col>
      <xdr:colOff>928689</xdr:colOff>
      <xdr:row>121</xdr:row>
      <xdr:rowOff>71438</xdr:rowOff>
    </xdr:from>
    <xdr:to>
      <xdr:col>10</xdr:col>
      <xdr:colOff>666751</xdr:colOff>
      <xdr:row>136</xdr:row>
      <xdr:rowOff>0</xdr:rowOff>
    </xdr:to>
    <xdr:graphicFrame macro="">
      <xdr:nvGraphicFramePr>
        <xdr:cNvPr id="38" name="Gráfico 3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109141</xdr:colOff>
      <xdr:row>5</xdr:row>
      <xdr:rowOff>130975</xdr:rowOff>
    </xdr:from>
    <xdr:to>
      <xdr:col>13</xdr:col>
      <xdr:colOff>496094</xdr:colOff>
      <xdr:row>8</xdr:row>
      <xdr:rowOff>5</xdr:rowOff>
    </xdr:to>
    <xdr:sp macro="" textlink="">
      <xdr:nvSpPr>
        <xdr:cNvPr id="60" name="Flecha derecha 5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/>
      </xdr:nvSpPr>
      <xdr:spPr>
        <a:xfrm rot="5400000">
          <a:off x="13450095" y="1077521"/>
          <a:ext cx="375046" cy="386953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712390</xdr:colOff>
      <xdr:row>136</xdr:row>
      <xdr:rowOff>23813</xdr:rowOff>
    </xdr:from>
    <xdr:to>
      <xdr:col>13</xdr:col>
      <xdr:colOff>664766</xdr:colOff>
      <xdr:row>138</xdr:row>
      <xdr:rowOff>99219</xdr:rowOff>
    </xdr:to>
    <xdr:sp macro="[0]!Hexágono61_Haga_clic_en" textlink="">
      <xdr:nvSpPr>
        <xdr:cNvPr id="62" name="Hexágono 61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/>
      </xdr:nvSpPr>
      <xdr:spPr>
        <a:xfrm>
          <a:off x="13144499" y="13279438"/>
          <a:ext cx="855267" cy="392906"/>
        </a:xfrm>
        <a:prstGeom prst="hexagon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400" b="1"/>
            <a:t>Menú</a:t>
          </a:r>
        </a:p>
      </xdr:txBody>
    </xdr:sp>
    <xdr:clientData/>
  </xdr:twoCellAnchor>
  <xdr:twoCellAnchor>
    <xdr:from>
      <xdr:col>13</xdr:col>
      <xdr:colOff>69454</xdr:colOff>
      <xdr:row>75</xdr:row>
      <xdr:rowOff>19844</xdr:rowOff>
    </xdr:from>
    <xdr:to>
      <xdr:col>13</xdr:col>
      <xdr:colOff>456407</xdr:colOff>
      <xdr:row>76</xdr:row>
      <xdr:rowOff>97229</xdr:rowOff>
    </xdr:to>
    <xdr:sp macro="" textlink="">
      <xdr:nvSpPr>
        <xdr:cNvPr id="28" name="Flecha derecha 5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DC55A29C-CCE3-4E50-9B41-951572632DC6}"/>
            </a:ext>
          </a:extLst>
        </xdr:cNvPr>
        <xdr:cNvSpPr/>
      </xdr:nvSpPr>
      <xdr:spPr>
        <a:xfrm rot="16200000">
          <a:off x="13410410" y="2980529"/>
          <a:ext cx="375041" cy="386953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39688</xdr:colOff>
      <xdr:row>118</xdr:row>
      <xdr:rowOff>138906</xdr:rowOff>
    </xdr:from>
    <xdr:to>
      <xdr:col>13</xdr:col>
      <xdr:colOff>426641</xdr:colOff>
      <xdr:row>120</xdr:row>
      <xdr:rowOff>136916</xdr:rowOff>
    </xdr:to>
    <xdr:sp macro="" textlink="">
      <xdr:nvSpPr>
        <xdr:cNvPr id="32" name="Flecha derecha 5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D8A896AA-5F13-4655-A380-74BA78CDBB81}"/>
            </a:ext>
          </a:extLst>
        </xdr:cNvPr>
        <xdr:cNvSpPr/>
      </xdr:nvSpPr>
      <xdr:spPr>
        <a:xfrm rot="16200000">
          <a:off x="13380644" y="10332638"/>
          <a:ext cx="375041" cy="386953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714375</xdr:colOff>
      <xdr:row>1</xdr:row>
      <xdr:rowOff>128984</xdr:rowOff>
    </xdr:from>
    <xdr:to>
      <xdr:col>13</xdr:col>
      <xdr:colOff>666751</xdr:colOff>
      <xdr:row>3</xdr:row>
      <xdr:rowOff>134937</xdr:rowOff>
    </xdr:to>
    <xdr:sp macro="[0]!Hexágono61_Haga_clic_en" textlink="">
      <xdr:nvSpPr>
        <xdr:cNvPr id="34" name="Hexágono 33">
          <a:extLst>
            <a:ext uri="{FF2B5EF4-FFF2-40B4-BE49-F238E27FC236}">
              <a16:creationId xmlns:a16="http://schemas.microsoft.com/office/drawing/2014/main" id="{61389D17-DA34-42AD-B8DC-E24F9B6F903B}"/>
            </a:ext>
          </a:extLst>
        </xdr:cNvPr>
        <xdr:cNvSpPr/>
      </xdr:nvSpPr>
      <xdr:spPr>
        <a:xfrm>
          <a:off x="13146484" y="297656"/>
          <a:ext cx="855267" cy="392906"/>
        </a:xfrm>
        <a:prstGeom prst="hexagon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400" b="1"/>
            <a:t>Menú</a:t>
          </a:r>
        </a:p>
      </xdr:txBody>
    </xdr:sp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0.46087</cdr:x>
      <cdr:y>0.49266</cdr:y>
    </cdr:from>
    <cdr:to>
      <cdr:x>0.67456</cdr:x>
      <cdr:y>0.66409</cdr:y>
    </cdr:to>
    <cdr:sp macro="" textlink="">
      <cdr:nvSpPr>
        <cdr:cNvPr id="3" name="CuadroTexto 7"/>
        <cdr:cNvSpPr txBox="1"/>
      </cdr:nvSpPr>
      <cdr:spPr>
        <a:xfrm xmlns:a="http://schemas.openxmlformats.org/drawingml/2006/main">
          <a:off x="2131238" y="1677593"/>
          <a:ext cx="988200" cy="583751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s-CO" sz="1400" b="1">
              <a:solidFill>
                <a:schemeClr val="accent6">
                  <a:lumMod val="75000"/>
                </a:schemeClr>
              </a:solidFill>
            </a:rPr>
            <a:t>Variación</a:t>
          </a:r>
          <a:r>
            <a:rPr lang="es-CO" sz="1400" b="1" baseline="0">
              <a:solidFill>
                <a:schemeClr val="accent6">
                  <a:lumMod val="75000"/>
                </a:schemeClr>
              </a:solidFill>
            </a:rPr>
            <a:t> </a:t>
          </a:r>
        </a:p>
        <a:p xmlns:a="http://schemas.openxmlformats.org/drawingml/2006/main">
          <a:r>
            <a:rPr lang="es-CO" sz="2000" b="1" baseline="0">
              <a:solidFill>
                <a:schemeClr val="accent6">
                  <a:lumMod val="75000"/>
                </a:schemeClr>
              </a:solidFill>
            </a:rPr>
            <a:t>-18,9%</a:t>
          </a:r>
          <a:endParaRPr lang="es-CO" sz="2000" b="1">
            <a:solidFill>
              <a:schemeClr val="accent6">
                <a:lumMod val="75000"/>
              </a:schemeClr>
            </a:solidFill>
          </a:endParaRP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61632</xdr:colOff>
      <xdr:row>2</xdr:row>
      <xdr:rowOff>83345</xdr:rowOff>
    </xdr:from>
    <xdr:to>
      <xdr:col>2</xdr:col>
      <xdr:colOff>1857375</xdr:colOff>
      <xdr:row>9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1757" y="416720"/>
          <a:ext cx="1795743" cy="1188587"/>
        </a:xfrm>
        <a:prstGeom prst="rect">
          <a:avLst/>
        </a:prstGeom>
      </xdr:spPr>
    </xdr:pic>
    <xdr:clientData/>
  </xdr:twoCellAnchor>
  <xdr:twoCellAnchor>
    <xdr:from>
      <xdr:col>1</xdr:col>
      <xdr:colOff>26191</xdr:colOff>
      <xdr:row>75</xdr:row>
      <xdr:rowOff>109396</xdr:rowOff>
    </xdr:from>
    <xdr:to>
      <xdr:col>3</xdr:col>
      <xdr:colOff>452436</xdr:colOff>
      <xdr:row>77</xdr:row>
      <xdr:rowOff>83483</xdr:rowOff>
    </xdr:to>
    <xdr:sp macro="" textlink="">
      <xdr:nvSpPr>
        <xdr:cNvPr id="29" name="Pentágono 28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/>
      </xdr:nvSpPr>
      <xdr:spPr>
        <a:xfrm>
          <a:off x="626266" y="30113146"/>
          <a:ext cx="4045745" cy="431287"/>
        </a:xfrm>
        <a:prstGeom prst="homePlate">
          <a:avLst>
            <a:gd name="adj" fmla="val 60811"/>
          </a:avLst>
        </a:prstGeom>
        <a:noFill/>
        <a:ln w="12700">
          <a:solidFill>
            <a:schemeClr val="accent4">
              <a:lumMod val="75000"/>
            </a:schemeClr>
          </a:solidFill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</xdr:col>
      <xdr:colOff>862010</xdr:colOff>
      <xdr:row>78</xdr:row>
      <xdr:rowOff>76061</xdr:rowOff>
    </xdr:from>
    <xdr:to>
      <xdr:col>12</xdr:col>
      <xdr:colOff>426945</xdr:colOff>
      <xdr:row>81</xdr:row>
      <xdr:rowOff>14429</xdr:rowOff>
    </xdr:to>
    <xdr:sp macro="" textlink="">
      <xdr:nvSpPr>
        <xdr:cNvPr id="30" name="Pentágono 29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/>
      </xdr:nvSpPr>
      <xdr:spPr>
        <a:xfrm rot="10800000">
          <a:off x="8548685" y="30698936"/>
          <a:ext cx="4251235" cy="424143"/>
        </a:xfrm>
        <a:prstGeom prst="homePlate">
          <a:avLst>
            <a:gd name="adj" fmla="val 60811"/>
          </a:avLst>
        </a:prstGeom>
        <a:noFill/>
        <a:ln w="12700">
          <a:prstDash val="dash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223838</xdr:colOff>
      <xdr:row>78</xdr:row>
      <xdr:rowOff>21434</xdr:rowOff>
    </xdr:from>
    <xdr:to>
      <xdr:col>7</xdr:col>
      <xdr:colOff>700026</xdr:colOff>
      <xdr:row>81</xdr:row>
      <xdr:rowOff>35656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910513" y="30644309"/>
          <a:ext cx="476188" cy="499997"/>
        </a:xfrm>
        <a:prstGeom prst="rect">
          <a:avLst/>
        </a:prstGeom>
      </xdr:spPr>
    </xdr:pic>
    <xdr:clientData/>
  </xdr:twoCellAnchor>
  <xdr:oneCellAnchor>
    <xdr:from>
      <xdr:col>8</xdr:col>
      <xdr:colOff>140496</xdr:colOff>
      <xdr:row>78</xdr:row>
      <xdr:rowOff>116683</xdr:rowOff>
    </xdr:from>
    <xdr:ext cx="3900748" cy="342786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 txBox="1"/>
      </xdr:nvSpPr>
      <xdr:spPr>
        <a:xfrm>
          <a:off x="8817771" y="30739558"/>
          <a:ext cx="390074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600" b="1"/>
            <a:t>% Cumplimiento Presupuestal              </a:t>
          </a:r>
          <a:r>
            <a:rPr lang="es-CO" sz="1600" b="0"/>
            <a:t>89.9%</a:t>
          </a:r>
        </a:p>
      </xdr:txBody>
    </xdr:sp>
    <xdr:clientData/>
  </xdr:oneCellAnchor>
  <xdr:twoCellAnchor editAs="oneCell">
    <xdr:from>
      <xdr:col>7</xdr:col>
      <xdr:colOff>233363</xdr:colOff>
      <xdr:row>83</xdr:row>
      <xdr:rowOff>161927</xdr:rowOff>
    </xdr:from>
    <xdr:to>
      <xdr:col>7</xdr:col>
      <xdr:colOff>709551</xdr:colOff>
      <xdr:row>87</xdr:row>
      <xdr:rowOff>9462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920038" y="31661102"/>
          <a:ext cx="476188" cy="495235"/>
        </a:xfrm>
        <a:prstGeom prst="rect">
          <a:avLst/>
        </a:prstGeom>
      </xdr:spPr>
    </xdr:pic>
    <xdr:clientData/>
  </xdr:twoCellAnchor>
  <xdr:twoCellAnchor>
    <xdr:from>
      <xdr:col>7</xdr:col>
      <xdr:colOff>931066</xdr:colOff>
      <xdr:row>84</xdr:row>
      <xdr:rowOff>73683</xdr:rowOff>
    </xdr:from>
    <xdr:to>
      <xdr:col>12</xdr:col>
      <xdr:colOff>496001</xdr:colOff>
      <xdr:row>87</xdr:row>
      <xdr:rowOff>12051</xdr:rowOff>
    </xdr:to>
    <xdr:sp macro="" textlink="">
      <xdr:nvSpPr>
        <xdr:cNvPr id="34" name="Pentágono 33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/>
      </xdr:nvSpPr>
      <xdr:spPr>
        <a:xfrm rot="10800000">
          <a:off x="8617741" y="31734783"/>
          <a:ext cx="4251235" cy="424143"/>
        </a:xfrm>
        <a:prstGeom prst="homePlate">
          <a:avLst>
            <a:gd name="adj" fmla="val 60811"/>
          </a:avLst>
        </a:prstGeom>
        <a:noFill/>
        <a:ln w="12700">
          <a:prstDash val="dash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8</xdr:col>
      <xdr:colOff>209552</xdr:colOff>
      <xdr:row>84</xdr:row>
      <xdr:rowOff>114305</xdr:rowOff>
    </xdr:from>
    <xdr:ext cx="3673121" cy="342786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 txBox="1"/>
      </xdr:nvSpPr>
      <xdr:spPr>
        <a:xfrm>
          <a:off x="8886827" y="31775405"/>
          <a:ext cx="3673121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600" b="1"/>
            <a:t>$ Cumplimiento Presupuestal             </a:t>
          </a:r>
          <a:r>
            <a:rPr lang="es-CO" sz="1600" b="0"/>
            <a:t>-$78</a:t>
          </a:r>
        </a:p>
      </xdr:txBody>
    </xdr:sp>
    <xdr:clientData/>
  </xdr:oneCellAnchor>
  <xdr:twoCellAnchor editAs="oneCell">
    <xdr:from>
      <xdr:col>2</xdr:col>
      <xdr:colOff>380999</xdr:colOff>
      <xdr:row>79</xdr:row>
      <xdr:rowOff>119063</xdr:rowOff>
    </xdr:from>
    <xdr:to>
      <xdr:col>5</xdr:col>
      <xdr:colOff>904874</xdr:colOff>
      <xdr:row>100</xdr:row>
      <xdr:rowOff>86952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81124" y="30903863"/>
          <a:ext cx="5667375" cy="3501664"/>
        </a:xfrm>
        <a:prstGeom prst="rect">
          <a:avLst/>
        </a:prstGeom>
      </xdr:spPr>
    </xdr:pic>
    <xdr:clientData/>
  </xdr:twoCellAnchor>
  <xdr:twoCellAnchor>
    <xdr:from>
      <xdr:col>1</xdr:col>
      <xdr:colOff>11904</xdr:colOff>
      <xdr:row>120</xdr:row>
      <xdr:rowOff>66534</xdr:rowOff>
    </xdr:from>
    <xdr:to>
      <xdr:col>2</xdr:col>
      <xdr:colOff>2714625</xdr:colOff>
      <xdr:row>122</xdr:row>
      <xdr:rowOff>69197</xdr:rowOff>
    </xdr:to>
    <xdr:sp macro="" textlink="">
      <xdr:nvSpPr>
        <xdr:cNvPr id="37" name="Pentágono 36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/>
      </xdr:nvSpPr>
      <xdr:spPr>
        <a:xfrm>
          <a:off x="611979" y="37642659"/>
          <a:ext cx="3102771" cy="459863"/>
        </a:xfrm>
        <a:prstGeom prst="homePlate">
          <a:avLst>
            <a:gd name="adj" fmla="val 60811"/>
          </a:avLst>
        </a:prstGeom>
        <a:noFill/>
        <a:ln w="12700">
          <a:solidFill>
            <a:schemeClr val="accent4">
              <a:lumMod val="75000"/>
            </a:schemeClr>
          </a:solidFill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 editAs="oneCell">
    <xdr:from>
      <xdr:col>7</xdr:col>
      <xdr:colOff>857249</xdr:colOff>
      <xdr:row>89</xdr:row>
      <xdr:rowOff>47626</xdr:rowOff>
    </xdr:from>
    <xdr:to>
      <xdr:col>12</xdr:col>
      <xdr:colOff>488156</xdr:colOff>
      <xdr:row>105</xdr:row>
      <xdr:rowOff>38122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08218" y="10001251"/>
          <a:ext cx="4321969" cy="2717027"/>
        </a:xfrm>
        <a:prstGeom prst="rect">
          <a:avLst/>
        </a:prstGeom>
      </xdr:spPr>
    </xdr:pic>
    <xdr:clientData/>
  </xdr:twoCellAnchor>
  <xdr:twoCellAnchor>
    <xdr:from>
      <xdr:col>14</xdr:col>
      <xdr:colOff>80203</xdr:colOff>
      <xdr:row>61</xdr:row>
      <xdr:rowOff>47625</xdr:rowOff>
    </xdr:from>
    <xdr:to>
      <xdr:col>14</xdr:col>
      <xdr:colOff>564835</xdr:colOff>
      <xdr:row>69</xdr:row>
      <xdr:rowOff>52863</xdr:rowOff>
    </xdr:to>
    <xdr:sp macro="" textlink="">
      <xdr:nvSpPr>
        <xdr:cNvPr id="40" name="Flecha derecha 39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/>
      </xdr:nvSpPr>
      <xdr:spPr>
        <a:xfrm rot="5400000">
          <a:off x="13458446" y="8553069"/>
          <a:ext cx="421957" cy="484632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42869</xdr:colOff>
      <xdr:row>85</xdr:row>
      <xdr:rowOff>78502</xdr:rowOff>
    </xdr:from>
    <xdr:to>
      <xdr:col>14</xdr:col>
      <xdr:colOff>527501</xdr:colOff>
      <xdr:row>88</xdr:row>
      <xdr:rowOff>36117</xdr:rowOff>
    </xdr:to>
    <xdr:sp macro="" textlink="">
      <xdr:nvSpPr>
        <xdr:cNvPr id="43" name="Flecha derecha 4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/>
      </xdr:nvSpPr>
      <xdr:spPr>
        <a:xfrm rot="5400000">
          <a:off x="13403252" y="9351900"/>
          <a:ext cx="457678" cy="484632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762000</xdr:colOff>
      <xdr:row>100</xdr:row>
      <xdr:rowOff>59532</xdr:rowOff>
    </xdr:from>
    <xdr:to>
      <xdr:col>6</xdr:col>
      <xdr:colOff>44823</xdr:colOff>
      <xdr:row>101</xdr:row>
      <xdr:rowOff>147778</xdr:rowOff>
    </xdr:to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 txBox="1"/>
      </xdr:nvSpPr>
      <xdr:spPr>
        <a:xfrm>
          <a:off x="4976813" y="17645063"/>
          <a:ext cx="2307010" cy="25493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 u="sng"/>
            <a:t>Cifras</a:t>
          </a:r>
          <a:r>
            <a:rPr lang="es-CO" sz="1100" u="sng" baseline="0"/>
            <a:t> representadas en Millones</a:t>
          </a:r>
          <a:endParaRPr lang="es-CO" sz="1100" u="sng"/>
        </a:p>
      </xdr:txBody>
    </xdr:sp>
    <xdr:clientData/>
  </xdr:twoCellAnchor>
  <xdr:twoCellAnchor>
    <xdr:from>
      <xdr:col>2</xdr:col>
      <xdr:colOff>738188</xdr:colOff>
      <xdr:row>125</xdr:row>
      <xdr:rowOff>142875</xdr:rowOff>
    </xdr:from>
    <xdr:to>
      <xdr:col>13</xdr:col>
      <xdr:colOff>1</xdr:colOff>
      <xdr:row>141</xdr:row>
      <xdr:rowOff>159544</xdr:rowOff>
    </xdr:to>
    <xdr:graphicFrame macro="">
      <xdr:nvGraphicFramePr>
        <xdr:cNvPr id="38" name="Gráfico 3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702468</xdr:colOff>
      <xdr:row>122</xdr:row>
      <xdr:rowOff>83344</xdr:rowOff>
    </xdr:from>
    <xdr:to>
      <xdr:col>14</xdr:col>
      <xdr:colOff>654844</xdr:colOff>
      <xdr:row>124</xdr:row>
      <xdr:rowOff>166686</xdr:rowOff>
    </xdr:to>
    <xdr:sp macro="[0]!Hexágono66_Haga_clic_en" textlink="">
      <xdr:nvSpPr>
        <xdr:cNvPr id="67" name="Hexágono 66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/>
      </xdr:nvSpPr>
      <xdr:spPr>
        <a:xfrm>
          <a:off x="13144499" y="15728157"/>
          <a:ext cx="857251" cy="416717"/>
        </a:xfrm>
        <a:prstGeom prst="hexagon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400" b="1"/>
            <a:t>Menú</a:t>
          </a:r>
        </a:p>
      </xdr:txBody>
    </xdr:sp>
    <xdr:clientData/>
  </xdr:twoCellAnchor>
  <xdr:twoCellAnchor>
    <xdr:from>
      <xdr:col>14</xdr:col>
      <xdr:colOff>0</xdr:colOff>
      <xdr:row>119</xdr:row>
      <xdr:rowOff>59532</xdr:rowOff>
    </xdr:from>
    <xdr:to>
      <xdr:col>14</xdr:col>
      <xdr:colOff>484632</xdr:colOff>
      <xdr:row>121</xdr:row>
      <xdr:rowOff>183835</xdr:rowOff>
    </xdr:to>
    <xdr:sp macro="" textlink="">
      <xdr:nvSpPr>
        <xdr:cNvPr id="19" name="Flecha derecha 4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B41CE6E-CD8E-4457-B86C-CDD193BDAA3B}"/>
            </a:ext>
          </a:extLst>
        </xdr:cNvPr>
        <xdr:cNvSpPr/>
      </xdr:nvSpPr>
      <xdr:spPr>
        <a:xfrm rot="16200000">
          <a:off x="13360383" y="15059836"/>
          <a:ext cx="457678" cy="484632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59531</xdr:colOff>
      <xdr:row>75</xdr:row>
      <xdr:rowOff>59531</xdr:rowOff>
    </xdr:from>
    <xdr:to>
      <xdr:col>14</xdr:col>
      <xdr:colOff>544163</xdr:colOff>
      <xdr:row>77</xdr:row>
      <xdr:rowOff>52865</xdr:rowOff>
    </xdr:to>
    <xdr:sp macro="" textlink="">
      <xdr:nvSpPr>
        <xdr:cNvPr id="20" name="Flecha derecha 4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B5D7328-0978-4279-B47F-4EB7EE3B16FC}"/>
            </a:ext>
          </a:extLst>
        </xdr:cNvPr>
        <xdr:cNvSpPr/>
      </xdr:nvSpPr>
      <xdr:spPr>
        <a:xfrm rot="16200000">
          <a:off x="13419914" y="7475554"/>
          <a:ext cx="457678" cy="484632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571500</xdr:colOff>
      <xdr:row>3</xdr:row>
      <xdr:rowOff>0</xdr:rowOff>
    </xdr:from>
    <xdr:to>
      <xdr:col>14</xdr:col>
      <xdr:colOff>523876</xdr:colOff>
      <xdr:row>5</xdr:row>
      <xdr:rowOff>11904</xdr:rowOff>
    </xdr:to>
    <xdr:sp macro="[0]!Hexágono66_Haga_clic_en" textlink="">
      <xdr:nvSpPr>
        <xdr:cNvPr id="21" name="Hexágono 20">
          <a:extLst>
            <a:ext uri="{FF2B5EF4-FFF2-40B4-BE49-F238E27FC236}">
              <a16:creationId xmlns:a16="http://schemas.microsoft.com/office/drawing/2014/main" id="{7B709412-25AE-4944-BB5A-915F43BB4A46}"/>
            </a:ext>
          </a:extLst>
        </xdr:cNvPr>
        <xdr:cNvSpPr/>
      </xdr:nvSpPr>
      <xdr:spPr>
        <a:xfrm>
          <a:off x="13013531" y="523875"/>
          <a:ext cx="857251" cy="416717"/>
        </a:xfrm>
        <a:prstGeom prst="hexagon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400" b="1"/>
            <a:t>Menú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14286</xdr:colOff>
      <xdr:row>3</xdr:row>
      <xdr:rowOff>97489</xdr:rowOff>
    </xdr:from>
    <xdr:to>
      <xdr:col>2</xdr:col>
      <xdr:colOff>2440782</xdr:colOff>
      <xdr:row>5</xdr:row>
      <xdr:rowOff>71576</xdr:rowOff>
    </xdr:to>
    <xdr:sp macro="" textlink="">
      <xdr:nvSpPr>
        <xdr:cNvPr id="27" name="Pentágono 26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/>
      </xdr:nvSpPr>
      <xdr:spPr>
        <a:xfrm>
          <a:off x="614361" y="14746939"/>
          <a:ext cx="2826546" cy="431287"/>
        </a:xfrm>
        <a:prstGeom prst="homePlate">
          <a:avLst>
            <a:gd name="adj" fmla="val 60811"/>
          </a:avLst>
        </a:prstGeom>
        <a:noFill/>
        <a:ln w="12700">
          <a:solidFill>
            <a:schemeClr val="accent4">
              <a:lumMod val="75000"/>
            </a:schemeClr>
          </a:solidFill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</xdr:col>
      <xdr:colOff>333373</xdr:colOff>
      <xdr:row>11</xdr:row>
      <xdr:rowOff>154781</xdr:rowOff>
    </xdr:from>
    <xdr:to>
      <xdr:col>2</xdr:col>
      <xdr:colOff>1908561</xdr:colOff>
      <xdr:row>11</xdr:row>
      <xdr:rowOff>154781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CxnSpPr/>
      </xdr:nvCxnSpPr>
      <xdr:spPr>
        <a:xfrm>
          <a:off x="928686" y="5381625"/>
          <a:ext cx="1980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319085</xdr:colOff>
      <xdr:row>17</xdr:row>
      <xdr:rowOff>307177</xdr:rowOff>
    </xdr:from>
    <xdr:to>
      <xdr:col>2</xdr:col>
      <xdr:colOff>1894273</xdr:colOff>
      <xdr:row>17</xdr:row>
      <xdr:rowOff>307177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CxnSpPr/>
      </xdr:nvCxnSpPr>
      <xdr:spPr>
        <a:xfrm>
          <a:off x="914398" y="7439021"/>
          <a:ext cx="253959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142857</xdr:colOff>
      <xdr:row>11</xdr:row>
      <xdr:rowOff>142878</xdr:rowOff>
    </xdr:from>
    <xdr:to>
      <xdr:col>5</xdr:col>
      <xdr:colOff>122607</xdr:colOff>
      <xdr:row>11</xdr:row>
      <xdr:rowOff>142878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CxnSpPr/>
      </xdr:nvCxnSpPr>
      <xdr:spPr>
        <a:xfrm>
          <a:off x="4357670" y="5119691"/>
          <a:ext cx="1980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116667</xdr:colOff>
      <xdr:row>17</xdr:row>
      <xdr:rowOff>295272</xdr:rowOff>
    </xdr:from>
    <xdr:to>
      <xdr:col>5</xdr:col>
      <xdr:colOff>96417</xdr:colOff>
      <xdr:row>17</xdr:row>
      <xdr:rowOff>295272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CxnSpPr/>
      </xdr:nvCxnSpPr>
      <xdr:spPr>
        <a:xfrm>
          <a:off x="4891073" y="7427116"/>
          <a:ext cx="27896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642937</xdr:colOff>
      <xdr:row>1</xdr:row>
      <xdr:rowOff>95250</xdr:rowOff>
    </xdr:from>
    <xdr:to>
      <xdr:col>13</xdr:col>
      <xdr:colOff>248947</xdr:colOff>
      <xdr:row>6</xdr:row>
      <xdr:rowOff>130969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42031" y="261938"/>
          <a:ext cx="1511010" cy="1000125"/>
        </a:xfrm>
        <a:prstGeom prst="rect">
          <a:avLst/>
        </a:prstGeom>
      </xdr:spPr>
    </xdr:pic>
    <xdr:clientData/>
  </xdr:twoCellAnchor>
  <xdr:twoCellAnchor>
    <xdr:from>
      <xdr:col>5</xdr:col>
      <xdr:colOff>511970</xdr:colOff>
      <xdr:row>7</xdr:row>
      <xdr:rowOff>15476</xdr:rowOff>
    </xdr:from>
    <xdr:to>
      <xdr:col>13</xdr:col>
      <xdr:colOff>47625</xdr:colOff>
      <xdr:row>20</xdr:row>
      <xdr:rowOff>285749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404812</xdr:colOff>
      <xdr:row>19</xdr:row>
      <xdr:rowOff>95250</xdr:rowOff>
    </xdr:from>
    <xdr:to>
      <xdr:col>7</xdr:col>
      <xdr:colOff>631031</xdr:colOff>
      <xdr:row>20</xdr:row>
      <xdr:rowOff>59531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/>
      </xdr:nvSpPr>
      <xdr:spPr>
        <a:xfrm>
          <a:off x="9501187" y="7893844"/>
          <a:ext cx="226219" cy="95250"/>
        </a:xfrm>
        <a:prstGeom prst="rect">
          <a:avLst/>
        </a:prstGeom>
        <a:solidFill>
          <a:schemeClr val="accent6">
            <a:lumMod val="5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428625</xdr:colOff>
      <xdr:row>22</xdr:row>
      <xdr:rowOff>107156</xdr:rowOff>
    </xdr:from>
    <xdr:to>
      <xdr:col>13</xdr:col>
      <xdr:colOff>381001</xdr:colOff>
      <xdr:row>25</xdr:row>
      <xdr:rowOff>23811</xdr:rowOff>
    </xdr:to>
    <xdr:sp macro="[0]!Hexágono35_Haga_clic_en" textlink="">
      <xdr:nvSpPr>
        <xdr:cNvPr id="36" name="Hexágono 35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/>
      </xdr:nvSpPr>
      <xdr:spPr>
        <a:xfrm>
          <a:off x="13227844" y="8536781"/>
          <a:ext cx="857251" cy="416718"/>
        </a:xfrm>
        <a:prstGeom prst="hexagon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400" b="1"/>
            <a:t>Menú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1190626</xdr:colOff>
      <xdr:row>1</xdr:row>
      <xdr:rowOff>59532</xdr:rowOff>
    </xdr:from>
    <xdr:to>
      <xdr:col>11</xdr:col>
      <xdr:colOff>239875</xdr:colOff>
      <xdr:row>7</xdr:row>
      <xdr:rowOff>178593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27595" y="261938"/>
          <a:ext cx="1906749" cy="1262061"/>
        </a:xfrm>
        <a:prstGeom prst="rect">
          <a:avLst/>
        </a:prstGeom>
      </xdr:spPr>
    </xdr:pic>
    <xdr:clientData/>
  </xdr:twoCellAnchor>
  <xdr:twoCellAnchor>
    <xdr:from>
      <xdr:col>10</xdr:col>
      <xdr:colOff>892968</xdr:colOff>
      <xdr:row>56</xdr:row>
      <xdr:rowOff>136921</xdr:rowOff>
    </xdr:from>
    <xdr:to>
      <xdr:col>11</xdr:col>
      <xdr:colOff>535781</xdr:colOff>
      <xdr:row>58</xdr:row>
      <xdr:rowOff>184545</xdr:rowOff>
    </xdr:to>
    <xdr:sp macro="[0]!Hexágono1_Haga_clic_en" textlink="">
      <xdr:nvSpPr>
        <xdr:cNvPr id="2" name="Hexágon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12572999" y="12626577"/>
          <a:ext cx="857251" cy="416718"/>
        </a:xfrm>
        <a:prstGeom prst="hexagon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400" b="1"/>
            <a:t>Menú</a:t>
          </a:r>
        </a:p>
      </xdr:txBody>
    </xdr:sp>
    <xdr:clientData/>
  </xdr:twoCellAnchor>
  <xdr:twoCellAnchor>
    <xdr:from>
      <xdr:col>10</xdr:col>
      <xdr:colOff>1059656</xdr:colOff>
      <xdr:row>8</xdr:row>
      <xdr:rowOff>95250</xdr:rowOff>
    </xdr:from>
    <xdr:to>
      <xdr:col>11</xdr:col>
      <xdr:colOff>702469</xdr:colOff>
      <xdr:row>10</xdr:row>
      <xdr:rowOff>71436</xdr:rowOff>
    </xdr:to>
    <xdr:sp macro="[0]!Hexágono1_Haga_clic_en" textlink="">
      <xdr:nvSpPr>
        <xdr:cNvPr id="4" name="Hexágono 3">
          <a:extLst>
            <a:ext uri="{FF2B5EF4-FFF2-40B4-BE49-F238E27FC236}">
              <a16:creationId xmlns:a16="http://schemas.microsoft.com/office/drawing/2014/main" id="{68FCC2E7-6CE8-4967-B8AD-3EB7C2DBB135}"/>
            </a:ext>
          </a:extLst>
        </xdr:cNvPr>
        <xdr:cNvSpPr/>
      </xdr:nvSpPr>
      <xdr:spPr>
        <a:xfrm>
          <a:off x="12739687" y="1631156"/>
          <a:ext cx="857251" cy="416718"/>
        </a:xfrm>
        <a:prstGeom prst="hexagon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400" b="1"/>
            <a:t>Menú</a:t>
          </a:r>
        </a:p>
      </xdr:txBody>
    </xdr:sp>
    <xdr:clientData/>
  </xdr:twoCellAnchor>
  <xdr:twoCellAnchor>
    <xdr:from>
      <xdr:col>11</xdr:col>
      <xdr:colOff>0</xdr:colOff>
      <xdr:row>19</xdr:row>
      <xdr:rowOff>0</xdr:rowOff>
    </xdr:from>
    <xdr:to>
      <xdr:col>11</xdr:col>
      <xdr:colOff>487433</xdr:colOff>
      <xdr:row>20</xdr:row>
      <xdr:rowOff>225854</xdr:rowOff>
    </xdr:to>
    <xdr:sp macro="" textlink="">
      <xdr:nvSpPr>
        <xdr:cNvPr id="5" name="Flecha derecha 5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3E2BC6A-C45D-4DD9-BFBF-6BAB9A103284}"/>
            </a:ext>
          </a:extLst>
        </xdr:cNvPr>
        <xdr:cNvSpPr/>
      </xdr:nvSpPr>
      <xdr:spPr>
        <a:xfrm rot="5400000">
          <a:off x="12924055" y="3697070"/>
          <a:ext cx="428261" cy="487433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1071563</xdr:colOff>
      <xdr:row>51</xdr:row>
      <xdr:rowOff>130969</xdr:rowOff>
    </xdr:from>
    <xdr:to>
      <xdr:col>11</xdr:col>
      <xdr:colOff>344558</xdr:colOff>
      <xdr:row>53</xdr:row>
      <xdr:rowOff>71074</xdr:rowOff>
    </xdr:to>
    <xdr:sp macro="" textlink="">
      <xdr:nvSpPr>
        <xdr:cNvPr id="6" name="Flecha derecha 5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1173D5F-085A-410B-BBA4-02A66DF7B8D4}"/>
            </a:ext>
          </a:extLst>
        </xdr:cNvPr>
        <xdr:cNvSpPr/>
      </xdr:nvSpPr>
      <xdr:spPr>
        <a:xfrm rot="16200000">
          <a:off x="12781180" y="11245633"/>
          <a:ext cx="428261" cy="487433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750094</xdr:colOff>
      <xdr:row>1</xdr:row>
      <xdr:rowOff>71438</xdr:rowOff>
    </xdr:from>
    <xdr:to>
      <xdr:col>12</xdr:col>
      <xdr:colOff>401808</xdr:colOff>
      <xdr:row>7</xdr:row>
      <xdr:rowOff>101348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15875" y="238126"/>
          <a:ext cx="1628152" cy="1077660"/>
        </a:xfrm>
        <a:prstGeom prst="rect">
          <a:avLst/>
        </a:prstGeom>
      </xdr:spPr>
    </xdr:pic>
    <xdr:clientData/>
  </xdr:twoCellAnchor>
  <xdr:twoCellAnchor>
    <xdr:from>
      <xdr:col>1</xdr:col>
      <xdr:colOff>14286</xdr:colOff>
      <xdr:row>2</xdr:row>
      <xdr:rowOff>97489</xdr:rowOff>
    </xdr:from>
    <xdr:to>
      <xdr:col>3</xdr:col>
      <xdr:colOff>202406</xdr:colOff>
      <xdr:row>4</xdr:row>
      <xdr:rowOff>71576</xdr:rowOff>
    </xdr:to>
    <xdr:sp macro="" textlink="">
      <xdr:nvSpPr>
        <xdr:cNvPr id="27" name="Pentágono 26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/>
      </xdr:nvSpPr>
      <xdr:spPr>
        <a:xfrm>
          <a:off x="609599" y="15099364"/>
          <a:ext cx="3807620" cy="438431"/>
        </a:xfrm>
        <a:prstGeom prst="homePlate">
          <a:avLst>
            <a:gd name="adj" fmla="val 60811"/>
          </a:avLst>
        </a:prstGeom>
        <a:noFill/>
        <a:ln w="12700">
          <a:solidFill>
            <a:schemeClr val="accent4">
              <a:lumMod val="75000"/>
            </a:schemeClr>
          </a:solidFill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10</xdr:col>
      <xdr:colOff>821531</xdr:colOff>
      <xdr:row>29</xdr:row>
      <xdr:rowOff>0</xdr:rowOff>
    </xdr:from>
    <xdr:to>
      <xdr:col>12</xdr:col>
      <xdr:colOff>535782</xdr:colOff>
      <xdr:row>31</xdr:row>
      <xdr:rowOff>83343</xdr:rowOff>
    </xdr:to>
    <xdr:sp macro="[0]!Hexágono17_Haga_clic_en" textlink="">
      <xdr:nvSpPr>
        <xdr:cNvPr id="18" name="Hexágono 1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/>
      </xdr:nvSpPr>
      <xdr:spPr>
        <a:xfrm>
          <a:off x="13620750" y="8560594"/>
          <a:ext cx="857251" cy="416718"/>
        </a:xfrm>
        <a:prstGeom prst="hexagon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400" b="1"/>
            <a:t>Menú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490256</xdr:colOff>
      <xdr:row>1</xdr:row>
      <xdr:rowOff>71437</xdr:rowOff>
    </xdr:from>
    <xdr:to>
      <xdr:col>13</xdr:col>
      <xdr:colOff>95250</xdr:colOff>
      <xdr:row>9</xdr:row>
      <xdr:rowOff>63498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9194" y="238125"/>
          <a:ext cx="2200556" cy="1456529"/>
        </a:xfrm>
        <a:prstGeom prst="rect">
          <a:avLst/>
        </a:prstGeom>
      </xdr:spPr>
    </xdr:pic>
    <xdr:clientData/>
  </xdr:twoCellAnchor>
  <xdr:twoCellAnchor>
    <xdr:from>
      <xdr:col>1</xdr:col>
      <xdr:colOff>14286</xdr:colOff>
      <xdr:row>3</xdr:row>
      <xdr:rowOff>97489</xdr:rowOff>
    </xdr:from>
    <xdr:to>
      <xdr:col>2</xdr:col>
      <xdr:colOff>2786062</xdr:colOff>
      <xdr:row>5</xdr:row>
      <xdr:rowOff>71576</xdr:rowOff>
    </xdr:to>
    <xdr:sp macro="" textlink="">
      <xdr:nvSpPr>
        <xdr:cNvPr id="27" name="Pentágono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/>
      </xdr:nvSpPr>
      <xdr:spPr>
        <a:xfrm>
          <a:off x="609599" y="3431239"/>
          <a:ext cx="3176588" cy="438431"/>
        </a:xfrm>
        <a:prstGeom prst="homePlate">
          <a:avLst>
            <a:gd name="adj" fmla="val 60811"/>
          </a:avLst>
        </a:prstGeom>
        <a:noFill/>
        <a:ln w="12700">
          <a:solidFill>
            <a:schemeClr val="accent4">
              <a:lumMod val="75000"/>
            </a:schemeClr>
          </a:solidFill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</xdr:col>
      <xdr:colOff>225029</xdr:colOff>
      <xdr:row>10</xdr:row>
      <xdr:rowOff>142874</xdr:rowOff>
    </xdr:from>
    <xdr:to>
      <xdr:col>2</xdr:col>
      <xdr:colOff>405029</xdr:colOff>
      <xdr:row>11</xdr:row>
      <xdr:rowOff>156187</xdr:rowOff>
    </xdr:to>
    <xdr:sp macro="" textlink="">
      <xdr:nvSpPr>
        <xdr:cNvPr id="2" name="Elips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1225154" y="4845843"/>
          <a:ext cx="180000" cy="180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567929</xdr:colOff>
      <xdr:row>9</xdr:row>
      <xdr:rowOff>166687</xdr:rowOff>
    </xdr:from>
    <xdr:to>
      <xdr:col>10</xdr:col>
      <xdr:colOff>44053</xdr:colOff>
      <xdr:row>12</xdr:row>
      <xdr:rowOff>226218</xdr:rowOff>
    </xdr:to>
    <xdr:sp macro="" textlink="">
      <xdr:nvSpPr>
        <xdr:cNvPr id="3" name="Rectángulo redondeado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1568054" y="4631531"/>
          <a:ext cx="9024937" cy="631031"/>
        </a:xfrm>
        <a:prstGeom prst="roundRect">
          <a:avLst/>
        </a:prstGeom>
        <a:noFill/>
        <a:ln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2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Implementación protocolos bioseguridad- Emergencia sanitaria Covid - 19</a:t>
          </a:r>
        </a:p>
      </xdr:txBody>
    </xdr:sp>
    <xdr:clientData/>
  </xdr:twoCellAnchor>
  <xdr:twoCellAnchor>
    <xdr:from>
      <xdr:col>2</xdr:col>
      <xdr:colOff>225029</xdr:colOff>
      <xdr:row>13</xdr:row>
      <xdr:rowOff>309561</xdr:rowOff>
    </xdr:from>
    <xdr:to>
      <xdr:col>2</xdr:col>
      <xdr:colOff>405029</xdr:colOff>
      <xdr:row>14</xdr:row>
      <xdr:rowOff>168093</xdr:rowOff>
    </xdr:to>
    <xdr:sp macro="" textlink="">
      <xdr:nvSpPr>
        <xdr:cNvPr id="16" name="Elipse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/>
      </xdr:nvSpPr>
      <xdr:spPr>
        <a:xfrm>
          <a:off x="1225154" y="5667374"/>
          <a:ext cx="180000" cy="180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225029</xdr:colOff>
      <xdr:row>16</xdr:row>
      <xdr:rowOff>285749</xdr:rowOff>
    </xdr:from>
    <xdr:to>
      <xdr:col>2</xdr:col>
      <xdr:colOff>405029</xdr:colOff>
      <xdr:row>17</xdr:row>
      <xdr:rowOff>144280</xdr:rowOff>
    </xdr:to>
    <xdr:sp macro="" textlink="">
      <xdr:nvSpPr>
        <xdr:cNvPr id="18" name="Elipse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/>
      </xdr:nvSpPr>
      <xdr:spPr>
        <a:xfrm>
          <a:off x="1225154" y="6607968"/>
          <a:ext cx="180000" cy="180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225029</xdr:colOff>
      <xdr:row>20</xdr:row>
      <xdr:rowOff>9525</xdr:rowOff>
    </xdr:from>
    <xdr:to>
      <xdr:col>2</xdr:col>
      <xdr:colOff>405029</xdr:colOff>
      <xdr:row>20</xdr:row>
      <xdr:rowOff>189525</xdr:rowOff>
    </xdr:to>
    <xdr:sp macro="" textlink="">
      <xdr:nvSpPr>
        <xdr:cNvPr id="20" name="Elipse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/>
      </xdr:nvSpPr>
      <xdr:spPr>
        <a:xfrm>
          <a:off x="1225154" y="7593806"/>
          <a:ext cx="180000" cy="180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567929</xdr:colOff>
      <xdr:row>13</xdr:row>
      <xdr:rowOff>140494</xdr:rowOff>
    </xdr:from>
    <xdr:to>
      <xdr:col>10</xdr:col>
      <xdr:colOff>44053</xdr:colOff>
      <xdr:row>15</xdr:row>
      <xdr:rowOff>128588</xdr:rowOff>
    </xdr:to>
    <xdr:sp macro="" textlink="">
      <xdr:nvSpPr>
        <xdr:cNvPr id="23" name="Rectángulo redondeado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/>
      </xdr:nvSpPr>
      <xdr:spPr>
        <a:xfrm>
          <a:off x="1568054" y="5498307"/>
          <a:ext cx="9024937" cy="631031"/>
        </a:xfrm>
        <a:prstGeom prst="roundRect">
          <a:avLst/>
        </a:prstGeom>
        <a:noFill/>
        <a:ln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2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Deslizamiento material terreo - Época invernal</a:t>
          </a:r>
        </a:p>
      </xdr:txBody>
    </xdr:sp>
    <xdr:clientData/>
  </xdr:twoCellAnchor>
  <xdr:twoCellAnchor>
    <xdr:from>
      <xdr:col>2</xdr:col>
      <xdr:colOff>567929</xdr:colOff>
      <xdr:row>16</xdr:row>
      <xdr:rowOff>102395</xdr:rowOff>
    </xdr:from>
    <xdr:to>
      <xdr:col>10</xdr:col>
      <xdr:colOff>44053</xdr:colOff>
      <xdr:row>18</xdr:row>
      <xdr:rowOff>90489</xdr:rowOff>
    </xdr:to>
    <xdr:sp macro="" textlink="">
      <xdr:nvSpPr>
        <xdr:cNvPr id="24" name="Rectángulo redondeado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/>
      </xdr:nvSpPr>
      <xdr:spPr>
        <a:xfrm>
          <a:off x="1568054" y="6424614"/>
          <a:ext cx="9024937" cy="631031"/>
        </a:xfrm>
        <a:prstGeom prst="roundRect">
          <a:avLst/>
        </a:prstGeom>
        <a:noFill/>
        <a:ln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2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Refinanciación y solicitud año de gracia - Créditos Juriscoop</a:t>
          </a:r>
        </a:p>
      </xdr:txBody>
    </xdr:sp>
    <xdr:clientData/>
  </xdr:twoCellAnchor>
  <xdr:twoCellAnchor>
    <xdr:from>
      <xdr:col>2</xdr:col>
      <xdr:colOff>567929</xdr:colOff>
      <xdr:row>19</xdr:row>
      <xdr:rowOff>119063</xdr:rowOff>
    </xdr:from>
    <xdr:to>
      <xdr:col>10</xdr:col>
      <xdr:colOff>44053</xdr:colOff>
      <xdr:row>21</xdr:row>
      <xdr:rowOff>130969</xdr:rowOff>
    </xdr:to>
    <xdr:sp macro="" textlink="">
      <xdr:nvSpPr>
        <xdr:cNvPr id="25" name="Rectángulo redondeado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/>
      </xdr:nvSpPr>
      <xdr:spPr>
        <a:xfrm>
          <a:off x="1568054" y="7405688"/>
          <a:ext cx="9024937" cy="631031"/>
        </a:xfrm>
        <a:prstGeom prst="roundRect">
          <a:avLst/>
        </a:prstGeom>
        <a:noFill/>
        <a:ln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2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Licencias no remuneradas, optimización gastos de personal</a:t>
          </a:r>
        </a:p>
      </xdr:txBody>
    </xdr:sp>
    <xdr:clientData/>
  </xdr:twoCellAnchor>
  <xdr:twoCellAnchor>
    <xdr:from>
      <xdr:col>12</xdr:col>
      <xdr:colOff>381000</xdr:colOff>
      <xdr:row>23</xdr:row>
      <xdr:rowOff>47625</xdr:rowOff>
    </xdr:from>
    <xdr:to>
      <xdr:col>14</xdr:col>
      <xdr:colOff>333376</xdr:colOff>
      <xdr:row>25</xdr:row>
      <xdr:rowOff>130968</xdr:rowOff>
    </xdr:to>
    <xdr:sp macro="[0]!Hexágono37_Haga_clic_en" textlink="">
      <xdr:nvSpPr>
        <xdr:cNvPr id="38" name="Hexágono 3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/>
      </xdr:nvSpPr>
      <xdr:spPr>
        <a:xfrm>
          <a:off x="12763500" y="8286750"/>
          <a:ext cx="857251" cy="416718"/>
        </a:xfrm>
        <a:prstGeom prst="hexagon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400" b="1"/>
            <a:t>Menú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369091</xdr:colOff>
      <xdr:row>136</xdr:row>
      <xdr:rowOff>11906</xdr:rowOff>
    </xdr:from>
    <xdr:to>
      <xdr:col>4</xdr:col>
      <xdr:colOff>547685</xdr:colOff>
      <xdr:row>150</xdr:row>
      <xdr:rowOff>35717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159683</xdr:colOff>
      <xdr:row>91</xdr:row>
      <xdr:rowOff>154781</xdr:rowOff>
    </xdr:from>
    <xdr:to>
      <xdr:col>6</xdr:col>
      <xdr:colOff>404812</xdr:colOff>
      <xdr:row>117</xdr:row>
      <xdr:rowOff>107156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638735</xdr:colOff>
      <xdr:row>6</xdr:row>
      <xdr:rowOff>11207</xdr:rowOff>
    </xdr:from>
    <xdr:to>
      <xdr:col>5</xdr:col>
      <xdr:colOff>444873</xdr:colOff>
      <xdr:row>9</xdr:row>
      <xdr:rowOff>93010</xdr:rowOff>
    </xdr:to>
    <xdr:sp macro="" textlink="">
      <xdr:nvSpPr>
        <xdr:cNvPr id="4" name="Rectángulo redondeado 9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/>
      </xdr:nvSpPr>
      <xdr:spPr>
        <a:xfrm>
          <a:off x="4858310" y="1001807"/>
          <a:ext cx="1730188" cy="567578"/>
        </a:xfrm>
        <a:prstGeom prst="round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 u="sng"/>
            <a:t>Estado de Resultados </a:t>
          </a:r>
          <a:r>
            <a:rPr lang="es-CO" sz="1100" b="1" u="sng"/>
            <a:t>       </a:t>
          </a:r>
          <a:endParaRPr lang="es-CO" sz="1100" b="0"/>
        </a:p>
      </xdr:txBody>
    </xdr:sp>
    <xdr:clientData/>
  </xdr:twoCellAnchor>
  <xdr:twoCellAnchor editAs="oneCell">
    <xdr:from>
      <xdr:col>1</xdr:col>
      <xdr:colOff>156881</xdr:colOff>
      <xdr:row>1</xdr:row>
      <xdr:rowOff>33616</xdr:rowOff>
    </xdr:from>
    <xdr:to>
      <xdr:col>2</xdr:col>
      <xdr:colOff>3115235</xdr:colOff>
      <xdr:row>14</xdr:row>
      <xdr:rowOff>92730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956" y="205066"/>
          <a:ext cx="3358404" cy="2173664"/>
        </a:xfrm>
        <a:prstGeom prst="rect">
          <a:avLst/>
        </a:prstGeom>
      </xdr:spPr>
    </xdr:pic>
    <xdr:clientData/>
  </xdr:twoCellAnchor>
  <xdr:twoCellAnchor>
    <xdr:from>
      <xdr:col>5</xdr:col>
      <xdr:colOff>952500</xdr:colOff>
      <xdr:row>9</xdr:row>
      <xdr:rowOff>123265</xdr:rowOff>
    </xdr:from>
    <xdr:to>
      <xdr:col>7</xdr:col>
      <xdr:colOff>758639</xdr:colOff>
      <xdr:row>13</xdr:row>
      <xdr:rowOff>48185</xdr:rowOff>
    </xdr:to>
    <xdr:sp macro="" textlink="">
      <xdr:nvSpPr>
        <xdr:cNvPr id="6" name="Rectángulo redondeado 9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/>
      </xdr:nvSpPr>
      <xdr:spPr>
        <a:xfrm>
          <a:off x="7096125" y="1599640"/>
          <a:ext cx="1349189" cy="572620"/>
        </a:xfrm>
        <a:prstGeom prst="round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 u="sng"/>
            <a:t>Gastos</a:t>
          </a:r>
          <a:r>
            <a:rPr lang="es-CO" sz="1200" b="1" u="sng" baseline="0"/>
            <a:t> de personal</a:t>
          </a:r>
          <a:r>
            <a:rPr lang="es-CO" sz="1100" b="1" u="sng"/>
            <a:t>  </a:t>
          </a:r>
          <a:endParaRPr lang="es-CO" sz="1100" b="0"/>
        </a:p>
      </xdr:txBody>
    </xdr:sp>
    <xdr:clientData/>
  </xdr:twoCellAnchor>
  <xdr:twoCellAnchor>
    <xdr:from>
      <xdr:col>5</xdr:col>
      <xdr:colOff>959223</xdr:colOff>
      <xdr:row>2</xdr:row>
      <xdr:rowOff>129989</xdr:rowOff>
    </xdr:from>
    <xdr:to>
      <xdr:col>7</xdr:col>
      <xdr:colOff>765362</xdr:colOff>
      <xdr:row>6</xdr:row>
      <xdr:rowOff>54910</xdr:rowOff>
    </xdr:to>
    <xdr:sp macro="" textlink="">
      <xdr:nvSpPr>
        <xdr:cNvPr id="7" name="Rectángulo redondeado 9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/>
      </xdr:nvSpPr>
      <xdr:spPr>
        <a:xfrm>
          <a:off x="7102848" y="472889"/>
          <a:ext cx="1349189" cy="572621"/>
        </a:xfrm>
        <a:prstGeom prst="round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 u="sng"/>
            <a:t>Ingresos</a:t>
          </a:r>
          <a:endParaRPr lang="es-CO" sz="1100" b="0"/>
        </a:p>
      </xdr:txBody>
    </xdr:sp>
    <xdr:clientData/>
  </xdr:twoCellAnchor>
  <xdr:twoCellAnchor>
    <xdr:from>
      <xdr:col>8</xdr:col>
      <xdr:colOff>327212</xdr:colOff>
      <xdr:row>2</xdr:row>
      <xdr:rowOff>125506</xdr:rowOff>
    </xdr:from>
    <xdr:to>
      <xdr:col>10</xdr:col>
      <xdr:colOff>189380</xdr:colOff>
      <xdr:row>6</xdr:row>
      <xdr:rowOff>50427</xdr:rowOff>
    </xdr:to>
    <xdr:sp macro="" textlink="">
      <xdr:nvSpPr>
        <xdr:cNvPr id="8" name="Rectángulo redondeado 9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/>
      </xdr:nvSpPr>
      <xdr:spPr>
        <a:xfrm>
          <a:off x="9004487" y="468406"/>
          <a:ext cx="1729068" cy="572621"/>
        </a:xfrm>
        <a:prstGeom prst="round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 u="sng"/>
            <a:t>Gastos</a:t>
          </a:r>
          <a:r>
            <a:rPr lang="es-CO" sz="1200" b="1" u="sng" baseline="0"/>
            <a:t> de administracion</a:t>
          </a:r>
          <a:endParaRPr lang="es-CO" sz="1100" b="0"/>
        </a:p>
      </xdr:txBody>
    </xdr:sp>
    <xdr:clientData/>
  </xdr:twoCellAnchor>
  <xdr:twoCellAnchor>
    <xdr:from>
      <xdr:col>8</xdr:col>
      <xdr:colOff>356347</xdr:colOff>
      <xdr:row>9</xdr:row>
      <xdr:rowOff>98613</xdr:rowOff>
    </xdr:from>
    <xdr:to>
      <xdr:col>10</xdr:col>
      <xdr:colOff>218515</xdr:colOff>
      <xdr:row>13</xdr:row>
      <xdr:rowOff>23533</xdr:rowOff>
    </xdr:to>
    <xdr:sp macro="" textlink="">
      <xdr:nvSpPr>
        <xdr:cNvPr id="9" name="Rectángulo redondeado 9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/>
      </xdr:nvSpPr>
      <xdr:spPr>
        <a:xfrm>
          <a:off x="9033622" y="1574988"/>
          <a:ext cx="1729068" cy="572620"/>
        </a:xfrm>
        <a:prstGeom prst="round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 u="sng"/>
            <a:t>EBITDA</a:t>
          </a:r>
          <a:endParaRPr lang="es-CO" sz="1100" b="0"/>
        </a:p>
      </xdr:txBody>
    </xdr:sp>
    <xdr:clientData/>
  </xdr:twoCellAnchor>
  <xdr:twoCellAnchor>
    <xdr:from>
      <xdr:col>10</xdr:col>
      <xdr:colOff>739589</xdr:colOff>
      <xdr:row>5</xdr:row>
      <xdr:rowOff>134471</xdr:rowOff>
    </xdr:from>
    <xdr:to>
      <xdr:col>12</xdr:col>
      <xdr:colOff>680198</xdr:colOff>
      <xdr:row>9</xdr:row>
      <xdr:rowOff>59392</xdr:rowOff>
    </xdr:to>
    <xdr:sp macro="" textlink="">
      <xdr:nvSpPr>
        <xdr:cNvPr id="10" name="Rectángulo redondeado 9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/>
      </xdr:nvSpPr>
      <xdr:spPr>
        <a:xfrm>
          <a:off x="11283764" y="963146"/>
          <a:ext cx="1769409" cy="572621"/>
        </a:xfrm>
        <a:prstGeom prst="round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 u="sng" baseline="0"/>
            <a:t>Indicadores</a:t>
          </a:r>
          <a:endParaRPr lang="es-CO" sz="1100" b="0"/>
        </a:p>
      </xdr:txBody>
    </xdr:sp>
    <xdr:clientData/>
  </xdr:twoCellAnchor>
  <xdr:twoCellAnchor>
    <xdr:from>
      <xdr:col>3</xdr:col>
      <xdr:colOff>919582</xdr:colOff>
      <xdr:row>117</xdr:row>
      <xdr:rowOff>38519</xdr:rowOff>
    </xdr:from>
    <xdr:to>
      <xdr:col>6</xdr:col>
      <xdr:colOff>202405</xdr:colOff>
      <xdr:row>118</xdr:row>
      <xdr:rowOff>126765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/>
      </xdr:nvSpPr>
      <xdr:spPr>
        <a:xfrm>
          <a:off x="5139157" y="19631444"/>
          <a:ext cx="2302248" cy="25017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 u="sng"/>
            <a:t>Cifras</a:t>
          </a:r>
          <a:r>
            <a:rPr lang="es-CO" sz="1100" u="sng" baseline="0"/>
            <a:t> represantas en Millones</a:t>
          </a:r>
          <a:endParaRPr lang="es-CO" sz="1100" u="sng"/>
        </a:p>
      </xdr:txBody>
    </xdr:sp>
    <xdr:clientData/>
  </xdr:twoCellAnchor>
  <xdr:twoCellAnchor>
    <xdr:from>
      <xdr:col>8</xdr:col>
      <xdr:colOff>19047</xdr:colOff>
      <xdr:row>93</xdr:row>
      <xdr:rowOff>102252</xdr:rowOff>
    </xdr:from>
    <xdr:to>
      <xdr:col>12</xdr:col>
      <xdr:colOff>572200</xdr:colOff>
      <xdr:row>95</xdr:row>
      <xdr:rowOff>207308</xdr:rowOff>
    </xdr:to>
    <xdr:sp macro="" textlink="">
      <xdr:nvSpPr>
        <xdr:cNvPr id="12" name="Pentágono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/>
      </xdr:nvSpPr>
      <xdr:spPr>
        <a:xfrm rot="10800000">
          <a:off x="8696322" y="15532752"/>
          <a:ext cx="4248853" cy="428906"/>
        </a:xfrm>
        <a:prstGeom prst="homePlate">
          <a:avLst>
            <a:gd name="adj" fmla="val 60811"/>
          </a:avLst>
        </a:prstGeom>
        <a:noFill/>
        <a:ln w="12700">
          <a:prstDash val="dash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547688</xdr:colOff>
      <xdr:row>107</xdr:row>
      <xdr:rowOff>165987</xdr:rowOff>
    </xdr:from>
    <xdr:to>
      <xdr:col>12</xdr:col>
      <xdr:colOff>547688</xdr:colOff>
      <xdr:row>125</xdr:row>
      <xdr:rowOff>96747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</xdr:col>
      <xdr:colOff>3202782</xdr:colOff>
      <xdr:row>151</xdr:row>
      <xdr:rowOff>11906</xdr:rowOff>
    </xdr:from>
    <xdr:to>
      <xdr:col>5</xdr:col>
      <xdr:colOff>366292</xdr:colOff>
      <xdr:row>152</xdr:row>
      <xdr:rowOff>100153</xdr:rowOff>
    </xdr:to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/>
      </xdr:nvSpPr>
      <xdr:spPr>
        <a:xfrm>
          <a:off x="4202907" y="25396031"/>
          <a:ext cx="2307010" cy="2501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 u="sng"/>
            <a:t>Cifras</a:t>
          </a:r>
          <a:r>
            <a:rPr lang="es-CO" sz="1100" u="sng" baseline="0"/>
            <a:t> represantas en Millones</a:t>
          </a:r>
          <a:endParaRPr lang="es-CO" sz="1100" u="sng"/>
        </a:p>
      </xdr:txBody>
    </xdr:sp>
    <xdr:clientData/>
  </xdr:twoCellAnchor>
  <xdr:twoCellAnchor editAs="oneCell">
    <xdr:from>
      <xdr:col>7</xdr:col>
      <xdr:colOff>404812</xdr:colOff>
      <xdr:row>93</xdr:row>
      <xdr:rowOff>83344</xdr:rowOff>
    </xdr:from>
    <xdr:to>
      <xdr:col>7</xdr:col>
      <xdr:colOff>881000</xdr:colOff>
      <xdr:row>96</xdr:row>
      <xdr:rowOff>26129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8091487" y="15513844"/>
          <a:ext cx="476188" cy="504760"/>
        </a:xfrm>
        <a:prstGeom prst="rect">
          <a:avLst/>
        </a:prstGeom>
      </xdr:spPr>
    </xdr:pic>
    <xdr:clientData/>
  </xdr:twoCellAnchor>
  <xdr:oneCellAnchor>
    <xdr:from>
      <xdr:col>8</xdr:col>
      <xdr:colOff>285751</xdr:colOff>
      <xdr:row>93</xdr:row>
      <xdr:rowOff>142874</xdr:rowOff>
    </xdr:from>
    <xdr:ext cx="3747501" cy="342786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/>
      </xdr:nvSpPr>
      <xdr:spPr>
        <a:xfrm>
          <a:off x="8963026" y="15573374"/>
          <a:ext cx="3747501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600" b="1"/>
            <a:t>$ Cumplimiento Presupuestal         </a:t>
          </a:r>
          <a:r>
            <a:rPr lang="es-CO" sz="1600" b="0"/>
            <a:t>-$1.562</a:t>
          </a:r>
        </a:p>
      </xdr:txBody>
    </xdr:sp>
    <xdr:clientData/>
  </xdr:oneCellAnchor>
  <xdr:twoCellAnchor>
    <xdr:from>
      <xdr:col>8</xdr:col>
      <xdr:colOff>52385</xdr:colOff>
      <xdr:row>98</xdr:row>
      <xdr:rowOff>28434</xdr:rowOff>
    </xdr:from>
    <xdr:to>
      <xdr:col>12</xdr:col>
      <xdr:colOff>605538</xdr:colOff>
      <xdr:row>100</xdr:row>
      <xdr:rowOff>73959</xdr:rowOff>
    </xdr:to>
    <xdr:sp macro="" textlink="">
      <xdr:nvSpPr>
        <xdr:cNvPr id="17" name="Pentágono 16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/>
      </xdr:nvSpPr>
      <xdr:spPr>
        <a:xfrm rot="10800000">
          <a:off x="8729660" y="16344759"/>
          <a:ext cx="4248853" cy="436050"/>
        </a:xfrm>
        <a:prstGeom prst="homePlate">
          <a:avLst>
            <a:gd name="adj" fmla="val 60811"/>
          </a:avLst>
        </a:prstGeom>
        <a:noFill/>
        <a:ln w="12700">
          <a:prstDash val="dash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402431</xdr:colOff>
      <xdr:row>97</xdr:row>
      <xdr:rowOff>140495</xdr:rowOff>
    </xdr:from>
    <xdr:to>
      <xdr:col>7</xdr:col>
      <xdr:colOff>878619</xdr:colOff>
      <xdr:row>100</xdr:row>
      <xdr:rowOff>95186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8089106" y="16294895"/>
          <a:ext cx="476188" cy="507141"/>
        </a:xfrm>
        <a:prstGeom prst="rect">
          <a:avLst/>
        </a:prstGeom>
      </xdr:spPr>
    </xdr:pic>
    <xdr:clientData/>
  </xdr:twoCellAnchor>
  <xdr:oneCellAnchor>
    <xdr:from>
      <xdr:col>8</xdr:col>
      <xdr:colOff>319089</xdr:colOff>
      <xdr:row>98</xdr:row>
      <xdr:rowOff>69056</xdr:rowOff>
    </xdr:from>
    <xdr:ext cx="3668953" cy="342786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 txBox="1"/>
      </xdr:nvSpPr>
      <xdr:spPr>
        <a:xfrm>
          <a:off x="8996364" y="16385381"/>
          <a:ext cx="3668953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600" b="1"/>
            <a:t>% Cumplimiento Presupuestal         </a:t>
          </a:r>
          <a:r>
            <a:rPr lang="es-CO" sz="1600" b="0"/>
            <a:t>39.8%</a:t>
          </a:r>
        </a:p>
      </xdr:txBody>
    </xdr:sp>
    <xdr:clientData/>
  </xdr:oneCellAnchor>
  <xdr:twoCellAnchor>
    <xdr:from>
      <xdr:col>7</xdr:col>
      <xdr:colOff>828672</xdr:colOff>
      <xdr:row>139</xdr:row>
      <xdr:rowOff>137971</xdr:rowOff>
    </xdr:from>
    <xdr:to>
      <xdr:col>12</xdr:col>
      <xdr:colOff>393607</xdr:colOff>
      <xdr:row>142</xdr:row>
      <xdr:rowOff>76339</xdr:rowOff>
    </xdr:to>
    <xdr:sp macro="" textlink="">
      <xdr:nvSpPr>
        <xdr:cNvPr id="20" name="Pentágono 19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/>
      </xdr:nvSpPr>
      <xdr:spPr>
        <a:xfrm rot="10800000">
          <a:off x="8515347" y="23512321"/>
          <a:ext cx="4251235" cy="424143"/>
        </a:xfrm>
        <a:prstGeom prst="homePlate">
          <a:avLst>
            <a:gd name="adj" fmla="val 60811"/>
          </a:avLst>
        </a:prstGeom>
        <a:noFill/>
        <a:ln w="12700">
          <a:prstDash val="dash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190500</xdr:colOff>
      <xdr:row>139</xdr:row>
      <xdr:rowOff>83344</xdr:rowOff>
    </xdr:from>
    <xdr:to>
      <xdr:col>7</xdr:col>
      <xdr:colOff>666688</xdr:colOff>
      <xdr:row>142</xdr:row>
      <xdr:rowOff>97566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877175" y="23457694"/>
          <a:ext cx="476188" cy="499997"/>
        </a:xfrm>
        <a:prstGeom prst="rect">
          <a:avLst/>
        </a:prstGeom>
      </xdr:spPr>
    </xdr:pic>
    <xdr:clientData/>
  </xdr:twoCellAnchor>
  <xdr:oneCellAnchor>
    <xdr:from>
      <xdr:col>8</xdr:col>
      <xdr:colOff>107158</xdr:colOff>
      <xdr:row>140</xdr:row>
      <xdr:rowOff>11905</xdr:rowOff>
    </xdr:from>
    <xdr:ext cx="3900748" cy="342786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 txBox="1"/>
      </xdr:nvSpPr>
      <xdr:spPr>
        <a:xfrm>
          <a:off x="8784433" y="23548180"/>
          <a:ext cx="390074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600" b="1"/>
            <a:t>% Cumplimiento Presupuestal              </a:t>
          </a:r>
          <a:r>
            <a:rPr lang="es-CO" sz="1600" b="0"/>
            <a:t>45.9%</a:t>
          </a:r>
        </a:p>
      </xdr:txBody>
    </xdr:sp>
    <xdr:clientData/>
  </xdr:oneCellAnchor>
  <xdr:twoCellAnchor>
    <xdr:from>
      <xdr:col>7</xdr:col>
      <xdr:colOff>838196</xdr:colOff>
      <xdr:row>146</xdr:row>
      <xdr:rowOff>4619</xdr:rowOff>
    </xdr:from>
    <xdr:to>
      <xdr:col>12</xdr:col>
      <xdr:colOff>403131</xdr:colOff>
      <xdr:row>149</xdr:row>
      <xdr:rowOff>71436</xdr:rowOff>
    </xdr:to>
    <xdr:sp macro="" textlink="">
      <xdr:nvSpPr>
        <xdr:cNvPr id="23" name="Pentágono 22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/>
      </xdr:nvSpPr>
      <xdr:spPr>
        <a:xfrm rot="10800000">
          <a:off x="8524871" y="24512444"/>
          <a:ext cx="4251235" cy="619267"/>
        </a:xfrm>
        <a:prstGeom prst="homePlate">
          <a:avLst>
            <a:gd name="adj" fmla="val 60811"/>
          </a:avLst>
        </a:prstGeom>
        <a:noFill/>
        <a:ln w="12700">
          <a:prstDash val="dash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200025</xdr:colOff>
      <xdr:row>145</xdr:row>
      <xdr:rowOff>116681</xdr:rowOff>
    </xdr:from>
    <xdr:to>
      <xdr:col>7</xdr:col>
      <xdr:colOff>676213</xdr:colOff>
      <xdr:row>148</xdr:row>
      <xdr:rowOff>71372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886700" y="24462581"/>
          <a:ext cx="476188" cy="507141"/>
        </a:xfrm>
        <a:prstGeom prst="rect">
          <a:avLst/>
        </a:prstGeom>
      </xdr:spPr>
    </xdr:pic>
    <xdr:clientData/>
  </xdr:twoCellAnchor>
  <xdr:oneCellAnchor>
    <xdr:from>
      <xdr:col>8</xdr:col>
      <xdr:colOff>116684</xdr:colOff>
      <xdr:row>146</xdr:row>
      <xdr:rowOff>45242</xdr:rowOff>
    </xdr:from>
    <xdr:ext cx="4800598" cy="593239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 txBox="1"/>
      </xdr:nvSpPr>
      <xdr:spPr>
        <a:xfrm>
          <a:off x="8793959" y="24553067"/>
          <a:ext cx="4800598" cy="593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s-CO" sz="1600" b="1"/>
            <a:t>% Participación Gastos de Personal      </a:t>
          </a:r>
          <a:r>
            <a:rPr lang="es-CO" sz="1600" b="0">
              <a:solidFill>
                <a:schemeClr val="tx1"/>
              </a:solidFill>
              <a:latin typeface="+mn-lt"/>
              <a:ea typeface="+mn-ea"/>
              <a:cs typeface="+mn-cs"/>
            </a:rPr>
            <a:t>51.0</a:t>
          </a:r>
          <a:r>
            <a:rPr lang="es-CO" sz="11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%</a:t>
          </a:r>
          <a:r>
            <a:rPr lang="es-CO" sz="1600" b="1"/>
            <a:t/>
          </a:r>
          <a:br>
            <a:rPr lang="es-CO" sz="1600" b="1"/>
          </a:br>
          <a:r>
            <a:rPr lang="es-CO" sz="1600" b="1"/>
            <a:t>sobre Ingresos         </a:t>
          </a:r>
          <a:endParaRPr lang="es-CO" sz="1600" b="0"/>
        </a:p>
      </xdr:txBody>
    </xdr:sp>
    <xdr:clientData/>
  </xdr:oneCellAnchor>
  <xdr:twoCellAnchor>
    <xdr:from>
      <xdr:col>0</xdr:col>
      <xdr:colOff>588167</xdr:colOff>
      <xdr:row>134</xdr:row>
      <xdr:rowOff>76058</xdr:rowOff>
    </xdr:from>
    <xdr:to>
      <xdr:col>2</xdr:col>
      <xdr:colOff>3024187</xdr:colOff>
      <xdr:row>136</xdr:row>
      <xdr:rowOff>50145</xdr:rowOff>
    </xdr:to>
    <xdr:sp macro="" textlink="">
      <xdr:nvSpPr>
        <xdr:cNvPr id="26" name="Pentágono 25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SpPr/>
      </xdr:nvSpPr>
      <xdr:spPr>
        <a:xfrm>
          <a:off x="588167" y="22440758"/>
          <a:ext cx="3436145" cy="431287"/>
        </a:xfrm>
        <a:prstGeom prst="homePlate">
          <a:avLst>
            <a:gd name="adj" fmla="val 60811"/>
          </a:avLst>
        </a:prstGeom>
        <a:noFill/>
        <a:ln w="12700">
          <a:solidFill>
            <a:schemeClr val="accent4">
              <a:lumMod val="75000"/>
            </a:schemeClr>
          </a:solidFill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</xdr:col>
      <xdr:colOff>14286</xdr:colOff>
      <xdr:row>89</xdr:row>
      <xdr:rowOff>97489</xdr:rowOff>
    </xdr:from>
    <xdr:to>
      <xdr:col>2</xdr:col>
      <xdr:colOff>2440782</xdr:colOff>
      <xdr:row>91</xdr:row>
      <xdr:rowOff>71576</xdr:rowOff>
    </xdr:to>
    <xdr:sp macro="" textlink="">
      <xdr:nvSpPr>
        <xdr:cNvPr id="27" name="Pentágono 26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SpPr/>
      </xdr:nvSpPr>
      <xdr:spPr>
        <a:xfrm>
          <a:off x="614361" y="14746939"/>
          <a:ext cx="2826546" cy="431287"/>
        </a:xfrm>
        <a:prstGeom prst="homePlate">
          <a:avLst>
            <a:gd name="adj" fmla="val 60811"/>
          </a:avLst>
        </a:prstGeom>
        <a:noFill/>
        <a:ln w="12700">
          <a:solidFill>
            <a:schemeClr val="accent4">
              <a:lumMod val="75000"/>
            </a:schemeClr>
          </a:solidFill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 editAs="oneCell">
    <xdr:from>
      <xdr:col>3</xdr:col>
      <xdr:colOff>535780</xdr:colOff>
      <xdr:row>153</xdr:row>
      <xdr:rowOff>205374</xdr:rowOff>
    </xdr:from>
    <xdr:to>
      <xdr:col>9</xdr:col>
      <xdr:colOff>875556</xdr:colOff>
      <xdr:row>171</xdr:row>
      <xdr:rowOff>154779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755355" y="25913349"/>
          <a:ext cx="5569001" cy="2930730"/>
        </a:xfrm>
        <a:prstGeom prst="rect">
          <a:avLst/>
        </a:prstGeom>
      </xdr:spPr>
    </xdr:pic>
    <xdr:clientData/>
  </xdr:twoCellAnchor>
  <xdr:twoCellAnchor>
    <xdr:from>
      <xdr:col>1</xdr:col>
      <xdr:colOff>26191</xdr:colOff>
      <xdr:row>179</xdr:row>
      <xdr:rowOff>109396</xdr:rowOff>
    </xdr:from>
    <xdr:to>
      <xdr:col>3</xdr:col>
      <xdr:colOff>452436</xdr:colOff>
      <xdr:row>181</xdr:row>
      <xdr:rowOff>83483</xdr:rowOff>
    </xdr:to>
    <xdr:sp macro="" textlink="">
      <xdr:nvSpPr>
        <xdr:cNvPr id="29" name="Pentágono 28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SpPr/>
      </xdr:nvSpPr>
      <xdr:spPr>
        <a:xfrm>
          <a:off x="626266" y="30113146"/>
          <a:ext cx="4045745" cy="431287"/>
        </a:xfrm>
        <a:prstGeom prst="homePlate">
          <a:avLst>
            <a:gd name="adj" fmla="val 60811"/>
          </a:avLst>
        </a:prstGeom>
        <a:noFill/>
        <a:ln w="12700">
          <a:solidFill>
            <a:schemeClr val="accent4">
              <a:lumMod val="75000"/>
            </a:schemeClr>
          </a:solidFill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</xdr:col>
      <xdr:colOff>862010</xdr:colOff>
      <xdr:row>182</xdr:row>
      <xdr:rowOff>76061</xdr:rowOff>
    </xdr:from>
    <xdr:to>
      <xdr:col>12</xdr:col>
      <xdr:colOff>426945</xdr:colOff>
      <xdr:row>185</xdr:row>
      <xdr:rowOff>14429</xdr:rowOff>
    </xdr:to>
    <xdr:sp macro="" textlink="">
      <xdr:nvSpPr>
        <xdr:cNvPr id="30" name="Pentágono 29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SpPr/>
      </xdr:nvSpPr>
      <xdr:spPr>
        <a:xfrm rot="10800000">
          <a:off x="8548685" y="30698936"/>
          <a:ext cx="4251235" cy="424143"/>
        </a:xfrm>
        <a:prstGeom prst="homePlate">
          <a:avLst>
            <a:gd name="adj" fmla="val 60811"/>
          </a:avLst>
        </a:prstGeom>
        <a:noFill/>
        <a:ln w="12700">
          <a:prstDash val="dash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223838</xdr:colOff>
      <xdr:row>182</xdr:row>
      <xdr:rowOff>21434</xdr:rowOff>
    </xdr:from>
    <xdr:to>
      <xdr:col>7</xdr:col>
      <xdr:colOff>700026</xdr:colOff>
      <xdr:row>185</xdr:row>
      <xdr:rowOff>35656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910513" y="30644309"/>
          <a:ext cx="476188" cy="499997"/>
        </a:xfrm>
        <a:prstGeom prst="rect">
          <a:avLst/>
        </a:prstGeom>
      </xdr:spPr>
    </xdr:pic>
    <xdr:clientData/>
  </xdr:twoCellAnchor>
  <xdr:oneCellAnchor>
    <xdr:from>
      <xdr:col>8</xdr:col>
      <xdr:colOff>140496</xdr:colOff>
      <xdr:row>182</xdr:row>
      <xdr:rowOff>116683</xdr:rowOff>
    </xdr:from>
    <xdr:ext cx="3900748" cy="342786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0000000-0008-0000-0B00-000020000000}"/>
            </a:ext>
          </a:extLst>
        </xdr:cNvPr>
        <xdr:cNvSpPr txBox="1"/>
      </xdr:nvSpPr>
      <xdr:spPr>
        <a:xfrm>
          <a:off x="8817771" y="30739558"/>
          <a:ext cx="390074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600" b="1"/>
            <a:t>% Cumplimiento Presupuestal              </a:t>
          </a:r>
          <a:r>
            <a:rPr lang="es-CO" sz="1600" b="0"/>
            <a:t>89.9%</a:t>
          </a:r>
        </a:p>
      </xdr:txBody>
    </xdr:sp>
    <xdr:clientData/>
  </xdr:oneCellAnchor>
  <xdr:twoCellAnchor editAs="oneCell">
    <xdr:from>
      <xdr:col>7</xdr:col>
      <xdr:colOff>233363</xdr:colOff>
      <xdr:row>187</xdr:row>
      <xdr:rowOff>161927</xdr:rowOff>
    </xdr:from>
    <xdr:to>
      <xdr:col>7</xdr:col>
      <xdr:colOff>709551</xdr:colOff>
      <xdr:row>191</xdr:row>
      <xdr:rowOff>9462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0000000-0008-0000-0B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920038" y="31661102"/>
          <a:ext cx="476188" cy="495235"/>
        </a:xfrm>
        <a:prstGeom prst="rect">
          <a:avLst/>
        </a:prstGeom>
      </xdr:spPr>
    </xdr:pic>
    <xdr:clientData/>
  </xdr:twoCellAnchor>
  <xdr:twoCellAnchor>
    <xdr:from>
      <xdr:col>7</xdr:col>
      <xdr:colOff>931066</xdr:colOff>
      <xdr:row>188</xdr:row>
      <xdr:rowOff>73683</xdr:rowOff>
    </xdr:from>
    <xdr:to>
      <xdr:col>12</xdr:col>
      <xdr:colOff>496001</xdr:colOff>
      <xdr:row>191</xdr:row>
      <xdr:rowOff>12051</xdr:rowOff>
    </xdr:to>
    <xdr:sp macro="" textlink="">
      <xdr:nvSpPr>
        <xdr:cNvPr id="34" name="Pentágono 33">
          <a:extLst>
            <a:ext uri="{FF2B5EF4-FFF2-40B4-BE49-F238E27FC236}">
              <a16:creationId xmlns:a16="http://schemas.microsoft.com/office/drawing/2014/main" id="{00000000-0008-0000-0B00-000022000000}"/>
            </a:ext>
          </a:extLst>
        </xdr:cNvPr>
        <xdr:cNvSpPr/>
      </xdr:nvSpPr>
      <xdr:spPr>
        <a:xfrm rot="10800000">
          <a:off x="8617741" y="31734783"/>
          <a:ext cx="4251235" cy="424143"/>
        </a:xfrm>
        <a:prstGeom prst="homePlate">
          <a:avLst>
            <a:gd name="adj" fmla="val 60811"/>
          </a:avLst>
        </a:prstGeom>
        <a:noFill/>
        <a:ln w="12700">
          <a:prstDash val="dash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8</xdr:col>
      <xdr:colOff>209552</xdr:colOff>
      <xdr:row>188</xdr:row>
      <xdr:rowOff>114305</xdr:rowOff>
    </xdr:from>
    <xdr:ext cx="3673121" cy="342786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00000000-0008-0000-0B00-000023000000}"/>
            </a:ext>
          </a:extLst>
        </xdr:cNvPr>
        <xdr:cNvSpPr txBox="1"/>
      </xdr:nvSpPr>
      <xdr:spPr>
        <a:xfrm>
          <a:off x="8886827" y="31775405"/>
          <a:ext cx="3673121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600" b="1"/>
            <a:t>$ Cumplimiento Presupuestal             </a:t>
          </a:r>
          <a:r>
            <a:rPr lang="es-CO" sz="1600" b="0"/>
            <a:t>-$78</a:t>
          </a:r>
        </a:p>
      </xdr:txBody>
    </xdr:sp>
    <xdr:clientData/>
  </xdr:oneCellAnchor>
  <xdr:twoCellAnchor editAs="oneCell">
    <xdr:from>
      <xdr:col>2</xdr:col>
      <xdr:colOff>380999</xdr:colOff>
      <xdr:row>183</xdr:row>
      <xdr:rowOff>119063</xdr:rowOff>
    </xdr:from>
    <xdr:to>
      <xdr:col>5</xdr:col>
      <xdr:colOff>904874</xdr:colOff>
      <xdr:row>204</xdr:row>
      <xdr:rowOff>86952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00000000-0008-0000-0B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381124" y="30903863"/>
          <a:ext cx="5667375" cy="3501664"/>
        </a:xfrm>
        <a:prstGeom prst="rect">
          <a:avLst/>
        </a:prstGeom>
      </xdr:spPr>
    </xdr:pic>
    <xdr:clientData/>
  </xdr:twoCellAnchor>
  <xdr:twoCellAnchor>
    <xdr:from>
      <xdr:col>1</xdr:col>
      <xdr:colOff>11904</xdr:colOff>
      <xdr:row>224</xdr:row>
      <xdr:rowOff>66534</xdr:rowOff>
    </xdr:from>
    <xdr:to>
      <xdr:col>2</xdr:col>
      <xdr:colOff>2714625</xdr:colOff>
      <xdr:row>226</xdr:row>
      <xdr:rowOff>69197</xdr:rowOff>
    </xdr:to>
    <xdr:sp macro="" textlink="">
      <xdr:nvSpPr>
        <xdr:cNvPr id="37" name="Pentágono 36">
          <a:extLst>
            <a:ext uri="{FF2B5EF4-FFF2-40B4-BE49-F238E27FC236}">
              <a16:creationId xmlns:a16="http://schemas.microsoft.com/office/drawing/2014/main" id="{00000000-0008-0000-0B00-000025000000}"/>
            </a:ext>
          </a:extLst>
        </xdr:cNvPr>
        <xdr:cNvSpPr/>
      </xdr:nvSpPr>
      <xdr:spPr>
        <a:xfrm>
          <a:off x="611979" y="37642659"/>
          <a:ext cx="3102771" cy="459863"/>
        </a:xfrm>
        <a:prstGeom prst="homePlate">
          <a:avLst>
            <a:gd name="adj" fmla="val 60811"/>
          </a:avLst>
        </a:prstGeom>
        <a:noFill/>
        <a:ln w="12700">
          <a:solidFill>
            <a:schemeClr val="accent4">
              <a:lumMod val="75000"/>
            </a:schemeClr>
          </a:solidFill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</xdr:col>
      <xdr:colOff>45242</xdr:colOff>
      <xdr:row>269</xdr:row>
      <xdr:rowOff>87966</xdr:rowOff>
    </xdr:from>
    <xdr:to>
      <xdr:col>2</xdr:col>
      <xdr:colOff>2747963</xdr:colOff>
      <xdr:row>271</xdr:row>
      <xdr:rowOff>90628</xdr:rowOff>
    </xdr:to>
    <xdr:sp macro="" textlink="">
      <xdr:nvSpPr>
        <xdr:cNvPr id="38" name="Pentágono 37">
          <a:extLst>
            <a:ext uri="{FF2B5EF4-FFF2-40B4-BE49-F238E27FC236}">
              <a16:creationId xmlns:a16="http://schemas.microsoft.com/office/drawing/2014/main" id="{00000000-0008-0000-0B00-000026000000}"/>
            </a:ext>
          </a:extLst>
        </xdr:cNvPr>
        <xdr:cNvSpPr/>
      </xdr:nvSpPr>
      <xdr:spPr>
        <a:xfrm>
          <a:off x="645317" y="45236466"/>
          <a:ext cx="3102771" cy="459862"/>
        </a:xfrm>
        <a:prstGeom prst="homePlate">
          <a:avLst>
            <a:gd name="adj" fmla="val 60811"/>
          </a:avLst>
        </a:prstGeom>
        <a:noFill/>
        <a:ln w="12700">
          <a:solidFill>
            <a:schemeClr val="accent4">
              <a:lumMod val="75000"/>
            </a:schemeClr>
          </a:solidFill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 editAs="oneCell">
    <xdr:from>
      <xdr:col>7</xdr:col>
      <xdr:colOff>678656</xdr:colOff>
      <xdr:row>199</xdr:row>
      <xdr:rowOff>59532</xdr:rowOff>
    </xdr:from>
    <xdr:to>
      <xdr:col>12</xdr:col>
      <xdr:colOff>309563</xdr:colOff>
      <xdr:row>215</xdr:row>
      <xdr:rowOff>109559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00000000-0008-0000-0B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365331" y="33568482"/>
          <a:ext cx="4317207" cy="2640827"/>
        </a:xfrm>
        <a:prstGeom prst="rect">
          <a:avLst/>
        </a:prstGeom>
      </xdr:spPr>
    </xdr:pic>
    <xdr:clientData/>
  </xdr:twoCellAnchor>
  <xdr:twoCellAnchor>
    <xdr:from>
      <xdr:col>14</xdr:col>
      <xdr:colOff>80203</xdr:colOff>
      <xdr:row>80</xdr:row>
      <xdr:rowOff>95248</xdr:rowOff>
    </xdr:from>
    <xdr:to>
      <xdr:col>14</xdr:col>
      <xdr:colOff>564835</xdr:colOff>
      <xdr:row>83</xdr:row>
      <xdr:rowOff>52863</xdr:rowOff>
    </xdr:to>
    <xdr:sp macro="" textlink="">
      <xdr:nvSpPr>
        <xdr:cNvPr id="40" name="Flecha derecha 39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B00-000028000000}"/>
            </a:ext>
          </a:extLst>
        </xdr:cNvPr>
        <xdr:cNvSpPr/>
      </xdr:nvSpPr>
      <xdr:spPr>
        <a:xfrm rot="16200000">
          <a:off x="13378674" y="13247702"/>
          <a:ext cx="443390" cy="484632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59533</xdr:colOff>
      <xdr:row>122</xdr:row>
      <xdr:rowOff>130949</xdr:rowOff>
    </xdr:from>
    <xdr:to>
      <xdr:col>14</xdr:col>
      <xdr:colOff>544165</xdr:colOff>
      <xdr:row>125</xdr:row>
      <xdr:rowOff>88564</xdr:rowOff>
    </xdr:to>
    <xdr:sp macro="" textlink="">
      <xdr:nvSpPr>
        <xdr:cNvPr id="41" name="Flecha derecha 40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SpPr/>
      </xdr:nvSpPr>
      <xdr:spPr>
        <a:xfrm rot="16200000">
          <a:off x="13358004" y="20512878"/>
          <a:ext cx="443390" cy="484632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80966</xdr:colOff>
      <xdr:row>168</xdr:row>
      <xdr:rowOff>128536</xdr:rowOff>
    </xdr:from>
    <xdr:to>
      <xdr:col>14</xdr:col>
      <xdr:colOff>565598</xdr:colOff>
      <xdr:row>171</xdr:row>
      <xdr:rowOff>86150</xdr:rowOff>
    </xdr:to>
    <xdr:sp macro="" textlink="">
      <xdr:nvSpPr>
        <xdr:cNvPr id="42" name="Flecha derecha 41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/>
      </xdr:nvSpPr>
      <xdr:spPr>
        <a:xfrm rot="16200000">
          <a:off x="13379437" y="28311440"/>
          <a:ext cx="443389" cy="484632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102399</xdr:colOff>
      <xdr:row>214</xdr:row>
      <xdr:rowOff>7062</xdr:rowOff>
    </xdr:from>
    <xdr:to>
      <xdr:col>14</xdr:col>
      <xdr:colOff>587031</xdr:colOff>
      <xdr:row>216</xdr:row>
      <xdr:rowOff>131364</xdr:rowOff>
    </xdr:to>
    <xdr:sp macro="" textlink="">
      <xdr:nvSpPr>
        <xdr:cNvPr id="43" name="Flecha derecha 42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B00-00002B000000}"/>
            </a:ext>
          </a:extLst>
        </xdr:cNvPr>
        <xdr:cNvSpPr/>
      </xdr:nvSpPr>
      <xdr:spPr>
        <a:xfrm rot="16200000">
          <a:off x="13398489" y="35926647"/>
          <a:ext cx="448152" cy="484632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52394</xdr:colOff>
      <xdr:row>259</xdr:row>
      <xdr:rowOff>52276</xdr:rowOff>
    </xdr:from>
    <xdr:to>
      <xdr:col>14</xdr:col>
      <xdr:colOff>537026</xdr:colOff>
      <xdr:row>262</xdr:row>
      <xdr:rowOff>9890</xdr:rowOff>
    </xdr:to>
    <xdr:sp macro="" textlink="">
      <xdr:nvSpPr>
        <xdr:cNvPr id="44" name="Flecha derecha 43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B00-00002C000000}"/>
            </a:ext>
          </a:extLst>
        </xdr:cNvPr>
        <xdr:cNvSpPr/>
      </xdr:nvSpPr>
      <xdr:spPr>
        <a:xfrm rot="16200000">
          <a:off x="13350865" y="43541855"/>
          <a:ext cx="443389" cy="484632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97640</xdr:colOff>
      <xdr:row>304</xdr:row>
      <xdr:rowOff>49862</xdr:rowOff>
    </xdr:from>
    <xdr:to>
      <xdr:col>14</xdr:col>
      <xdr:colOff>582272</xdr:colOff>
      <xdr:row>307</xdr:row>
      <xdr:rowOff>7476</xdr:rowOff>
    </xdr:to>
    <xdr:sp macro="" textlink="">
      <xdr:nvSpPr>
        <xdr:cNvPr id="45" name="Flecha derecha 44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B00-00002D000000}"/>
            </a:ext>
          </a:extLst>
        </xdr:cNvPr>
        <xdr:cNvSpPr/>
      </xdr:nvSpPr>
      <xdr:spPr>
        <a:xfrm rot="16200000">
          <a:off x="13396111" y="51111816"/>
          <a:ext cx="443389" cy="484632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127018</xdr:colOff>
      <xdr:row>11</xdr:row>
      <xdr:rowOff>91295</xdr:rowOff>
    </xdr:from>
    <xdr:to>
      <xdr:col>14</xdr:col>
      <xdr:colOff>584695</xdr:colOff>
      <xdr:row>14</xdr:row>
      <xdr:rowOff>75865</xdr:rowOff>
    </xdr:to>
    <xdr:sp macro="" textlink="">
      <xdr:nvSpPr>
        <xdr:cNvPr id="46" name="Flecha derecha 45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B00-00002E000000}"/>
            </a:ext>
          </a:extLst>
        </xdr:cNvPr>
        <xdr:cNvSpPr/>
      </xdr:nvSpPr>
      <xdr:spPr>
        <a:xfrm rot="10800000">
          <a:off x="13404868" y="1891520"/>
          <a:ext cx="457677" cy="470345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0.46087</cdr:x>
      <cdr:y>0.49266</cdr:y>
    </cdr:from>
    <cdr:to>
      <cdr:x>0.67456</cdr:x>
      <cdr:y>0.66409</cdr:y>
    </cdr:to>
    <cdr:sp macro="" textlink="">
      <cdr:nvSpPr>
        <cdr:cNvPr id="3" name="CuadroTexto 7"/>
        <cdr:cNvSpPr txBox="1"/>
      </cdr:nvSpPr>
      <cdr:spPr>
        <a:xfrm xmlns:a="http://schemas.openxmlformats.org/drawingml/2006/main">
          <a:off x="2131238" y="1677593"/>
          <a:ext cx="988200" cy="583751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s-CO" sz="1400" b="1">
              <a:solidFill>
                <a:schemeClr val="accent6">
                  <a:lumMod val="75000"/>
                </a:schemeClr>
              </a:solidFill>
            </a:rPr>
            <a:t>Variación</a:t>
          </a:r>
          <a:r>
            <a:rPr lang="es-CO" sz="1400" b="1" baseline="0">
              <a:solidFill>
                <a:schemeClr val="accent6">
                  <a:lumMod val="75000"/>
                </a:schemeClr>
              </a:solidFill>
            </a:rPr>
            <a:t> </a:t>
          </a:r>
        </a:p>
        <a:p xmlns:a="http://schemas.openxmlformats.org/drawingml/2006/main">
          <a:r>
            <a:rPr lang="es-CO" sz="2000" b="1" baseline="0">
              <a:solidFill>
                <a:schemeClr val="accent6">
                  <a:lumMod val="75000"/>
                </a:schemeClr>
              </a:solidFill>
            </a:rPr>
            <a:t>-18,9%</a:t>
          </a:r>
          <a:endParaRPr lang="es-CO" sz="2000" b="1">
            <a:solidFill>
              <a:schemeClr val="accent6">
                <a:lumMod val="75000"/>
              </a:schemeClr>
            </a:solidFill>
          </a:endParaRP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0.41205</cdr:x>
      <cdr:y>0.52571</cdr:y>
    </cdr:from>
    <cdr:to>
      <cdr:x>0.64819</cdr:x>
      <cdr:y>0.82336</cdr:y>
    </cdr:to>
    <cdr:sp macro="" textlink="">
      <cdr:nvSpPr>
        <cdr:cNvPr id="2" name="CuadroTexto 7"/>
        <cdr:cNvSpPr txBox="1"/>
      </cdr:nvSpPr>
      <cdr:spPr>
        <a:xfrm xmlns:a="http://schemas.openxmlformats.org/drawingml/2006/main">
          <a:off x="1916206" y="1523999"/>
          <a:ext cx="1098176" cy="862853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s-CO" sz="1600" b="1">
              <a:solidFill>
                <a:srgbClr val="002060"/>
              </a:solidFill>
            </a:rPr>
            <a:t>Variación</a:t>
          </a:r>
          <a:r>
            <a:rPr lang="es-CO" sz="1100" b="1" baseline="0">
              <a:solidFill>
                <a:srgbClr val="002060"/>
              </a:solidFill>
            </a:rPr>
            <a:t> </a:t>
          </a:r>
        </a:p>
        <a:p xmlns:a="http://schemas.openxmlformats.org/drawingml/2006/main">
          <a:r>
            <a:rPr lang="es-CO" sz="2000" b="1" baseline="0">
              <a:solidFill>
                <a:srgbClr val="002060"/>
              </a:solidFill>
            </a:rPr>
            <a:t>-45,7%</a:t>
          </a:r>
          <a:endParaRPr lang="es-CO" sz="2000" b="1">
            <a:solidFill>
              <a:srgbClr val="002060"/>
            </a:solidFill>
          </a:endParaRP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5</xdr:row>
      <xdr:rowOff>128587</xdr:rowOff>
    </xdr:from>
    <xdr:to>
      <xdr:col>13</xdr:col>
      <xdr:colOff>76200</xdr:colOff>
      <xdr:row>20</xdr:row>
      <xdr:rowOff>14287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21</xdr:row>
      <xdr:rowOff>166687</xdr:rowOff>
    </xdr:from>
    <xdr:to>
      <xdr:col>13</xdr:col>
      <xdr:colOff>257175</xdr:colOff>
      <xdr:row>36</xdr:row>
      <xdr:rowOff>52387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571500</xdr:colOff>
      <xdr:row>31</xdr:row>
      <xdr:rowOff>76200</xdr:rowOff>
    </xdr:from>
    <xdr:to>
      <xdr:col>12</xdr:col>
      <xdr:colOff>704850</xdr:colOff>
      <xdr:row>32</xdr:row>
      <xdr:rowOff>180975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/>
      </xdr:nvSpPr>
      <xdr:spPr>
        <a:xfrm>
          <a:off x="9696450" y="5981700"/>
          <a:ext cx="1657350" cy="295275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400">
              <a:solidFill>
                <a:sysClr val="windowText" lastClr="000000"/>
              </a:solidFill>
            </a:rPr>
            <a:t>46</a:t>
          </a:r>
          <a:r>
            <a:rPr lang="es-CO" sz="1400" baseline="0">
              <a:solidFill>
                <a:sysClr val="windowText" lastClr="000000"/>
              </a:solidFill>
            </a:rPr>
            <a:t> funcionarios</a:t>
          </a:r>
          <a:endParaRPr lang="es-CO" sz="14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590549</xdr:colOff>
      <xdr:row>26</xdr:row>
      <xdr:rowOff>93978</xdr:rowOff>
    </xdr:from>
    <xdr:to>
      <xdr:col>12</xdr:col>
      <xdr:colOff>561974</xdr:colOff>
      <xdr:row>31</xdr:row>
      <xdr:rowOff>57044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715499" y="5046978"/>
          <a:ext cx="1495425" cy="915566"/>
        </a:xfrm>
        <a:prstGeom prst="rect">
          <a:avLst/>
        </a:prstGeom>
      </xdr:spPr>
    </xdr:pic>
    <xdr:clientData/>
  </xdr:twoCellAnchor>
  <xdr:twoCellAnchor>
    <xdr:from>
      <xdr:col>5</xdr:col>
      <xdr:colOff>400050</xdr:colOff>
      <xdr:row>37</xdr:row>
      <xdr:rowOff>59436</xdr:rowOff>
    </xdr:from>
    <xdr:to>
      <xdr:col>11</xdr:col>
      <xdr:colOff>0</xdr:colOff>
      <xdr:row>52</xdr:row>
      <xdr:rowOff>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45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 txBox="1"/>
      </xdr:nvSpPr>
      <xdr:spPr>
        <a:xfrm>
          <a:off x="6610350" y="8572500"/>
          <a:ext cx="762000" cy="571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 b="1">
              <a:solidFill>
                <a:srgbClr val="002060"/>
              </a:solidFill>
            </a:rPr>
            <a:t>Variacion</a:t>
          </a:r>
          <a:r>
            <a:rPr lang="es-CO" sz="1100" b="1" baseline="0">
              <a:solidFill>
                <a:srgbClr val="002060"/>
              </a:solidFill>
            </a:rPr>
            <a:t> </a:t>
          </a:r>
        </a:p>
        <a:p>
          <a:r>
            <a:rPr lang="es-CO" sz="1600" b="1" baseline="0">
              <a:solidFill>
                <a:srgbClr val="002060"/>
              </a:solidFill>
            </a:rPr>
            <a:t>-45,7%</a:t>
          </a:r>
          <a:endParaRPr lang="es-CO" sz="1600" b="1">
            <a:solidFill>
              <a:srgbClr val="002060"/>
            </a:solidFill>
          </a:endParaRPr>
        </a:p>
      </xdr:txBody>
    </xdr:sp>
    <xdr:clientData/>
  </xdr:twoCellAnchor>
  <xdr:twoCellAnchor>
    <xdr:from>
      <xdr:col>5</xdr:col>
      <xdr:colOff>495300</xdr:colOff>
      <xdr:row>53</xdr:row>
      <xdr:rowOff>0</xdr:rowOff>
    </xdr:from>
    <xdr:to>
      <xdr:col>11</xdr:col>
      <xdr:colOff>95250</xdr:colOff>
      <xdr:row>67</xdr:row>
      <xdr:rowOff>131064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190500</xdr:colOff>
      <xdr:row>72</xdr:row>
      <xdr:rowOff>114299</xdr:rowOff>
    </xdr:from>
    <xdr:to>
      <xdr:col>12</xdr:col>
      <xdr:colOff>581025</xdr:colOff>
      <xdr:row>89</xdr:row>
      <xdr:rowOff>47624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109</xdr:row>
      <xdr:rowOff>0</xdr:rowOff>
    </xdr:from>
    <xdr:to>
      <xdr:col>13</xdr:col>
      <xdr:colOff>361950</xdr:colOff>
      <xdr:row>123</xdr:row>
      <xdr:rowOff>131064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0.42922</cdr:x>
      <cdr:y>0.45615</cdr:y>
    </cdr:from>
    <cdr:to>
      <cdr:x>0.61187</cdr:x>
      <cdr:y>0.6604</cdr:y>
    </cdr:to>
    <cdr:sp macro="" textlink="">
      <cdr:nvSpPr>
        <cdr:cNvPr id="2" name="CuadroTexto 7"/>
        <cdr:cNvSpPr txBox="1"/>
      </cdr:nvSpPr>
      <cdr:spPr>
        <a:xfrm xmlns:a="http://schemas.openxmlformats.org/drawingml/2006/main">
          <a:off x="1790700" y="1276350"/>
          <a:ext cx="762000" cy="571500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s-CO" sz="1100" b="1">
              <a:solidFill>
                <a:schemeClr val="accent6">
                  <a:lumMod val="75000"/>
                </a:schemeClr>
              </a:solidFill>
            </a:rPr>
            <a:t>Variación</a:t>
          </a:r>
          <a:r>
            <a:rPr lang="es-CO" sz="1100" b="1" baseline="0">
              <a:solidFill>
                <a:schemeClr val="accent6">
                  <a:lumMod val="75000"/>
                </a:schemeClr>
              </a:solidFill>
            </a:rPr>
            <a:t> </a:t>
          </a:r>
        </a:p>
        <a:p xmlns:a="http://schemas.openxmlformats.org/drawingml/2006/main">
          <a:r>
            <a:rPr lang="es-CO" sz="1600" b="1" baseline="0">
              <a:solidFill>
                <a:schemeClr val="accent6">
                  <a:lumMod val="75000"/>
                </a:schemeClr>
              </a:solidFill>
            </a:rPr>
            <a:t>-18,9%</a:t>
          </a:r>
          <a:endParaRPr lang="es-CO" sz="1600" b="1">
            <a:solidFill>
              <a:schemeClr val="accent6">
                <a:lumMod val="75000"/>
              </a:schemeClr>
            </a:solidFill>
          </a:endParaRP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0.44977</cdr:x>
      <cdr:y>0.45275</cdr:y>
    </cdr:from>
    <cdr:to>
      <cdr:x>0.63242</cdr:x>
      <cdr:y>0.657</cdr:y>
    </cdr:to>
    <cdr:sp macro="" textlink="">
      <cdr:nvSpPr>
        <cdr:cNvPr id="2" name="CuadroTexto 7"/>
        <cdr:cNvSpPr txBox="1"/>
      </cdr:nvSpPr>
      <cdr:spPr>
        <a:xfrm xmlns:a="http://schemas.openxmlformats.org/drawingml/2006/main">
          <a:off x="1876409" y="1266812"/>
          <a:ext cx="762007" cy="571504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s-CO" sz="1100" b="1">
              <a:solidFill>
                <a:schemeClr val="accent6">
                  <a:lumMod val="75000"/>
                </a:schemeClr>
              </a:solidFill>
            </a:rPr>
            <a:t>Variación</a:t>
          </a:r>
          <a:r>
            <a:rPr lang="es-CO" sz="1100" b="1" baseline="0">
              <a:solidFill>
                <a:schemeClr val="accent6">
                  <a:lumMod val="75000"/>
                </a:schemeClr>
              </a:solidFill>
            </a:rPr>
            <a:t> </a:t>
          </a:r>
        </a:p>
        <a:p xmlns:a="http://schemas.openxmlformats.org/drawingml/2006/main">
          <a:r>
            <a:rPr lang="es-CO" sz="1600" b="1" baseline="0">
              <a:solidFill>
                <a:schemeClr val="accent6">
                  <a:lumMod val="75000"/>
                </a:schemeClr>
              </a:solidFill>
            </a:rPr>
            <a:t>-14.2%</a:t>
          </a:r>
          <a:endParaRPr lang="es-CO" sz="1600" b="1">
            <a:solidFill>
              <a:schemeClr val="accent6">
                <a:lumMod val="75000"/>
              </a:schemeClr>
            </a:solidFill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arodriguez\Downloads\Despachos%202019%20y%202020%20origen%20y%20transito.%20(1)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arodriguez\Downloads\MOVIMIENTO%20CTA%2051%2020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arodriguez\Downloads\COMPARATIVO%20DE%20INGRESOS%20Y%20EGRESOS%20%20TT%20MELG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ños"/>
      <sheetName val="Hoja1"/>
      <sheetName val="despachos"/>
    </sheetNames>
    <sheetDataSet>
      <sheetData sheetId="0">
        <row r="7">
          <cell r="A7" t="str">
            <v>Enero</v>
          </cell>
          <cell r="B7">
            <v>25137050</v>
          </cell>
        </row>
        <row r="8">
          <cell r="A8" t="str">
            <v>febrero</v>
          </cell>
          <cell r="B8">
            <v>16074350</v>
          </cell>
        </row>
        <row r="9">
          <cell r="A9" t="str">
            <v>Marzo</v>
          </cell>
          <cell r="B9">
            <v>8515300</v>
          </cell>
        </row>
        <row r="10">
          <cell r="A10" t="str">
            <v>Abril</v>
          </cell>
          <cell r="B10">
            <v>0</v>
          </cell>
        </row>
        <row r="11">
          <cell r="A11" t="str">
            <v>Mayo</v>
          </cell>
          <cell r="B11">
            <v>0</v>
          </cell>
        </row>
        <row r="12">
          <cell r="A12" t="str">
            <v>Junio</v>
          </cell>
          <cell r="B12">
            <v>6000</v>
          </cell>
        </row>
        <row r="13">
          <cell r="A13" t="str">
            <v>Julio</v>
          </cell>
          <cell r="B13">
            <v>559000</v>
          </cell>
        </row>
        <row r="14">
          <cell r="A14" t="str">
            <v>Agosto</v>
          </cell>
          <cell r="B14">
            <v>1524900</v>
          </cell>
        </row>
        <row r="15">
          <cell r="A15" t="str">
            <v>Septiembre</v>
          </cell>
          <cell r="B15">
            <v>3286950</v>
          </cell>
        </row>
        <row r="16">
          <cell r="A16" t="str">
            <v>Octubre</v>
          </cell>
          <cell r="B16">
            <v>12423350</v>
          </cell>
        </row>
        <row r="17">
          <cell r="A17" t="str">
            <v>Noviembre</v>
          </cell>
          <cell r="B17">
            <v>14967350</v>
          </cell>
        </row>
        <row r="18">
          <cell r="A18" t="str">
            <v>Diciembre</v>
          </cell>
          <cell r="B18">
            <v>16335250</v>
          </cell>
        </row>
      </sheetData>
      <sheetData sheetId="1"/>
      <sheetData sheetId="2">
        <row r="2">
          <cell r="C2">
            <v>2020</v>
          </cell>
          <cell r="D2">
            <v>2019</v>
          </cell>
        </row>
        <row r="3">
          <cell r="B3" t="str">
            <v>Enero</v>
          </cell>
          <cell r="C3">
            <v>7216</v>
          </cell>
          <cell r="D3">
            <v>6996</v>
          </cell>
        </row>
        <row r="4">
          <cell r="B4" t="str">
            <v>Febrero</v>
          </cell>
          <cell r="C4">
            <v>6127</v>
          </cell>
          <cell r="D4">
            <v>5691</v>
          </cell>
        </row>
        <row r="5">
          <cell r="B5" t="str">
            <v>Marzo</v>
          </cell>
          <cell r="C5">
            <v>3787</v>
          </cell>
          <cell r="D5">
            <v>6863</v>
          </cell>
        </row>
        <row r="6">
          <cell r="B6" t="str">
            <v>Abril</v>
          </cell>
          <cell r="C6">
            <v>1</v>
          </cell>
          <cell r="D6">
            <v>6586</v>
          </cell>
        </row>
        <row r="7">
          <cell r="B7" t="str">
            <v>Mayo</v>
          </cell>
          <cell r="C7">
            <v>14</v>
          </cell>
          <cell r="D7">
            <v>6451</v>
          </cell>
        </row>
        <row r="8">
          <cell r="B8" t="str">
            <v>Junio</v>
          </cell>
          <cell r="C8">
            <v>31</v>
          </cell>
          <cell r="D8">
            <v>6811</v>
          </cell>
        </row>
        <row r="9">
          <cell r="B9" t="str">
            <v>Julio</v>
          </cell>
          <cell r="C9">
            <v>168</v>
          </cell>
          <cell r="D9">
            <v>7216</v>
          </cell>
        </row>
        <row r="10">
          <cell r="B10" t="str">
            <v>Agosto</v>
          </cell>
          <cell r="C10">
            <v>294</v>
          </cell>
          <cell r="D10">
            <v>6821</v>
          </cell>
        </row>
        <row r="11">
          <cell r="B11" t="str">
            <v>Septiembre</v>
          </cell>
          <cell r="C11">
            <v>2084</v>
          </cell>
          <cell r="D11">
            <v>6179</v>
          </cell>
        </row>
        <row r="12">
          <cell r="B12" t="str">
            <v>Octubre</v>
          </cell>
          <cell r="C12">
            <v>4040</v>
          </cell>
          <cell r="D12">
            <v>6593</v>
          </cell>
        </row>
        <row r="13">
          <cell r="B13" t="str">
            <v>Noviembre</v>
          </cell>
          <cell r="C13">
            <v>4072</v>
          </cell>
          <cell r="D13">
            <v>6432</v>
          </cell>
        </row>
        <row r="14">
          <cell r="B14" t="str">
            <v>Diciembre</v>
          </cell>
          <cell r="C14">
            <v>4957</v>
          </cell>
          <cell r="D14">
            <v>6999</v>
          </cell>
        </row>
        <row r="22">
          <cell r="C22">
            <v>2020</v>
          </cell>
          <cell r="D22">
            <v>2019</v>
          </cell>
        </row>
        <row r="23">
          <cell r="B23" t="str">
            <v>Enero</v>
          </cell>
          <cell r="C23">
            <v>14252</v>
          </cell>
          <cell r="D23">
            <v>15049</v>
          </cell>
        </row>
        <row r="24">
          <cell r="B24" t="str">
            <v>Febrero</v>
          </cell>
          <cell r="C24">
            <v>12489</v>
          </cell>
          <cell r="D24">
            <v>12631</v>
          </cell>
        </row>
        <row r="25">
          <cell r="B25" t="str">
            <v>Marzo</v>
          </cell>
          <cell r="C25">
            <v>7717</v>
          </cell>
          <cell r="D25">
            <v>15694</v>
          </cell>
        </row>
        <row r="26">
          <cell r="B26" t="str">
            <v>Abril</v>
          </cell>
          <cell r="C26">
            <v>5</v>
          </cell>
          <cell r="D26">
            <v>14310</v>
          </cell>
        </row>
        <row r="27">
          <cell r="B27" t="str">
            <v>Mayo</v>
          </cell>
          <cell r="C27">
            <v>27</v>
          </cell>
          <cell r="D27">
            <v>15854</v>
          </cell>
        </row>
        <row r="28">
          <cell r="B28" t="str">
            <v>Junio</v>
          </cell>
          <cell r="C28">
            <v>101</v>
          </cell>
          <cell r="D28">
            <v>16689</v>
          </cell>
        </row>
        <row r="29">
          <cell r="B29" t="str">
            <v>Julio</v>
          </cell>
          <cell r="C29">
            <v>440</v>
          </cell>
          <cell r="D29">
            <v>15659</v>
          </cell>
        </row>
        <row r="30">
          <cell r="B30" t="str">
            <v>Agosto</v>
          </cell>
          <cell r="C30">
            <v>1178</v>
          </cell>
          <cell r="D30">
            <v>16104</v>
          </cell>
        </row>
        <row r="31">
          <cell r="B31" t="str">
            <v>Septiembre</v>
          </cell>
          <cell r="C31">
            <v>5554</v>
          </cell>
          <cell r="D31">
            <v>14589</v>
          </cell>
        </row>
        <row r="32">
          <cell r="B32" t="str">
            <v>Octubre</v>
          </cell>
          <cell r="C32">
            <v>9273</v>
          </cell>
          <cell r="D32">
            <v>15054</v>
          </cell>
        </row>
        <row r="33">
          <cell r="B33" t="str">
            <v>Noviembre</v>
          </cell>
          <cell r="C33">
            <v>9881</v>
          </cell>
          <cell r="D33">
            <v>13894</v>
          </cell>
        </row>
        <row r="34">
          <cell r="B34" t="str">
            <v>Diciembre</v>
          </cell>
          <cell r="C34">
            <v>10506</v>
          </cell>
          <cell r="D34">
            <v>15217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152407"/>
      <sheetName val="Hoja2"/>
      <sheetName val="Hoja4"/>
      <sheetName val="acumulados"/>
      <sheetName val="DATOS152407 (2)"/>
    </sheetNames>
    <sheetDataSet>
      <sheetData sheetId="0"/>
      <sheetData sheetId="1"/>
      <sheetData sheetId="2">
        <row r="5">
          <cell r="D5" t="str">
            <v>Enero</v>
          </cell>
          <cell r="E5">
            <v>57328987</v>
          </cell>
        </row>
        <row r="6">
          <cell r="D6" t="str">
            <v>Febrero</v>
          </cell>
          <cell r="E6">
            <v>59539610</v>
          </cell>
        </row>
        <row r="7">
          <cell r="D7" t="str">
            <v>Marzo</v>
          </cell>
          <cell r="E7">
            <v>53138531</v>
          </cell>
        </row>
        <row r="8">
          <cell r="D8" t="str">
            <v>Abril</v>
          </cell>
          <cell r="E8">
            <v>13178081</v>
          </cell>
        </row>
        <row r="9">
          <cell r="D9" t="str">
            <v>Mayo</v>
          </cell>
          <cell r="E9">
            <v>8152727</v>
          </cell>
        </row>
        <row r="10">
          <cell r="D10" t="str">
            <v>Junio</v>
          </cell>
          <cell r="E10">
            <v>30942672</v>
          </cell>
        </row>
        <row r="11">
          <cell r="D11" t="str">
            <v>Julio</v>
          </cell>
          <cell r="E11">
            <v>25300396</v>
          </cell>
        </row>
        <row r="12">
          <cell r="D12" t="str">
            <v>Agosto</v>
          </cell>
          <cell r="E12">
            <v>34885921</v>
          </cell>
        </row>
        <row r="13">
          <cell r="D13" t="str">
            <v>Septiembre</v>
          </cell>
          <cell r="E13">
            <v>37561749</v>
          </cell>
        </row>
        <row r="14">
          <cell r="D14" t="str">
            <v>Octubre</v>
          </cell>
          <cell r="E14">
            <v>52759338</v>
          </cell>
        </row>
        <row r="15">
          <cell r="D15" t="str">
            <v>Noviembre</v>
          </cell>
          <cell r="E15">
            <v>55385543</v>
          </cell>
        </row>
        <row r="16">
          <cell r="D16" t="str">
            <v>Diciembre</v>
          </cell>
          <cell r="E16">
            <v>97458852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1 (2)"/>
      <sheetName val="Hoja4"/>
    </sheetNames>
    <sheetDataSet>
      <sheetData sheetId="0"/>
      <sheetData sheetId="1"/>
      <sheetData sheetId="2"/>
      <sheetData sheetId="3">
        <row r="8">
          <cell r="A8" t="str">
            <v>Enero</v>
          </cell>
          <cell r="B8">
            <v>60179792</v>
          </cell>
        </row>
        <row r="9">
          <cell r="A9" t="str">
            <v>Febrero</v>
          </cell>
          <cell r="B9">
            <v>66884532</v>
          </cell>
        </row>
        <row r="10">
          <cell r="A10" t="str">
            <v>Marzo</v>
          </cell>
          <cell r="B10">
            <v>71646659</v>
          </cell>
        </row>
        <row r="11">
          <cell r="A11" t="str">
            <v>Abril</v>
          </cell>
          <cell r="B11">
            <v>45354706</v>
          </cell>
        </row>
        <row r="12">
          <cell r="A12" t="str">
            <v>Mayo</v>
          </cell>
          <cell r="B12">
            <v>50254957</v>
          </cell>
        </row>
        <row r="13">
          <cell r="A13" t="str">
            <v>Junio</v>
          </cell>
          <cell r="B13">
            <v>49798714</v>
          </cell>
        </row>
        <row r="14">
          <cell r="A14" t="str">
            <v>Julio</v>
          </cell>
          <cell r="B14">
            <v>31273585</v>
          </cell>
        </row>
        <row r="15">
          <cell r="A15" t="str">
            <v>Agosto</v>
          </cell>
          <cell r="B15">
            <v>51259955</v>
          </cell>
        </row>
        <row r="16">
          <cell r="A16" t="str">
            <v>Septiembre</v>
          </cell>
          <cell r="B16">
            <v>57961689</v>
          </cell>
        </row>
        <row r="17">
          <cell r="A17" t="str">
            <v>Octubre</v>
          </cell>
          <cell r="B17">
            <v>53017439</v>
          </cell>
        </row>
        <row r="18">
          <cell r="A18" t="str">
            <v>Noviembre</v>
          </cell>
          <cell r="B18">
            <v>66503061</v>
          </cell>
        </row>
        <row r="19">
          <cell r="A19" t="str">
            <v>Diciembre</v>
          </cell>
          <cell r="B19">
            <v>84810203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/>
  <dimension ref="A1"/>
  <sheetViews>
    <sheetView showGridLines="0" showRowColHeaders="0" tabSelected="1" workbookViewId="0">
      <selection activeCell="E26" sqref="E2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outlinePr summaryBelow="0"/>
  </sheetPr>
  <dimension ref="B1:L38"/>
  <sheetViews>
    <sheetView showGridLines="0" zoomScale="95" zoomScaleNormal="95" workbookViewId="0"/>
  </sheetViews>
  <sheetFormatPr baseColWidth="10" defaultRowHeight="15" x14ac:dyDescent="0.25"/>
  <cols>
    <col min="1" max="1" width="4.28515625" style="63" customWidth="1"/>
    <col min="2" max="2" width="6" style="63" customWidth="1"/>
    <col min="3" max="3" width="52.7109375" style="63" customWidth="1"/>
    <col min="4" max="5" width="17.140625" style="63" customWidth="1"/>
    <col min="6" max="6" width="22.140625" style="63" customWidth="1"/>
    <col min="7" max="7" width="20.140625" style="63" bestFit="1" customWidth="1"/>
    <col min="8" max="8" width="5.5703125" style="63" customWidth="1"/>
    <col min="9" max="9" width="2.85546875" style="63" customWidth="1"/>
    <col min="10" max="10" width="24" style="63" bestFit="1" customWidth="1"/>
    <col min="11" max="11" width="11.5703125" style="63" customWidth="1"/>
    <col min="12" max="16384" width="11.42578125" style="63"/>
  </cols>
  <sheetData>
    <row r="1" spans="2:12" ht="45.75" customHeight="1" thickBot="1" x14ac:dyDescent="0.3"/>
    <row r="2" spans="2:12" ht="21.75" customHeight="1" thickTop="1" x14ac:dyDescent="0.25">
      <c r="B2" s="64"/>
      <c r="C2" s="65"/>
      <c r="D2" s="65"/>
      <c r="E2" s="65"/>
      <c r="F2" s="65"/>
      <c r="G2" s="65"/>
      <c r="H2" s="65"/>
      <c r="I2" s="65"/>
      <c r="J2" s="65"/>
      <c r="K2" s="65"/>
      <c r="L2" s="66"/>
    </row>
    <row r="3" spans="2:12" ht="21.75" customHeight="1" x14ac:dyDescent="0.25">
      <c r="B3" s="67"/>
      <c r="C3" s="61"/>
      <c r="D3" s="61"/>
      <c r="E3" s="183"/>
      <c r="F3" s="61"/>
      <c r="G3" s="61"/>
      <c r="H3" s="61"/>
      <c r="I3" s="61"/>
      <c r="J3" s="61"/>
      <c r="K3" s="61"/>
      <c r="L3" s="68"/>
    </row>
    <row r="4" spans="2:12" ht="21.75" customHeight="1" x14ac:dyDescent="0.25">
      <c r="B4" s="67"/>
      <c r="C4" s="69"/>
      <c r="D4" s="61"/>
      <c r="E4" s="183"/>
      <c r="F4" s="60"/>
      <c r="G4" s="60"/>
      <c r="H4" s="60"/>
      <c r="I4" s="60"/>
      <c r="J4" s="60"/>
      <c r="K4" s="60"/>
      <c r="L4" s="68"/>
    </row>
    <row r="5" spans="2:12" ht="21" x14ac:dyDescent="0.35">
      <c r="B5" s="67"/>
      <c r="C5" s="183"/>
      <c r="D5" s="121"/>
      <c r="E5" s="183"/>
      <c r="F5" s="183"/>
      <c r="G5" s="186"/>
      <c r="H5" s="186"/>
      <c r="I5" s="186"/>
      <c r="J5" s="183"/>
      <c r="K5" s="183"/>
      <c r="L5" s="68"/>
    </row>
    <row r="6" spans="2:12" ht="30" customHeight="1" x14ac:dyDescent="0.35">
      <c r="B6" s="67"/>
      <c r="C6" s="183"/>
      <c r="D6" s="61"/>
      <c r="E6" s="208" t="s">
        <v>71</v>
      </c>
      <c r="F6" s="183"/>
      <c r="G6" s="215">
        <f>+Ebitda!D19</f>
        <v>56203702</v>
      </c>
      <c r="H6" s="205"/>
      <c r="I6" s="205"/>
      <c r="J6" s="208" t="s">
        <v>128</v>
      </c>
      <c r="K6" s="207">
        <f>+Ebitda!D21</f>
        <v>5.4512994768427935E-2</v>
      </c>
      <c r="L6" s="68"/>
    </row>
    <row r="7" spans="2:12" ht="30" customHeight="1" x14ac:dyDescent="0.35">
      <c r="B7" s="67"/>
      <c r="C7" s="183"/>
      <c r="D7" s="61"/>
      <c r="E7" s="208" t="s">
        <v>130</v>
      </c>
      <c r="F7" s="206"/>
      <c r="G7" s="213">
        <f>+Indicadores!F20</f>
        <v>4.2877560484314313E-2</v>
      </c>
      <c r="H7" s="206"/>
      <c r="I7" s="206"/>
      <c r="J7" s="208" t="s">
        <v>126</v>
      </c>
      <c r="K7" s="207">
        <f>+Indicadores!F10</f>
        <v>-1.8040256843551036E-2</v>
      </c>
      <c r="L7" s="68"/>
    </row>
    <row r="8" spans="2:12" ht="30" customHeight="1" x14ac:dyDescent="0.35">
      <c r="B8" s="67"/>
      <c r="C8" s="183"/>
      <c r="D8" s="61"/>
      <c r="E8" s="208" t="s">
        <v>142</v>
      </c>
      <c r="F8" s="204"/>
      <c r="G8" s="214">
        <f>+Indicadores!K12</f>
        <v>0.51515822116598831</v>
      </c>
      <c r="H8" s="206"/>
      <c r="I8" s="206"/>
      <c r="J8" s="208" t="s">
        <v>127</v>
      </c>
      <c r="K8" s="207">
        <f>+Indicadores!F15</f>
        <v>-3.7208544376963075E-2</v>
      </c>
      <c r="L8" s="68"/>
    </row>
    <row r="9" spans="2:12" ht="30" customHeight="1" x14ac:dyDescent="0.35">
      <c r="B9" s="67"/>
      <c r="C9" s="70"/>
      <c r="D9" s="61"/>
      <c r="E9" s="208" t="s">
        <v>129</v>
      </c>
      <c r="F9" s="186"/>
      <c r="G9" s="214">
        <f>+Indicadores!K17</f>
        <v>0.3124153037304932</v>
      </c>
      <c r="H9" s="186"/>
      <c r="I9" s="186"/>
      <c r="J9" s="183"/>
      <c r="K9" s="186"/>
      <c r="L9" s="68"/>
    </row>
    <row r="10" spans="2:12" ht="30" customHeight="1" x14ac:dyDescent="0.35">
      <c r="B10" s="67"/>
      <c r="C10" s="122"/>
      <c r="D10" s="61"/>
      <c r="E10" s="203"/>
      <c r="F10" s="186"/>
      <c r="G10" s="186"/>
      <c r="H10" s="186"/>
      <c r="I10" s="186"/>
      <c r="J10" s="186"/>
      <c r="K10" s="186"/>
      <c r="L10" s="68"/>
    </row>
    <row r="11" spans="2:12" x14ac:dyDescent="0.25">
      <c r="B11" s="67"/>
      <c r="C11" s="61"/>
      <c r="D11" s="61"/>
      <c r="E11" s="61"/>
      <c r="F11" s="61"/>
      <c r="G11" s="61"/>
      <c r="H11" s="61"/>
      <c r="I11" s="61"/>
      <c r="J11" s="61"/>
      <c r="K11" s="61"/>
      <c r="L11" s="68"/>
    </row>
    <row r="12" spans="2:12" x14ac:dyDescent="0.25">
      <c r="B12" s="67"/>
      <c r="C12" s="61"/>
      <c r="D12" s="61"/>
      <c r="E12" s="61"/>
      <c r="F12" s="61"/>
      <c r="G12" s="61"/>
      <c r="H12" s="61"/>
      <c r="I12" s="61"/>
      <c r="J12" s="61"/>
      <c r="K12" s="61"/>
      <c r="L12" s="68"/>
    </row>
    <row r="13" spans="2:12" x14ac:dyDescent="0.25">
      <c r="B13" s="67"/>
      <c r="C13" s="61"/>
      <c r="D13" s="61"/>
      <c r="E13" s="61"/>
      <c r="F13" s="61"/>
      <c r="G13" s="61"/>
      <c r="H13" s="61"/>
      <c r="I13" s="61"/>
      <c r="J13" s="61"/>
      <c r="K13" s="61"/>
      <c r="L13" s="68"/>
    </row>
    <row r="14" spans="2:12" x14ac:dyDescent="0.25">
      <c r="B14" s="67"/>
      <c r="C14" s="61"/>
      <c r="D14" s="61"/>
      <c r="E14" s="61"/>
      <c r="F14" s="61"/>
      <c r="G14" s="61"/>
      <c r="H14" s="61"/>
      <c r="I14" s="61"/>
      <c r="J14" s="61"/>
      <c r="K14" s="61"/>
      <c r="L14" s="68"/>
    </row>
    <row r="15" spans="2:12" x14ac:dyDescent="0.25">
      <c r="B15" s="67"/>
      <c r="C15" s="61"/>
      <c r="D15" s="61"/>
      <c r="E15" s="61"/>
      <c r="F15" s="61"/>
      <c r="G15" s="61"/>
      <c r="H15" s="61"/>
      <c r="I15" s="61"/>
      <c r="J15" s="61"/>
      <c r="K15" s="61"/>
      <c r="L15" s="68"/>
    </row>
    <row r="16" spans="2:12" x14ac:dyDescent="0.25">
      <c r="B16" s="67"/>
      <c r="C16" s="61"/>
      <c r="D16" s="61"/>
      <c r="E16" s="61"/>
      <c r="F16" s="61"/>
      <c r="G16" s="61"/>
      <c r="H16" s="61"/>
      <c r="I16" s="61"/>
      <c r="J16" s="61"/>
      <c r="K16" s="61"/>
      <c r="L16" s="68"/>
    </row>
    <row r="17" spans="2:12" ht="1.5" customHeight="1" thickBot="1" x14ac:dyDescent="0.3">
      <c r="B17" s="71"/>
      <c r="C17" s="72"/>
      <c r="D17" s="72"/>
      <c r="E17" s="72"/>
      <c r="F17" s="72"/>
      <c r="G17" s="72"/>
      <c r="H17" s="72"/>
      <c r="I17" s="72"/>
      <c r="J17" s="72"/>
      <c r="K17" s="72"/>
      <c r="L17" s="73"/>
    </row>
    <row r="18" spans="2:12" ht="15" customHeight="1" thickTop="1" x14ac:dyDescent="0.25"/>
    <row r="19" spans="2:12" ht="15" customHeight="1" x14ac:dyDescent="0.25"/>
    <row r="20" spans="2:12" ht="15" hidden="1" customHeight="1" x14ac:dyDescent="0.25"/>
    <row r="21" spans="2:12" ht="15" hidden="1" customHeight="1" x14ac:dyDescent="0.25"/>
    <row r="22" spans="2:12" ht="15" hidden="1" customHeight="1" x14ac:dyDescent="0.25"/>
    <row r="23" spans="2:12" ht="15.75" thickBot="1" x14ac:dyDescent="0.3"/>
    <row r="24" spans="2:12" ht="15.75" thickTop="1" x14ac:dyDescent="0.25">
      <c r="B24" s="64"/>
      <c r="C24" s="65"/>
      <c r="D24" s="65"/>
      <c r="E24" s="65"/>
      <c r="F24" s="65"/>
      <c r="G24" s="65"/>
      <c r="H24" s="65"/>
      <c r="I24" s="65"/>
      <c r="J24" s="65"/>
      <c r="K24" s="65"/>
      <c r="L24" s="66"/>
    </row>
    <row r="25" spans="2:12" ht="21.75" customHeight="1" x14ac:dyDescent="0.25">
      <c r="B25" s="67"/>
      <c r="C25" s="61"/>
      <c r="D25" s="61"/>
      <c r="E25" s="61"/>
      <c r="F25" s="61"/>
      <c r="G25" s="61"/>
      <c r="H25" s="61"/>
      <c r="I25" s="61"/>
      <c r="J25" s="61"/>
      <c r="K25" s="61"/>
      <c r="L25" s="68"/>
    </row>
    <row r="26" spans="2:12" x14ac:dyDescent="0.25">
      <c r="B26" s="67"/>
      <c r="C26" s="61"/>
      <c r="D26" s="61"/>
      <c r="E26" s="61"/>
      <c r="F26" s="61"/>
      <c r="G26" s="61"/>
      <c r="H26" s="61"/>
      <c r="I26" s="61"/>
      <c r="J26" s="61"/>
      <c r="K26" s="61"/>
      <c r="L26" s="68"/>
    </row>
    <row r="27" spans="2:12" ht="21" x14ac:dyDescent="0.25">
      <c r="B27" s="67"/>
      <c r="C27" s="69" t="s">
        <v>72</v>
      </c>
      <c r="D27" s="61"/>
      <c r="E27" s="61"/>
      <c r="F27" s="61"/>
      <c r="G27" s="61"/>
      <c r="H27" s="61"/>
      <c r="I27" s="61"/>
      <c r="J27" s="61"/>
      <c r="K27" s="61"/>
      <c r="L27" s="68"/>
    </row>
    <row r="28" spans="2:12" ht="18.75" x14ac:dyDescent="0.25">
      <c r="B28" s="67"/>
      <c r="C28" s="70" t="s">
        <v>68</v>
      </c>
      <c r="D28" s="89" t="s">
        <v>80</v>
      </c>
      <c r="E28" s="61"/>
      <c r="F28" s="61"/>
      <c r="G28" s="61"/>
      <c r="H28" s="61"/>
      <c r="I28" s="61"/>
      <c r="J28" s="61"/>
      <c r="K28" s="61"/>
      <c r="L28" s="68"/>
    </row>
    <row r="29" spans="2:12" ht="38.25" customHeight="1" x14ac:dyDescent="0.25">
      <c r="B29" s="67"/>
      <c r="C29" s="62" t="s">
        <v>69</v>
      </c>
      <c r="D29" s="74">
        <v>39.799999999999997</v>
      </c>
      <c r="E29" s="61"/>
      <c r="F29" s="61"/>
      <c r="G29" s="61"/>
      <c r="H29" s="61"/>
      <c r="I29" s="61"/>
      <c r="J29" s="61"/>
      <c r="K29" s="61"/>
      <c r="L29" s="68"/>
    </row>
    <row r="30" spans="2:12" ht="38.25" customHeight="1" x14ac:dyDescent="0.25">
      <c r="B30" s="67"/>
      <c r="C30" s="62" t="s">
        <v>70</v>
      </c>
      <c r="D30" s="75">
        <v>37.799999999999997</v>
      </c>
      <c r="E30" s="61"/>
      <c r="F30" s="61"/>
      <c r="G30" s="61"/>
      <c r="H30" s="61"/>
      <c r="I30" s="61"/>
      <c r="J30" s="61"/>
      <c r="K30" s="61"/>
      <c r="L30" s="68"/>
    </row>
    <row r="31" spans="2:12" ht="38.25" customHeight="1" x14ac:dyDescent="0.25">
      <c r="B31" s="67"/>
      <c r="C31" s="62" t="s">
        <v>60</v>
      </c>
      <c r="D31" s="75">
        <v>45.9</v>
      </c>
      <c r="E31" s="61"/>
      <c r="F31" s="61"/>
      <c r="G31" s="61"/>
      <c r="H31" s="61"/>
      <c r="I31" s="61"/>
      <c r="J31" s="61"/>
      <c r="K31" s="61"/>
      <c r="L31" s="68"/>
    </row>
    <row r="32" spans="2:12" ht="38.25" customHeight="1" x14ac:dyDescent="0.25">
      <c r="B32" s="67"/>
      <c r="C32" s="62" t="s">
        <v>84</v>
      </c>
      <c r="D32" s="75">
        <v>89.9</v>
      </c>
      <c r="E32" s="61"/>
      <c r="F32" s="61"/>
      <c r="G32" s="61"/>
      <c r="H32" s="61"/>
      <c r="I32" s="61"/>
      <c r="J32" s="61"/>
      <c r="K32" s="61"/>
      <c r="L32" s="68"/>
    </row>
    <row r="33" spans="2:12" ht="38.25" customHeight="1" x14ac:dyDescent="0.25">
      <c r="B33" s="67"/>
      <c r="C33" s="90" t="s">
        <v>71</v>
      </c>
      <c r="D33" s="76">
        <v>6.91</v>
      </c>
      <c r="E33" s="61"/>
      <c r="F33" s="61"/>
      <c r="G33" s="61"/>
      <c r="H33" s="61"/>
      <c r="I33" s="61"/>
      <c r="J33" s="61"/>
      <c r="K33" s="61"/>
      <c r="L33" s="68"/>
    </row>
    <row r="34" spans="2:12" x14ac:dyDescent="0.25">
      <c r="B34" s="67"/>
      <c r="C34" s="61"/>
      <c r="D34" s="61"/>
      <c r="E34" s="61"/>
      <c r="F34" s="61"/>
      <c r="G34" s="61"/>
      <c r="H34" s="61"/>
      <c r="I34" s="61"/>
      <c r="J34" s="61"/>
      <c r="K34" s="61"/>
      <c r="L34" s="68"/>
    </row>
    <row r="35" spans="2:12" x14ac:dyDescent="0.25">
      <c r="B35" s="67"/>
      <c r="C35" s="61"/>
      <c r="D35" s="61"/>
      <c r="E35" s="61"/>
      <c r="F35" s="61"/>
      <c r="G35" s="61"/>
      <c r="H35" s="61"/>
      <c r="I35" s="61"/>
      <c r="J35" s="61"/>
      <c r="K35" s="61"/>
      <c r="L35" s="68"/>
    </row>
    <row r="36" spans="2:12" x14ac:dyDescent="0.25">
      <c r="B36" s="67"/>
      <c r="C36" s="61"/>
      <c r="D36" s="61"/>
      <c r="E36" s="61"/>
      <c r="F36" s="61"/>
      <c r="G36" s="61"/>
      <c r="H36" s="61"/>
      <c r="I36" s="61"/>
      <c r="J36" s="61"/>
      <c r="K36" s="61"/>
      <c r="L36" s="68"/>
    </row>
    <row r="37" spans="2:12" ht="15.75" thickBot="1" x14ac:dyDescent="0.3">
      <c r="B37" s="71"/>
      <c r="C37" s="72"/>
      <c r="D37" s="72"/>
      <c r="E37" s="72"/>
      <c r="F37" s="72"/>
      <c r="G37" s="72"/>
      <c r="H37" s="72"/>
      <c r="I37" s="72"/>
      <c r="J37" s="72"/>
      <c r="K37" s="72"/>
      <c r="L37" s="73"/>
    </row>
    <row r="38" spans="2:12" ht="15.75" thickTop="1" x14ac:dyDescent="0.25"/>
  </sheetData>
  <conditionalFormatting sqref="D30:D32">
    <cfRule type="cellIs" dxfId="2" priority="4" operator="greaterThanOrEqual">
      <formula>0</formula>
    </cfRule>
  </conditionalFormatting>
  <conditionalFormatting sqref="D29">
    <cfRule type="cellIs" dxfId="1" priority="3" operator="greaterThanOrEqual">
      <formula>0</formula>
    </cfRule>
  </conditionalFormatting>
  <conditionalFormatting sqref="D33">
    <cfRule type="cellIs" dxfId="0" priority="1" operator="greaterThanOrEqual">
      <formula>0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CF933250-DA30-46A8-85AA-1266E54E8E67}">
            <x14:iconSet iconSet="3Arrows" custom="1">
              <x14:cfvo type="percent">
                <xm:f>0</xm:f>
              </x14:cfvo>
              <x14:cfvo type="num">
                <xm:f>90</xm:f>
              </x14:cfvo>
              <x14:cfvo type="num" gte="0">
                <xm:f>100</xm:f>
              </x14:cfvo>
              <x14:cfIcon iconSet="3Arrows" iconId="0"/>
              <x14:cfIcon iconSet="3Arrows" iconId="1"/>
              <x14:cfIcon iconSet="3Arrows" iconId="2"/>
            </x14:iconSet>
          </x14:cfRule>
          <xm:sqref>D29</xm:sqref>
        </x14:conditionalFormatting>
        <x14:conditionalFormatting xmlns:xm="http://schemas.microsoft.com/office/excel/2006/main">
          <x14:cfRule type="iconSet" priority="5" id="{79101538-2AEC-4115-ACF0-D0C1ADF3AA89}">
            <x14:iconSet iconSet="3Arrows" custom="1">
              <x14:cfvo type="percent">
                <xm:f>0</xm:f>
              </x14:cfvo>
              <x14:cfvo type="num">
                <xm:f>90</xm:f>
              </x14:cfvo>
              <x14:cfvo type="num">
                <xm:f>100</xm:f>
              </x14:cfvo>
              <x14:cfIcon iconSet="3Arrows" iconId="0"/>
              <x14:cfIcon iconSet="3Arrows" iconId="1"/>
              <x14:cfIcon iconSet="3Arrows" iconId="2"/>
            </x14:iconSet>
          </x14:cfRule>
          <xm:sqref>D33</xm:sqref>
        </x14:conditionalFormatting>
        <x14:conditionalFormatting xmlns:xm="http://schemas.microsoft.com/office/excel/2006/main">
          <x14:cfRule type="iconSet" priority="6" id="{269CC3AB-716C-42D0-B87D-72D6F1933A73}">
            <x14:iconSet iconSet="3Arrows" custom="1">
              <x14:cfvo type="percent">
                <xm:f>0</xm:f>
              </x14:cfvo>
              <x14:cfvo type="num">
                <xm:f>90</xm:f>
              </x14:cfvo>
              <x14:cfvo type="num" gte="0">
                <xm:f>100</xm:f>
              </x14:cfvo>
              <x14:cfIcon iconSet="3Arrows" iconId="2"/>
              <x14:cfIcon iconSet="3Arrows" iconId="1"/>
              <x14:cfIcon iconSet="3Arrows" iconId="0"/>
            </x14:iconSet>
          </x14:cfRule>
          <xm:sqref>D30:D32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BN25"/>
  <sheetViews>
    <sheetView showGridLines="0" zoomScale="80" zoomScaleNormal="80" workbookViewId="0">
      <selection activeCell="N18" sqref="N18"/>
    </sheetView>
  </sheetViews>
  <sheetFormatPr baseColWidth="10" defaultRowHeight="12.75" x14ac:dyDescent="0.25"/>
  <cols>
    <col min="1" max="1" width="9" style="35" customWidth="1"/>
    <col min="2" max="2" width="6" style="35" customWidth="1"/>
    <col min="3" max="3" width="11.140625" style="35" customWidth="1"/>
    <col min="4" max="4" width="27.85546875" style="35" customWidth="1"/>
    <col min="5" max="5" width="25.7109375" style="36" bestFit="1" customWidth="1"/>
    <col min="6" max="6" width="16.42578125" style="35" customWidth="1"/>
    <col min="7" max="7" width="6.7109375" style="36" customWidth="1"/>
    <col min="8" max="8" width="14.85546875" style="35" bestFit="1" customWidth="1"/>
    <col min="9" max="9" width="28.85546875" style="36" customWidth="1"/>
    <col min="10" max="10" width="25.7109375" style="37" customWidth="1"/>
    <col min="11" max="11" width="16.42578125" style="36" customWidth="1"/>
    <col min="12" max="12" width="9.42578125" style="35" customWidth="1"/>
    <col min="13" max="13" width="2.140625" style="35" customWidth="1"/>
    <col min="14" max="16384" width="11.42578125" style="35"/>
  </cols>
  <sheetData>
    <row r="1" spans="1:66" s="3" customFormat="1" ht="13.5" thickBot="1" x14ac:dyDescent="0.3">
      <c r="A1" s="35"/>
      <c r="B1" s="35"/>
      <c r="C1" s="35"/>
      <c r="D1" s="35"/>
      <c r="E1" s="36"/>
      <c r="F1" s="35"/>
      <c r="G1" s="36"/>
      <c r="H1" s="35"/>
      <c r="I1" s="36"/>
      <c r="J1" s="37"/>
      <c r="K1" s="36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</row>
    <row r="2" spans="1:66" x14ac:dyDescent="0.25">
      <c r="B2" s="47"/>
      <c r="C2" s="48"/>
      <c r="D2" s="48"/>
      <c r="E2" s="49"/>
      <c r="F2" s="48"/>
      <c r="G2" s="49"/>
      <c r="H2" s="48"/>
      <c r="I2" s="49"/>
      <c r="J2" s="50"/>
      <c r="K2" s="49"/>
      <c r="L2" s="48"/>
      <c r="M2" s="48"/>
      <c r="N2" s="51"/>
    </row>
    <row r="3" spans="1:66" x14ac:dyDescent="0.25">
      <c r="B3" s="52"/>
      <c r="C3" s="24"/>
      <c r="D3" s="24"/>
      <c r="E3" s="44"/>
      <c r="F3" s="24"/>
      <c r="G3" s="44"/>
      <c r="H3" s="24"/>
      <c r="I3" s="44"/>
      <c r="J3" s="45"/>
      <c r="K3" s="44"/>
      <c r="L3" s="24"/>
      <c r="M3" s="24"/>
      <c r="N3" s="53"/>
    </row>
    <row r="4" spans="1:66" x14ac:dyDescent="0.25">
      <c r="B4" s="52"/>
      <c r="C4" s="100"/>
      <c r="D4" s="24"/>
      <c r="E4" s="44"/>
      <c r="F4" s="24"/>
      <c r="G4" s="44"/>
      <c r="H4" s="24"/>
      <c r="I4" s="44"/>
      <c r="J4" s="45"/>
      <c r="K4" s="44"/>
      <c r="L4" s="24"/>
      <c r="M4" s="24"/>
      <c r="N4" s="53"/>
    </row>
    <row r="5" spans="1:66" ht="23.25" x14ac:dyDescent="0.25">
      <c r="B5" s="52"/>
      <c r="C5" s="102" t="s">
        <v>74</v>
      </c>
      <c r="D5" s="24"/>
      <c r="E5" s="44"/>
      <c r="F5" s="24"/>
      <c r="G5" s="44"/>
      <c r="H5" s="24"/>
      <c r="I5" s="44"/>
      <c r="J5" s="45"/>
      <c r="K5" s="44"/>
      <c r="L5" s="24"/>
      <c r="M5" s="24"/>
      <c r="N5" s="53"/>
    </row>
    <row r="6" spans="1:66" x14ac:dyDescent="0.25">
      <c r="B6" s="52"/>
      <c r="C6" s="24"/>
      <c r="D6" s="24"/>
      <c r="E6" s="44"/>
      <c r="F6" s="24"/>
      <c r="G6" s="44"/>
      <c r="H6" s="24"/>
      <c r="I6" s="44"/>
      <c r="J6" s="45"/>
      <c r="K6" s="44"/>
      <c r="L6" s="24"/>
      <c r="M6" s="24"/>
      <c r="N6" s="53"/>
    </row>
    <row r="7" spans="1:66" x14ac:dyDescent="0.25">
      <c r="B7" s="52"/>
      <c r="C7" s="24"/>
      <c r="D7" s="24"/>
      <c r="E7" s="44"/>
      <c r="F7" s="24"/>
      <c r="G7" s="44"/>
      <c r="H7" s="24"/>
      <c r="I7" s="44"/>
      <c r="J7" s="45"/>
      <c r="K7" s="44"/>
      <c r="L7" s="24"/>
      <c r="M7" s="24"/>
      <c r="N7" s="53"/>
    </row>
    <row r="8" spans="1:66" x14ac:dyDescent="0.25">
      <c r="B8" s="52"/>
      <c r="C8" s="24"/>
      <c r="D8" s="100"/>
      <c r="E8" s="44"/>
      <c r="F8" s="24"/>
      <c r="G8" s="44"/>
      <c r="H8" s="24"/>
      <c r="I8" s="44"/>
      <c r="J8" s="45"/>
      <c r="K8" s="44"/>
      <c r="L8" s="24"/>
      <c r="M8" s="24"/>
      <c r="N8" s="53"/>
    </row>
    <row r="9" spans="1:66" ht="21" x14ac:dyDescent="0.35">
      <c r="B9" s="52"/>
      <c r="C9" s="100"/>
      <c r="D9" s="241" t="s">
        <v>126</v>
      </c>
      <c r="E9" s="242"/>
      <c r="F9" s="243"/>
      <c r="G9" s="189"/>
      <c r="H9" s="190"/>
      <c r="I9" s="233"/>
      <c r="J9" s="233"/>
      <c r="K9" s="233"/>
      <c r="L9" s="24"/>
      <c r="M9" s="24"/>
      <c r="N9" s="53"/>
    </row>
    <row r="10" spans="1:66" ht="21" x14ac:dyDescent="0.35">
      <c r="B10" s="52"/>
      <c r="C10" s="100"/>
      <c r="D10" s="191" t="s">
        <v>131</v>
      </c>
      <c r="E10" s="187">
        <f>+'ESTADO DE RESULTADOS'!D67</f>
        <v>-394598481.79999995</v>
      </c>
      <c r="F10" s="237">
        <f>+E10/E11</f>
        <v>-1.8040256843551036E-2</v>
      </c>
      <c r="G10" s="192"/>
      <c r="H10" s="193"/>
      <c r="I10" s="201"/>
      <c r="J10" s="70"/>
      <c r="K10" s="101"/>
      <c r="L10" s="94"/>
      <c r="M10" s="24"/>
      <c r="N10" s="53"/>
    </row>
    <row r="11" spans="1:66" ht="21" x14ac:dyDescent="0.35">
      <c r="B11" s="52"/>
      <c r="C11" s="100"/>
      <c r="D11" s="191" t="s">
        <v>132</v>
      </c>
      <c r="E11" s="187">
        <f>+'ESTADO SITUACIÓN FINANCIERA'!J30</f>
        <v>21873218614.460003</v>
      </c>
      <c r="F11" s="238"/>
      <c r="G11" s="194"/>
      <c r="H11" s="195"/>
      <c r="I11" s="234" t="s">
        <v>142</v>
      </c>
      <c r="J11" s="235"/>
      <c r="K11" s="236"/>
      <c r="L11" s="24"/>
      <c r="M11" s="24"/>
      <c r="N11" s="53"/>
    </row>
    <row r="12" spans="1:66" ht="21" x14ac:dyDescent="0.35">
      <c r="B12" s="52"/>
      <c r="C12" s="100"/>
      <c r="D12" s="196"/>
      <c r="E12" s="186"/>
      <c r="F12" s="193"/>
      <c r="G12" s="194"/>
      <c r="H12" s="195"/>
      <c r="I12" s="191" t="s">
        <v>137</v>
      </c>
      <c r="J12" s="187">
        <f>+'ESTADO SITUACIÓN FINANCIERA'!J47</f>
        <v>11268168392.599998</v>
      </c>
      <c r="K12" s="237">
        <f>+J12/J13</f>
        <v>0.51515822116598831</v>
      </c>
      <c r="L12" s="24"/>
      <c r="M12" s="24"/>
      <c r="N12" s="53"/>
    </row>
    <row r="13" spans="1:66" ht="21" x14ac:dyDescent="0.35">
      <c r="B13" s="52"/>
      <c r="C13" s="100"/>
      <c r="D13" s="191"/>
      <c r="E13" s="197"/>
      <c r="F13" s="193"/>
      <c r="G13" s="194"/>
      <c r="H13" s="195"/>
      <c r="I13" s="191" t="s">
        <v>132</v>
      </c>
      <c r="J13" s="187">
        <f>+E11</f>
        <v>21873218614.460003</v>
      </c>
      <c r="K13" s="238"/>
      <c r="L13" s="24"/>
      <c r="M13" s="24"/>
      <c r="N13" s="53"/>
    </row>
    <row r="14" spans="1:66" ht="21" x14ac:dyDescent="0.35">
      <c r="B14" s="52"/>
      <c r="C14" s="100"/>
      <c r="D14" s="241" t="s">
        <v>127</v>
      </c>
      <c r="E14" s="242"/>
      <c r="F14" s="243"/>
      <c r="G14" s="189"/>
      <c r="H14" s="198"/>
      <c r="I14" s="101"/>
      <c r="J14" s="202"/>
      <c r="K14" s="101"/>
      <c r="L14" s="24"/>
      <c r="M14" s="24"/>
      <c r="N14" s="53"/>
    </row>
    <row r="15" spans="1:66" ht="21" x14ac:dyDescent="0.25">
      <c r="B15" s="52"/>
      <c r="C15" s="100"/>
      <c r="D15" s="191" t="s">
        <v>133</v>
      </c>
      <c r="E15" s="188">
        <f>+E10</f>
        <v>-394598481.79999995</v>
      </c>
      <c r="F15" s="237">
        <f>+E15/E16</f>
        <v>-3.7208544376963075E-2</v>
      </c>
      <c r="G15" s="194"/>
      <c r="H15" s="195"/>
      <c r="I15" s="101"/>
      <c r="J15" s="202"/>
      <c r="K15" s="101"/>
      <c r="L15" s="24"/>
      <c r="M15" s="24"/>
      <c r="N15" s="53"/>
    </row>
    <row r="16" spans="1:66" ht="21" x14ac:dyDescent="0.25">
      <c r="B16" s="52"/>
      <c r="C16" s="100"/>
      <c r="D16" s="191" t="s">
        <v>134</v>
      </c>
      <c r="E16" s="188">
        <f>+'ESTADO SITUACIÓN FINANCIERA'!J57</f>
        <v>10605050221.860001</v>
      </c>
      <c r="F16" s="238"/>
      <c r="G16" s="194"/>
      <c r="H16" s="194"/>
      <c r="I16" s="234" t="s">
        <v>129</v>
      </c>
      <c r="J16" s="235"/>
      <c r="K16" s="236"/>
      <c r="L16" s="24"/>
      <c r="M16" s="24"/>
      <c r="N16" s="53"/>
    </row>
    <row r="17" spans="2:14" ht="21" x14ac:dyDescent="0.35">
      <c r="B17" s="52"/>
      <c r="C17" s="100"/>
      <c r="D17" s="191"/>
      <c r="E17" s="197"/>
      <c r="F17" s="193"/>
      <c r="G17" s="194"/>
      <c r="H17" s="195"/>
      <c r="I17" s="200" t="s">
        <v>138</v>
      </c>
      <c r="J17" s="187">
        <f>+'ESTADO SITUACIÓN FINANCIERA'!J35+'ESTADO SITUACIÓN FINANCIERA'!J43</f>
        <v>6833528237</v>
      </c>
      <c r="K17" s="237">
        <f>+J17/J18</f>
        <v>0.3124153037304932</v>
      </c>
      <c r="L17" s="24"/>
      <c r="M17" s="24"/>
      <c r="N17" s="53"/>
    </row>
    <row r="18" spans="2:14" ht="21" x14ac:dyDescent="0.35">
      <c r="B18" s="52"/>
      <c r="C18" s="100"/>
      <c r="D18" s="191"/>
      <c r="E18" s="197"/>
      <c r="F18" s="193"/>
      <c r="G18" s="194"/>
      <c r="H18" s="195"/>
      <c r="I18" s="191" t="s">
        <v>132</v>
      </c>
      <c r="J18" s="187">
        <f>+E11</f>
        <v>21873218614.460003</v>
      </c>
      <c r="K18" s="238"/>
      <c r="L18" s="24"/>
      <c r="M18" s="24"/>
      <c r="N18" s="53"/>
    </row>
    <row r="19" spans="2:14" ht="21" x14ac:dyDescent="0.35">
      <c r="B19" s="52"/>
      <c r="C19" s="100"/>
      <c r="D19" s="241" t="s">
        <v>130</v>
      </c>
      <c r="E19" s="242"/>
      <c r="F19" s="243"/>
      <c r="G19" s="189"/>
      <c r="H19" s="190"/>
      <c r="I19" s="101"/>
      <c r="J19" s="202"/>
      <c r="K19" s="101"/>
      <c r="L19" s="24"/>
      <c r="M19" s="24"/>
      <c r="N19" s="53"/>
    </row>
    <row r="20" spans="2:14" ht="21" x14ac:dyDescent="0.35">
      <c r="B20" s="52"/>
      <c r="C20" s="100"/>
      <c r="D20" s="186" t="s">
        <v>135</v>
      </c>
      <c r="E20" s="188">
        <f>+'ESTADO SITUACIÓN FINANCIERA'!J21</f>
        <v>124828570.06</v>
      </c>
      <c r="F20" s="239">
        <f>+E20/E21</f>
        <v>4.2877560484314313E-2</v>
      </c>
      <c r="G20" s="194"/>
      <c r="H20" s="195"/>
      <c r="I20" s="101"/>
      <c r="J20" s="202"/>
      <c r="K20" s="101"/>
      <c r="L20" s="24"/>
      <c r="M20" s="24"/>
      <c r="N20" s="53"/>
    </row>
    <row r="21" spans="2:14" ht="21" x14ac:dyDescent="0.35">
      <c r="B21" s="52"/>
      <c r="C21" s="100"/>
      <c r="D21" s="186" t="s">
        <v>136</v>
      </c>
      <c r="E21" s="188">
        <f>+'ESTADO SITUACIÓN FINANCIERA'!J40</f>
        <v>2911279668.1999998</v>
      </c>
      <c r="F21" s="240"/>
      <c r="G21" s="194"/>
      <c r="H21" s="195"/>
      <c r="I21" s="101"/>
      <c r="J21" s="202"/>
      <c r="K21" s="101"/>
      <c r="L21" s="24"/>
      <c r="M21" s="24"/>
      <c r="N21" s="53"/>
    </row>
    <row r="22" spans="2:14" x14ac:dyDescent="0.25">
      <c r="B22" s="52"/>
      <c r="C22" s="24"/>
      <c r="D22" s="24"/>
      <c r="E22" s="44"/>
      <c r="F22" s="24"/>
      <c r="G22" s="44"/>
      <c r="H22" s="24"/>
      <c r="I22" s="44"/>
      <c r="J22" s="45"/>
      <c r="K22" s="44"/>
      <c r="L22" s="24"/>
      <c r="M22" s="24"/>
      <c r="N22" s="53"/>
    </row>
    <row r="23" spans="2:14" x14ac:dyDescent="0.25">
      <c r="B23" s="52"/>
      <c r="C23" s="24"/>
      <c r="D23" s="24"/>
      <c r="E23" s="44"/>
      <c r="F23" s="24"/>
      <c r="G23" s="44"/>
      <c r="H23" s="24"/>
      <c r="I23" s="44"/>
      <c r="J23" s="45"/>
      <c r="K23" s="44"/>
      <c r="L23" s="24"/>
      <c r="M23" s="24"/>
      <c r="N23" s="53"/>
    </row>
    <row r="24" spans="2:14" ht="13.5" customHeight="1" x14ac:dyDescent="0.25">
      <c r="B24" s="52"/>
      <c r="C24" s="24"/>
      <c r="D24" s="24"/>
      <c r="E24" s="44"/>
      <c r="F24" s="24"/>
      <c r="G24" s="44"/>
      <c r="H24" s="24"/>
      <c r="I24" s="44"/>
      <c r="J24" s="45"/>
      <c r="K24" s="44"/>
      <c r="L24" s="24"/>
      <c r="M24" s="24"/>
      <c r="N24" s="53"/>
    </row>
    <row r="25" spans="2:14" ht="13.5" thickBot="1" x14ac:dyDescent="0.3">
      <c r="B25" s="54"/>
      <c r="C25" s="55"/>
      <c r="D25" s="55"/>
      <c r="E25" s="56"/>
      <c r="F25" s="55"/>
      <c r="G25" s="56"/>
      <c r="H25" s="55"/>
      <c r="I25" s="56"/>
      <c r="J25" s="57"/>
      <c r="K25" s="56"/>
      <c r="L25" s="55"/>
      <c r="M25" s="55"/>
      <c r="N25" s="58"/>
    </row>
  </sheetData>
  <mergeCells count="11">
    <mergeCell ref="F20:F21"/>
    <mergeCell ref="D9:F9"/>
    <mergeCell ref="D14:F14"/>
    <mergeCell ref="F10:F11"/>
    <mergeCell ref="F15:F16"/>
    <mergeCell ref="D19:F19"/>
    <mergeCell ref="I9:K9"/>
    <mergeCell ref="I11:K11"/>
    <mergeCell ref="I16:K16"/>
    <mergeCell ref="K12:K13"/>
    <mergeCell ref="K17:K18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9" tint="0.79998168889431442"/>
    <outlinePr summaryBelow="0"/>
  </sheetPr>
  <dimension ref="A1:BO71"/>
  <sheetViews>
    <sheetView showGridLines="0" zoomScale="80" zoomScaleNormal="80" workbookViewId="0"/>
  </sheetViews>
  <sheetFormatPr baseColWidth="10" defaultRowHeight="12.75" outlineLevelRow="1" x14ac:dyDescent="0.25"/>
  <cols>
    <col min="1" max="1" width="9" style="35" customWidth="1"/>
    <col min="2" max="2" width="6" style="35" customWidth="1"/>
    <col min="3" max="3" width="48.28515625" style="35" customWidth="1"/>
    <col min="4" max="4" width="16.42578125" style="35" customWidth="1"/>
    <col min="5" max="5" width="12.42578125" style="36" customWidth="1"/>
    <col min="6" max="6" width="16.42578125" style="35" customWidth="1"/>
    <col min="7" max="7" width="8" style="36" customWidth="1"/>
    <col min="8" max="8" width="14.85546875" style="35" bestFit="1" customWidth="1"/>
    <col min="9" max="9" width="11.5703125" style="36" bestFit="1" customWidth="1"/>
    <col min="10" max="10" width="16.42578125" style="37" customWidth="1"/>
    <col min="11" max="11" width="12.42578125" style="36" customWidth="1"/>
    <col min="12" max="12" width="15" style="35" bestFit="1" customWidth="1"/>
    <col min="13" max="13" width="11.42578125" style="36"/>
    <col min="14" max="14" width="2.140625" style="35" customWidth="1"/>
    <col min="15" max="16384" width="11.42578125" style="35"/>
  </cols>
  <sheetData>
    <row r="1" spans="1:67" s="3" customFormat="1" ht="13.5" thickBot="1" x14ac:dyDescent="0.3">
      <c r="A1" s="35"/>
      <c r="B1" s="35"/>
      <c r="C1" s="35"/>
      <c r="D1" s="35"/>
      <c r="E1" s="36"/>
      <c r="F1" s="35"/>
      <c r="G1" s="36"/>
      <c r="H1" s="35"/>
      <c r="I1" s="36"/>
      <c r="J1" s="37"/>
      <c r="K1" s="36"/>
      <c r="L1" s="35"/>
      <c r="M1" s="36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</row>
    <row r="2" spans="1:67" s="3" customFormat="1" ht="15" x14ac:dyDescent="0.25">
      <c r="A2" s="35"/>
      <c r="B2" s="26"/>
      <c r="C2" s="38"/>
      <c r="D2" s="38"/>
      <c r="E2" s="39"/>
      <c r="F2" s="38"/>
      <c r="G2" s="39"/>
      <c r="H2" s="38"/>
      <c r="I2" s="39"/>
      <c r="J2" s="40"/>
      <c r="K2" s="39"/>
      <c r="L2" s="38"/>
      <c r="M2" s="39"/>
      <c r="N2" s="38"/>
      <c r="O2" s="27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</row>
    <row r="3" spans="1:67" s="3" customFormat="1" ht="15.75" x14ac:dyDescent="0.25">
      <c r="A3" s="35"/>
      <c r="B3" s="28"/>
      <c r="C3" s="249" t="s">
        <v>0</v>
      </c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41"/>
      <c r="O3" s="29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</row>
    <row r="4" spans="1:67" s="3" customFormat="1" ht="15.75" x14ac:dyDescent="0.25">
      <c r="A4" s="35"/>
      <c r="B4" s="28"/>
      <c r="C4" s="250" t="s">
        <v>1</v>
      </c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9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</row>
    <row r="5" spans="1:67" s="3" customFormat="1" ht="15.75" x14ac:dyDescent="0.25">
      <c r="A5" s="35"/>
      <c r="B5" s="28"/>
      <c r="C5" s="250" t="s">
        <v>2</v>
      </c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41"/>
      <c r="O5" s="29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</row>
    <row r="6" spans="1:67" s="3" customFormat="1" x14ac:dyDescent="0.25">
      <c r="A6" s="35"/>
      <c r="B6" s="28"/>
      <c r="C6" s="6"/>
      <c r="D6" s="6"/>
      <c r="E6" s="20"/>
      <c r="F6" s="4"/>
      <c r="G6" s="20"/>
      <c r="H6" s="4"/>
      <c r="I6" s="20"/>
      <c r="J6" s="7"/>
      <c r="K6" s="20"/>
      <c r="L6" s="4"/>
      <c r="M6" s="20"/>
      <c r="N6" s="4"/>
      <c r="O6" s="29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</row>
    <row r="7" spans="1:67" s="3" customFormat="1" ht="15" customHeight="1" x14ac:dyDescent="0.25">
      <c r="A7" s="35"/>
      <c r="B7" s="28"/>
      <c r="C7" s="4"/>
      <c r="D7" s="251" t="s">
        <v>58</v>
      </c>
      <c r="E7" s="246" t="s">
        <v>50</v>
      </c>
      <c r="F7" s="253" t="s">
        <v>57</v>
      </c>
      <c r="G7" s="246" t="s">
        <v>50</v>
      </c>
      <c r="H7" s="246" t="s">
        <v>51</v>
      </c>
      <c r="I7" s="246"/>
      <c r="J7" s="244" t="s">
        <v>54</v>
      </c>
      <c r="K7" s="246" t="s">
        <v>50</v>
      </c>
      <c r="L7" s="246" t="s">
        <v>55</v>
      </c>
      <c r="M7" s="248"/>
      <c r="N7" s="4"/>
      <c r="O7" s="29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</row>
    <row r="8" spans="1:67" s="3" customFormat="1" x14ac:dyDescent="0.25">
      <c r="A8" s="35"/>
      <c r="B8" s="28"/>
      <c r="C8" s="5"/>
      <c r="D8" s="252"/>
      <c r="E8" s="247"/>
      <c r="F8" s="254"/>
      <c r="G8" s="247"/>
      <c r="H8" s="15" t="s">
        <v>52</v>
      </c>
      <c r="I8" s="15" t="s">
        <v>53</v>
      </c>
      <c r="J8" s="245"/>
      <c r="K8" s="247"/>
      <c r="L8" s="15" t="s">
        <v>52</v>
      </c>
      <c r="M8" s="16" t="s">
        <v>53</v>
      </c>
      <c r="N8" s="4"/>
      <c r="O8" s="29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</row>
    <row r="9" spans="1:67" s="3" customFormat="1" collapsed="1" x14ac:dyDescent="0.25">
      <c r="A9" s="35"/>
      <c r="B9" s="28"/>
      <c r="C9" s="8" t="s">
        <v>3</v>
      </c>
      <c r="D9" s="4"/>
      <c r="E9" s="20"/>
      <c r="F9" s="4"/>
      <c r="G9" s="20"/>
      <c r="H9" s="4"/>
      <c r="I9" s="20"/>
      <c r="J9" s="9"/>
      <c r="K9" s="20"/>
      <c r="L9" s="4"/>
      <c r="M9" s="20"/>
      <c r="N9" s="4"/>
      <c r="O9" s="29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</row>
    <row r="10" spans="1:67" s="3" customFormat="1" hidden="1" outlineLevel="1" x14ac:dyDescent="0.25">
      <c r="A10" s="35"/>
      <c r="B10" s="28"/>
      <c r="C10" s="4" t="s">
        <v>4</v>
      </c>
      <c r="D10" s="11">
        <v>565074850</v>
      </c>
      <c r="E10" s="21">
        <f>D10/D$19</f>
        <v>0.54807639435957789</v>
      </c>
      <c r="F10" s="11">
        <f>1246375074+17003120+5290100</f>
        <v>1268668294</v>
      </c>
      <c r="G10" s="21">
        <f>F10/F$19</f>
        <v>0.66813633686107288</v>
      </c>
      <c r="H10" s="11">
        <f>+D10-F10</f>
        <v>-703593444</v>
      </c>
      <c r="I10" s="21">
        <f>D10/F10-1</f>
        <v>-0.55459212414115866</v>
      </c>
      <c r="J10" s="42">
        <v>1544573000</v>
      </c>
      <c r="K10" s="21">
        <f>J10/J$19</f>
        <v>0.59566952042296051</v>
      </c>
      <c r="L10" s="12">
        <f>+D10-J10</f>
        <v>-979498150</v>
      </c>
      <c r="M10" s="21">
        <f>(IF(AND(D10=0,J10&lt;&gt;0,J10&gt;0),0,IF(AND(D10=0,J10&lt;&gt;0,J10&lt;0),200,IF(AND(J10=0,D10&lt;&gt;0),"N.C.",IF(AND(D10=0,J10=0),100,IF(AND(D10&lt;0,J10&lt;0,D10&lt;J10),((1-((D10-J10)/J10))*100),IF(AND(D10&lt;0,J10&lt;0,J10&lt;=D10),((1+((J10-D10)/J10))*100),IF(AND(J10&gt;0,D10&gt;0,J10&gt;=D10),((1-((J10-D10)/J10))*100),IF(AND(J10&gt;0,D10&gt;0,J10&lt;D10),((1+((D10-J10)/J10))*100),IF(AND(J10&lt;0,D10&gt;0),((1+((J10-D10)/J10))*100),IF(AND(J10&gt;0,D10&lt;0),(1-((J10-D10)/J10))*100)))))))))))/100</f>
        <v>0.36584535013884101</v>
      </c>
      <c r="N10" s="4"/>
      <c r="O10" s="232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</row>
    <row r="11" spans="1:67" s="3" customFormat="1" hidden="1" outlineLevel="1" x14ac:dyDescent="0.25">
      <c r="A11" s="35"/>
      <c r="B11" s="28"/>
      <c r="C11" s="4" t="s">
        <v>5</v>
      </c>
      <c r="D11" s="11">
        <v>146814600</v>
      </c>
      <c r="E11" s="21">
        <f t="shared" ref="E11:G19" si="0">D11/D$19</f>
        <v>0.14239815593871094</v>
      </c>
      <c r="F11" s="11">
        <f>252348000+143000</f>
        <v>252491000</v>
      </c>
      <c r="G11" s="21">
        <f t="shared" si="0"/>
        <v>0.13297282877504399</v>
      </c>
      <c r="H11" s="11">
        <f t="shared" ref="H11:H67" si="1">+D11-F11</f>
        <v>-105676400</v>
      </c>
      <c r="I11" s="21">
        <f t="shared" ref="I11:I19" si="2">D11/F11-1</f>
        <v>-0.41853531413000855</v>
      </c>
      <c r="J11" s="42">
        <v>439093200</v>
      </c>
      <c r="K11" s="21">
        <f t="shared" ref="K11" si="3">J11/J$19</f>
        <v>0.16933769777471386</v>
      </c>
      <c r="L11" s="12">
        <f t="shared" ref="L11:L65" si="4">+D11-J11</f>
        <v>-292278600</v>
      </c>
      <c r="M11" s="21">
        <v>0.3343586281910082</v>
      </c>
      <c r="N11" s="4"/>
      <c r="O11" s="232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</row>
    <row r="12" spans="1:67" s="3" customFormat="1" hidden="1" outlineLevel="1" x14ac:dyDescent="0.25">
      <c r="A12" s="35"/>
      <c r="B12" s="28"/>
      <c r="C12" s="4" t="s">
        <v>6</v>
      </c>
      <c r="D12" s="11">
        <v>66625569</v>
      </c>
      <c r="E12" s="21">
        <f t="shared" si="0"/>
        <v>6.462135348914444E-2</v>
      </c>
      <c r="F12" s="11">
        <v>43537163</v>
      </c>
      <c r="G12" s="21">
        <f t="shared" si="0"/>
        <v>2.2928578527354162E-2</v>
      </c>
      <c r="H12" s="11">
        <f t="shared" si="1"/>
        <v>23088406</v>
      </c>
      <c r="I12" s="21">
        <f t="shared" si="2"/>
        <v>0.5303148944270899</v>
      </c>
      <c r="J12" s="42">
        <v>286337046</v>
      </c>
      <c r="K12" s="21">
        <f t="shared" ref="K12" si="5">J12/J$19</f>
        <v>0.11042679813135876</v>
      </c>
      <c r="L12" s="12">
        <f t="shared" si="4"/>
        <v>-219711477</v>
      </c>
      <c r="M12" s="21">
        <v>0.23268232291535201</v>
      </c>
      <c r="N12" s="4"/>
      <c r="O12" s="232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</row>
    <row r="13" spans="1:67" s="3" customFormat="1" hidden="1" outlineLevel="1" x14ac:dyDescent="0.25">
      <c r="A13" s="35"/>
      <c r="B13" s="28"/>
      <c r="C13" s="4" t="s">
        <v>7</v>
      </c>
      <c r="D13" s="11">
        <v>70018</v>
      </c>
      <c r="E13" s="21">
        <f t="shared" si="0"/>
        <v>6.7911734136228013E-5</v>
      </c>
      <c r="F13" s="11">
        <v>313504</v>
      </c>
      <c r="G13" s="21">
        <f>F13/F$19</f>
        <v>1.6510494913597469E-4</v>
      </c>
      <c r="H13" s="11">
        <f t="shared" si="1"/>
        <v>-243486</v>
      </c>
      <c r="I13" s="21">
        <f t="shared" si="2"/>
        <v>-0.77665994692252727</v>
      </c>
      <c r="J13" s="42">
        <v>0</v>
      </c>
      <c r="K13" s="21">
        <f t="shared" ref="K13" si="6">J13/J$19</f>
        <v>0</v>
      </c>
      <c r="L13" s="12">
        <f t="shared" si="4"/>
        <v>70018</v>
      </c>
      <c r="M13" s="21">
        <v>0</v>
      </c>
      <c r="N13" s="4"/>
      <c r="O13" s="232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</row>
    <row r="14" spans="1:67" s="3" customFormat="1" hidden="1" outlineLevel="1" x14ac:dyDescent="0.25">
      <c r="A14" s="35"/>
      <c r="B14" s="28"/>
      <c r="C14" s="4" t="s">
        <v>8</v>
      </c>
      <c r="D14" s="11">
        <v>98829500</v>
      </c>
      <c r="E14" s="21">
        <f t="shared" si="0"/>
        <v>9.5856533017457612E-2</v>
      </c>
      <c r="F14" s="11">
        <v>205454900</v>
      </c>
      <c r="G14" s="21">
        <f t="shared" si="0"/>
        <v>0.10820155664437062</v>
      </c>
      <c r="H14" s="11">
        <f t="shared" si="1"/>
        <v>-106625400</v>
      </c>
      <c r="I14" s="21">
        <f t="shared" si="2"/>
        <v>-0.51897229026905656</v>
      </c>
      <c r="J14" s="42">
        <v>323000000</v>
      </c>
      <c r="K14" s="21">
        <f t="shared" ref="K14" si="7">J14/J$19</f>
        <v>0.12456598367096683</v>
      </c>
      <c r="L14" s="12">
        <f t="shared" si="4"/>
        <v>-224170500</v>
      </c>
      <c r="M14" s="21">
        <v>0.30597368421052634</v>
      </c>
      <c r="N14" s="4"/>
      <c r="O14" s="232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</row>
    <row r="15" spans="1:67" s="3" customFormat="1" hidden="1" outlineLevel="1" x14ac:dyDescent="0.25">
      <c r="A15" s="35"/>
      <c r="B15" s="28"/>
      <c r="C15" s="4" t="s">
        <v>9</v>
      </c>
      <c r="D15" s="11">
        <v>1042500</v>
      </c>
      <c r="E15" s="21">
        <f t="shared" si="0"/>
        <v>1.0111397474509086E-3</v>
      </c>
      <c r="F15" s="11">
        <v>2657700</v>
      </c>
      <c r="G15" s="21">
        <f t="shared" si="0"/>
        <v>1.3996613227221341E-3</v>
      </c>
      <c r="H15" s="11">
        <f t="shared" si="1"/>
        <v>-1615200</v>
      </c>
      <c r="I15" s="21">
        <f t="shared" si="2"/>
        <v>-0.6077435376453324</v>
      </c>
      <c r="J15" s="42">
        <v>0</v>
      </c>
      <c r="K15" s="21">
        <f t="shared" ref="K15" si="8">J15/J$19</f>
        <v>0</v>
      </c>
      <c r="L15" s="12">
        <f t="shared" si="4"/>
        <v>1042500</v>
      </c>
      <c r="M15" s="21">
        <v>0</v>
      </c>
      <c r="N15" s="4"/>
      <c r="O15" s="232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</row>
    <row r="16" spans="1:67" s="3" customFormat="1" hidden="1" outlineLevel="1" x14ac:dyDescent="0.25">
      <c r="A16" s="35"/>
      <c r="B16" s="28"/>
      <c r="C16" s="4" t="s">
        <v>10</v>
      </c>
      <c r="D16" s="11">
        <v>0</v>
      </c>
      <c r="E16" s="21">
        <f t="shared" si="0"/>
        <v>0</v>
      </c>
      <c r="F16" s="11">
        <v>69845500</v>
      </c>
      <c r="G16" s="21">
        <f t="shared" si="0"/>
        <v>3.6783702041685976E-2</v>
      </c>
      <c r="H16" s="11">
        <f t="shared" si="1"/>
        <v>-69845500</v>
      </c>
      <c r="I16" s="21">
        <f t="shared" si="2"/>
        <v>-1</v>
      </c>
      <c r="J16" s="42">
        <v>0</v>
      </c>
      <c r="K16" s="21">
        <f t="shared" ref="K16" si="9">J16/J$19</f>
        <v>0</v>
      </c>
      <c r="L16" s="12">
        <f t="shared" si="4"/>
        <v>0</v>
      </c>
      <c r="M16" s="21">
        <v>0</v>
      </c>
      <c r="N16" s="4"/>
      <c r="O16" s="232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</row>
    <row r="17" spans="1:67" s="3" customFormat="1" hidden="1" outlineLevel="1" x14ac:dyDescent="0.25">
      <c r="A17" s="35"/>
      <c r="B17" s="28"/>
      <c r="C17" s="4" t="s">
        <v>11</v>
      </c>
      <c r="D17" s="11">
        <v>51181000</v>
      </c>
      <c r="E17" s="21">
        <f t="shared" si="0"/>
        <v>4.9641384570057505E-2</v>
      </c>
      <c r="F17" s="11">
        <v>0</v>
      </c>
      <c r="G17" s="21">
        <f t="shared" si="0"/>
        <v>0</v>
      </c>
      <c r="H17" s="11">
        <f t="shared" si="1"/>
        <v>51181000</v>
      </c>
      <c r="I17" s="21">
        <f>IFERROR(F17/F17-1,0)</f>
        <v>0</v>
      </c>
      <c r="J17" s="42">
        <v>0</v>
      </c>
      <c r="K17" s="21">
        <f t="shared" ref="K17" si="10">J17/J$19</f>
        <v>0</v>
      </c>
      <c r="L17" s="12">
        <f t="shared" si="4"/>
        <v>51181000</v>
      </c>
      <c r="M17" s="21">
        <v>0</v>
      </c>
      <c r="N17" s="4"/>
      <c r="O17" s="232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</row>
    <row r="18" spans="1:67" s="3" customFormat="1" hidden="1" outlineLevel="1" x14ac:dyDescent="0.25">
      <c r="A18" s="35"/>
      <c r="B18" s="28"/>
      <c r="C18" s="4" t="s">
        <v>12</v>
      </c>
      <c r="D18" s="11">
        <v>101376719</v>
      </c>
      <c r="E18" s="21">
        <f t="shared" si="0"/>
        <v>9.8327127143464477E-2</v>
      </c>
      <c r="F18" s="11">
        <f>51749181+4099248</f>
        <v>55848429</v>
      </c>
      <c r="G18" s="21">
        <f t="shared" si="0"/>
        <v>2.941223087861429E-2</v>
      </c>
      <c r="H18" s="11">
        <f t="shared" si="1"/>
        <v>45528290</v>
      </c>
      <c r="I18" s="21">
        <f t="shared" si="2"/>
        <v>0.81521165080579072</v>
      </c>
      <c r="J18" s="91"/>
      <c r="K18" s="21">
        <f t="shared" ref="K18" si="11">J18/J$19</f>
        <v>0</v>
      </c>
      <c r="L18" s="12">
        <f t="shared" si="4"/>
        <v>101376719</v>
      </c>
      <c r="M18" s="21">
        <v>0</v>
      </c>
      <c r="N18" s="4"/>
      <c r="O18" s="232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</row>
    <row r="19" spans="1:67" s="3" customFormat="1" x14ac:dyDescent="0.25">
      <c r="A19" s="35"/>
      <c r="B19" s="28"/>
      <c r="C19" s="17" t="s">
        <v>13</v>
      </c>
      <c r="D19" s="18">
        <f>SUM(D10:D18)</f>
        <v>1031014756</v>
      </c>
      <c r="E19" s="22">
        <f t="shared" si="0"/>
        <v>1</v>
      </c>
      <c r="F19" s="18">
        <f>SUM(F10:F18)</f>
        <v>1898816490</v>
      </c>
      <c r="G19" s="22">
        <f t="shared" si="0"/>
        <v>1</v>
      </c>
      <c r="H19" s="18">
        <f t="shared" si="1"/>
        <v>-867801734</v>
      </c>
      <c r="I19" s="22">
        <f t="shared" si="2"/>
        <v>-0.45702243401098752</v>
      </c>
      <c r="J19" s="19">
        <f>SUM(J10:J18)</f>
        <v>2593003246</v>
      </c>
      <c r="K19" s="22">
        <f t="shared" ref="K19" si="12">J19/J$19</f>
        <v>1</v>
      </c>
      <c r="L19" s="19">
        <f>+D19-J19</f>
        <v>-1561988490</v>
      </c>
      <c r="M19" s="22">
        <v>0.39761414012514501</v>
      </c>
      <c r="N19" s="4"/>
      <c r="O19" s="232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</row>
    <row r="20" spans="1:67" s="3" customFormat="1" x14ac:dyDescent="0.25">
      <c r="A20" s="35"/>
      <c r="B20" s="28"/>
      <c r="C20" s="4"/>
      <c r="D20" s="11"/>
      <c r="E20" s="20"/>
      <c r="F20" s="11"/>
      <c r="G20" s="20"/>
      <c r="H20" s="11"/>
      <c r="I20" s="20"/>
      <c r="J20" s="42"/>
      <c r="K20" s="20"/>
      <c r="L20" s="12">
        <f t="shared" si="4"/>
        <v>0</v>
      </c>
      <c r="M20" s="21"/>
      <c r="N20" s="4"/>
      <c r="O20" s="232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</row>
    <row r="21" spans="1:67" s="3" customFormat="1" x14ac:dyDescent="0.25">
      <c r="A21" s="35"/>
      <c r="B21" s="28"/>
      <c r="C21" s="8" t="s">
        <v>14</v>
      </c>
      <c r="D21" s="11"/>
      <c r="E21" s="20"/>
      <c r="F21" s="11"/>
      <c r="G21" s="20"/>
      <c r="H21" s="11"/>
      <c r="I21" s="20"/>
      <c r="J21" s="42"/>
      <c r="K21" s="20"/>
      <c r="L21" s="12">
        <f t="shared" si="4"/>
        <v>0</v>
      </c>
      <c r="M21" s="21"/>
      <c r="N21" s="4"/>
      <c r="O21" s="232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</row>
    <row r="22" spans="1:67" s="3" customFormat="1" collapsed="1" x14ac:dyDescent="0.25">
      <c r="A22" s="35"/>
      <c r="B22" s="28"/>
      <c r="C22" s="8" t="s">
        <v>15</v>
      </c>
      <c r="D22" s="13">
        <f>SUM(D23:D46)</f>
        <v>1214577699</v>
      </c>
      <c r="E22" s="23">
        <f>D22/D$19</f>
        <v>1.178041043478528</v>
      </c>
      <c r="F22" s="13">
        <f t="shared" ref="F22:L22" si="13">SUM(F23:F46)</f>
        <v>1451408669</v>
      </c>
      <c r="G22" s="23">
        <f>F22/F$19</f>
        <v>0.76437542892836374</v>
      </c>
      <c r="H22" s="13">
        <f t="shared" si="13"/>
        <v>-236830970</v>
      </c>
      <c r="I22" s="23">
        <f>D22/F22-1</f>
        <v>-0.16317318137776671</v>
      </c>
      <c r="J22" s="13">
        <f t="shared" si="13"/>
        <v>1912116411</v>
      </c>
      <c r="K22" s="23">
        <f>J22/J$19</f>
        <v>0.73741381309477927</v>
      </c>
      <c r="L22" s="13">
        <f t="shared" si="13"/>
        <v>-697538712</v>
      </c>
      <c r="M22" s="23">
        <f t="shared" ref="M22:M59" si="14">IFERROR(D22/J22,0)</f>
        <v>0.63520070849912291</v>
      </c>
      <c r="N22" s="4"/>
      <c r="O22" s="232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</row>
    <row r="23" spans="1:67" s="3" customFormat="1" hidden="1" outlineLevel="1" x14ac:dyDescent="0.25">
      <c r="A23" s="35"/>
      <c r="B23" s="28"/>
      <c r="C23" s="4" t="s">
        <v>16</v>
      </c>
      <c r="D23" s="11">
        <v>525632407</v>
      </c>
      <c r="E23" s="21">
        <f>D23/D$19</f>
        <v>0.50982045013524524</v>
      </c>
      <c r="F23" s="11">
        <v>648272495</v>
      </c>
      <c r="G23" s="21">
        <f>F23/F$19</f>
        <v>0.34140871348763147</v>
      </c>
      <c r="H23" s="11">
        <f t="shared" si="1"/>
        <v>-122640088</v>
      </c>
      <c r="I23" s="21">
        <f t="shared" ref="I23:I67" si="15">D23/F23-1</f>
        <v>-0.18917984172689606</v>
      </c>
      <c r="J23" s="42">
        <v>1145348184</v>
      </c>
      <c r="K23" s="21">
        <f>J23/J$19</f>
        <v>0.44170719252543506</v>
      </c>
      <c r="L23" s="12">
        <f t="shared" si="4"/>
        <v>-619715777</v>
      </c>
      <c r="M23" s="21">
        <f t="shared" si="14"/>
        <v>0.45892804855575692</v>
      </c>
      <c r="N23" s="4"/>
      <c r="O23" s="232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</row>
    <row r="24" spans="1:67" s="3" customFormat="1" hidden="1" outlineLevel="1" x14ac:dyDescent="0.25">
      <c r="A24" s="35"/>
      <c r="B24" s="28"/>
      <c r="C24" s="4" t="s">
        <v>17</v>
      </c>
      <c r="D24" s="11">
        <v>22190865</v>
      </c>
      <c r="E24" s="21">
        <f t="shared" ref="E24:G67" si="16">D24/D$19</f>
        <v>2.1523324347066861E-2</v>
      </c>
      <c r="F24" s="11">
        <v>30762888</v>
      </c>
      <c r="G24" s="21">
        <f t="shared" si="16"/>
        <v>1.620108534026898E-2</v>
      </c>
      <c r="H24" s="11">
        <f t="shared" si="1"/>
        <v>-8572023</v>
      </c>
      <c r="I24" s="21">
        <f t="shared" si="15"/>
        <v>-0.27864818803748204</v>
      </c>
      <c r="J24" s="42">
        <v>22063000</v>
      </c>
      <c r="K24" s="21">
        <f t="shared" ref="K24" si="17">J24/J$19</f>
        <v>8.5086665564474955E-3</v>
      </c>
      <c r="L24" s="12">
        <f t="shared" si="4"/>
        <v>127865</v>
      </c>
      <c r="M24" s="21">
        <f t="shared" si="14"/>
        <v>1.0057954493949146</v>
      </c>
      <c r="N24" s="4"/>
      <c r="O24" s="232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</row>
    <row r="25" spans="1:67" s="3" customFormat="1" hidden="1" outlineLevel="1" x14ac:dyDescent="0.25">
      <c r="A25" s="35"/>
      <c r="B25" s="28"/>
      <c r="C25" s="4" t="s">
        <v>18</v>
      </c>
      <c r="D25" s="11">
        <v>22840040</v>
      </c>
      <c r="E25" s="21">
        <f t="shared" si="16"/>
        <v>2.2152971009466327E-2</v>
      </c>
      <c r="F25" s="11">
        <v>6779828</v>
      </c>
      <c r="G25" s="21">
        <f t="shared" si="16"/>
        <v>3.5705546247915723E-3</v>
      </c>
      <c r="H25" s="11">
        <f t="shared" si="1"/>
        <v>16060212</v>
      </c>
      <c r="I25" s="21">
        <f t="shared" si="15"/>
        <v>2.3688229258913354</v>
      </c>
      <c r="J25" s="42">
        <v>32063000</v>
      </c>
      <c r="K25" s="21">
        <f t="shared" ref="K25" si="18">J25/J$19</f>
        <v>1.2365198558644612E-2</v>
      </c>
      <c r="L25" s="12">
        <f t="shared" si="4"/>
        <v>-9222960</v>
      </c>
      <c r="M25" s="21">
        <f t="shared" si="14"/>
        <v>0.71234881327386712</v>
      </c>
      <c r="N25" s="4"/>
      <c r="O25" s="232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</row>
    <row r="26" spans="1:67" s="3" customFormat="1" hidden="1" outlineLevel="1" x14ac:dyDescent="0.25">
      <c r="A26" s="35"/>
      <c r="B26" s="28"/>
      <c r="C26" s="4" t="s">
        <v>19</v>
      </c>
      <c r="D26" s="11">
        <v>2193724</v>
      </c>
      <c r="E26" s="21">
        <f t="shared" si="16"/>
        <v>2.1277328837764958E-3</v>
      </c>
      <c r="F26" s="11">
        <v>7213286</v>
      </c>
      <c r="G26" s="21">
        <f t="shared" si="16"/>
        <v>3.798832608621384E-3</v>
      </c>
      <c r="H26" s="11">
        <f t="shared" si="1"/>
        <v>-5019562</v>
      </c>
      <c r="I26" s="21">
        <f t="shared" si="15"/>
        <v>-0.6958773019675083</v>
      </c>
      <c r="J26" s="42">
        <v>3181000</v>
      </c>
      <c r="K26" s="21">
        <f t="shared" ref="K26" si="19">J26/J$19</f>
        <v>1.2267628298989026E-3</v>
      </c>
      <c r="L26" s="12">
        <f t="shared" si="4"/>
        <v>-987276</v>
      </c>
      <c r="M26" s="21">
        <f t="shared" si="14"/>
        <v>0.6896334486010689</v>
      </c>
      <c r="N26" s="4"/>
      <c r="O26" s="232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</row>
    <row r="27" spans="1:67" s="3" customFormat="1" hidden="1" outlineLevel="1" x14ac:dyDescent="0.25">
      <c r="A27" s="35"/>
      <c r="B27" s="28"/>
      <c r="C27" s="4" t="s">
        <v>20</v>
      </c>
      <c r="D27" s="11">
        <v>3042553</v>
      </c>
      <c r="E27" s="21">
        <f t="shared" si="16"/>
        <v>2.9510275990657113E-3</v>
      </c>
      <c r="F27" s="11">
        <v>34271474</v>
      </c>
      <c r="G27" s="21">
        <f t="shared" si="16"/>
        <v>1.8048860529960953E-2</v>
      </c>
      <c r="H27" s="11">
        <f t="shared" si="1"/>
        <v>-31228921</v>
      </c>
      <c r="I27" s="21">
        <f t="shared" si="15"/>
        <v>-0.91122199762986555</v>
      </c>
      <c r="J27" s="42">
        <v>28000000</v>
      </c>
      <c r="K27" s="21">
        <f t="shared" ref="K27" si="20">J27/J$19</f>
        <v>1.0798289606151925E-2</v>
      </c>
      <c r="L27" s="12">
        <f t="shared" si="4"/>
        <v>-24957447</v>
      </c>
      <c r="M27" s="21">
        <f t="shared" si="14"/>
        <v>0.10866260714285714</v>
      </c>
      <c r="N27" s="4"/>
      <c r="O27" s="232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</row>
    <row r="28" spans="1:67" s="3" customFormat="1" hidden="1" outlineLevel="1" x14ac:dyDescent="0.25">
      <c r="A28" s="35"/>
      <c r="B28" s="28"/>
      <c r="C28" s="4" t="s">
        <v>21</v>
      </c>
      <c r="D28" s="11">
        <v>65207430</v>
      </c>
      <c r="E28" s="21">
        <f t="shared" si="16"/>
        <v>6.3245874630333612E-2</v>
      </c>
      <c r="F28" s="11">
        <f>91980734+33017</f>
        <v>92013751</v>
      </c>
      <c r="G28" s="21">
        <f t="shared" si="16"/>
        <v>4.8458474783942919E-2</v>
      </c>
      <c r="H28" s="11">
        <f t="shared" si="1"/>
        <v>-26806321</v>
      </c>
      <c r="I28" s="21">
        <f t="shared" si="15"/>
        <v>-0.29132951008594354</v>
      </c>
      <c r="J28" s="42">
        <v>52823227</v>
      </c>
      <c r="K28" s="21">
        <f t="shared" ref="K28" si="21">J28/J$19</f>
        <v>2.0371446538482274E-2</v>
      </c>
      <c r="L28" s="12">
        <f t="shared" si="4"/>
        <v>12384203</v>
      </c>
      <c r="M28" s="21">
        <f t="shared" si="14"/>
        <v>1.2344461651311081</v>
      </c>
      <c r="N28" s="4"/>
      <c r="O28" s="232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</row>
    <row r="29" spans="1:67" s="3" customFormat="1" hidden="1" outlineLevel="1" x14ac:dyDescent="0.25">
      <c r="A29" s="35"/>
      <c r="B29" s="28"/>
      <c r="C29" s="4" t="s">
        <v>22</v>
      </c>
      <c r="D29" s="11">
        <v>18150811</v>
      </c>
      <c r="E29" s="21">
        <f t="shared" si="16"/>
        <v>1.7604802350665871E-2</v>
      </c>
      <c r="F29" s="11">
        <v>34169184</v>
      </c>
      <c r="G29" s="21">
        <f t="shared" si="16"/>
        <v>1.7994990131984794E-2</v>
      </c>
      <c r="H29" s="11">
        <f t="shared" si="1"/>
        <v>-16018373</v>
      </c>
      <c r="I29" s="21">
        <f t="shared" si="15"/>
        <v>-0.46879588930189264</v>
      </c>
      <c r="J29" s="42">
        <v>10000000</v>
      </c>
      <c r="K29" s="21">
        <f t="shared" ref="K29" si="22">J29/J$19</f>
        <v>3.8565320021971155E-3</v>
      </c>
      <c r="L29" s="12">
        <f t="shared" si="4"/>
        <v>8150811</v>
      </c>
      <c r="M29" s="21">
        <f t="shared" si="14"/>
        <v>1.8150811</v>
      </c>
      <c r="N29" s="4"/>
      <c r="O29" s="232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</row>
    <row r="30" spans="1:67" s="3" customFormat="1" hidden="1" outlineLevel="1" x14ac:dyDescent="0.25">
      <c r="A30" s="35"/>
      <c r="B30" s="28"/>
      <c r="C30" s="4" t="s">
        <v>23</v>
      </c>
      <c r="D30" s="11">
        <v>15519920</v>
      </c>
      <c r="E30" s="21">
        <f t="shared" si="16"/>
        <v>1.5053053227106285E-2</v>
      </c>
      <c r="F30" s="11">
        <v>22474306</v>
      </c>
      <c r="G30" s="21">
        <f t="shared" si="16"/>
        <v>1.1835954721459156E-2</v>
      </c>
      <c r="H30" s="11">
        <f t="shared" si="1"/>
        <v>-6954386</v>
      </c>
      <c r="I30" s="21">
        <f t="shared" si="15"/>
        <v>-0.30943718573556844</v>
      </c>
      <c r="J30" s="42">
        <v>24000000</v>
      </c>
      <c r="K30" s="21">
        <f t="shared" ref="K30" si="23">J30/J$19</f>
        <v>9.2556768052730783E-3</v>
      </c>
      <c r="L30" s="12">
        <f t="shared" si="4"/>
        <v>-8480080</v>
      </c>
      <c r="M30" s="21">
        <f t="shared" si="14"/>
        <v>0.64666333333333337</v>
      </c>
      <c r="N30" s="4"/>
      <c r="O30" s="232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</row>
    <row r="31" spans="1:67" s="3" customFormat="1" hidden="1" outlineLevel="1" x14ac:dyDescent="0.25">
      <c r="A31" s="35"/>
      <c r="B31" s="28"/>
      <c r="C31" s="4" t="s">
        <v>24</v>
      </c>
      <c r="D31" s="11">
        <v>231900</v>
      </c>
      <c r="E31" s="21">
        <f t="shared" si="16"/>
        <v>2.2492403590778482E-4</v>
      </c>
      <c r="F31" s="11">
        <v>9860000</v>
      </c>
      <c r="G31" s="21">
        <f t="shared" si="16"/>
        <v>5.1927082221621115E-3</v>
      </c>
      <c r="H31" s="11">
        <f t="shared" si="1"/>
        <v>-9628100</v>
      </c>
      <c r="I31" s="21">
        <f t="shared" si="15"/>
        <v>-0.97648073022312376</v>
      </c>
      <c r="J31" s="42">
        <v>4300000</v>
      </c>
      <c r="K31" s="21">
        <f t="shared" ref="K31" si="24">J31/J$19</f>
        <v>1.6583087609447597E-3</v>
      </c>
      <c r="L31" s="12">
        <f t="shared" si="4"/>
        <v>-4068100</v>
      </c>
      <c r="M31" s="21">
        <f t="shared" si="14"/>
        <v>5.3930232558139536E-2</v>
      </c>
      <c r="N31" s="4"/>
      <c r="O31" s="232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</row>
    <row r="32" spans="1:67" s="3" customFormat="1" hidden="1" outlineLevel="1" x14ac:dyDescent="0.25">
      <c r="A32" s="35"/>
      <c r="B32" s="28"/>
      <c r="C32" s="4" t="s">
        <v>25</v>
      </c>
      <c r="D32" s="11">
        <v>2294297</v>
      </c>
      <c r="E32" s="21">
        <f t="shared" si="16"/>
        <v>2.2252804692157093E-3</v>
      </c>
      <c r="F32" s="11">
        <v>6383520</v>
      </c>
      <c r="G32" s="21">
        <f t="shared" si="16"/>
        <v>3.3618414594661539E-3</v>
      </c>
      <c r="H32" s="11">
        <f t="shared" si="1"/>
        <v>-4089223</v>
      </c>
      <c r="I32" s="21">
        <f t="shared" si="15"/>
        <v>-0.64059061458255007</v>
      </c>
      <c r="J32" s="42">
        <v>6063000</v>
      </c>
      <c r="K32" s="21">
        <f t="shared" ref="K32" si="25">J32/J$19</f>
        <v>2.3382153529321113E-3</v>
      </c>
      <c r="L32" s="12">
        <f t="shared" si="4"/>
        <v>-3768703</v>
      </c>
      <c r="M32" s="21">
        <f t="shared" si="14"/>
        <v>0.37840953323437243</v>
      </c>
      <c r="N32" s="4"/>
      <c r="O32" s="232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</row>
    <row r="33" spans="1:67" s="3" customFormat="1" hidden="1" outlineLevel="1" x14ac:dyDescent="0.25">
      <c r="A33" s="35"/>
      <c r="B33" s="28"/>
      <c r="C33" s="4" t="s">
        <v>26</v>
      </c>
      <c r="D33" s="11">
        <v>232328268</v>
      </c>
      <c r="E33" s="21">
        <f t="shared" si="16"/>
        <v>0.22533942084530165</v>
      </c>
      <c r="F33" s="11">
        <v>39814884</v>
      </c>
      <c r="G33" s="21">
        <f t="shared" si="16"/>
        <v>2.0968263236433131E-2</v>
      </c>
      <c r="H33" s="11">
        <f t="shared" si="1"/>
        <v>192513384</v>
      </c>
      <c r="I33" s="21">
        <f t="shared" si="15"/>
        <v>4.8352114751860134</v>
      </c>
      <c r="J33" s="42">
        <v>82675000</v>
      </c>
      <c r="K33" s="21">
        <f t="shared" ref="K33" si="26">J33/J$19</f>
        <v>3.1883878328164653E-2</v>
      </c>
      <c r="L33" s="12">
        <f t="shared" si="4"/>
        <v>149653268</v>
      </c>
      <c r="M33" s="21">
        <f t="shared" si="14"/>
        <v>2.8101393166011492</v>
      </c>
      <c r="N33" s="4"/>
      <c r="O33" s="232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</row>
    <row r="34" spans="1:67" s="3" customFormat="1" hidden="1" outlineLevel="1" x14ac:dyDescent="0.25">
      <c r="A34" s="35"/>
      <c r="B34" s="28"/>
      <c r="C34" s="4" t="s">
        <v>27</v>
      </c>
      <c r="D34" s="11">
        <v>33155748</v>
      </c>
      <c r="E34" s="21">
        <f t="shared" si="16"/>
        <v>3.2158364181550082E-2</v>
      </c>
      <c r="F34" s="11">
        <v>31275570</v>
      </c>
      <c r="G34" s="21">
        <f t="shared" si="16"/>
        <v>1.6471086155355644E-2</v>
      </c>
      <c r="H34" s="11">
        <f t="shared" si="1"/>
        <v>1880178</v>
      </c>
      <c r="I34" s="21">
        <f t="shared" si="15"/>
        <v>6.0116506269909609E-2</v>
      </c>
      <c r="J34" s="91">
        <v>118000000</v>
      </c>
      <c r="K34" s="21">
        <f t="shared" ref="K34" si="27">J34/J$19</f>
        <v>4.5507077625925964E-2</v>
      </c>
      <c r="L34" s="12">
        <f t="shared" si="4"/>
        <v>-84844252</v>
      </c>
      <c r="M34" s="21">
        <f t="shared" si="14"/>
        <v>0.2809809152542373</v>
      </c>
      <c r="N34" s="4"/>
      <c r="O34" s="232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</row>
    <row r="35" spans="1:67" s="3" customFormat="1" hidden="1" outlineLevel="1" x14ac:dyDescent="0.25">
      <c r="A35" s="35"/>
      <c r="B35" s="28"/>
      <c r="C35" s="4" t="s">
        <v>28</v>
      </c>
      <c r="D35" s="11">
        <v>475200</v>
      </c>
      <c r="E35" s="21">
        <f t="shared" si="16"/>
        <v>4.6090513955747886E-4</v>
      </c>
      <c r="F35" s="11">
        <v>1230200</v>
      </c>
      <c r="G35" s="21">
        <f t="shared" si="16"/>
        <v>6.4787724694764998E-4</v>
      </c>
      <c r="H35" s="11">
        <f t="shared" si="1"/>
        <v>-755000</v>
      </c>
      <c r="I35" s="21">
        <f t="shared" si="15"/>
        <v>-0.61372134612258167</v>
      </c>
      <c r="J35" s="42">
        <v>1600000</v>
      </c>
      <c r="K35" s="21">
        <f t="shared" ref="K35" si="28">J35/J$19</f>
        <v>6.1704512035153851E-4</v>
      </c>
      <c r="L35" s="12">
        <f t="shared" si="4"/>
        <v>-1124800</v>
      </c>
      <c r="M35" s="21">
        <f t="shared" si="14"/>
        <v>0.29699999999999999</v>
      </c>
      <c r="N35" s="4"/>
      <c r="O35" s="232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</row>
    <row r="36" spans="1:67" s="3" customFormat="1" hidden="1" outlineLevel="1" x14ac:dyDescent="0.25">
      <c r="A36" s="35"/>
      <c r="B36" s="28"/>
      <c r="C36" s="4" t="s">
        <v>29</v>
      </c>
      <c r="D36" s="11">
        <v>1031647</v>
      </c>
      <c r="E36" s="21">
        <f t="shared" si="16"/>
        <v>1.0006132249769663E-3</v>
      </c>
      <c r="F36" s="11">
        <v>6970874</v>
      </c>
      <c r="G36" s="21">
        <f t="shared" si="16"/>
        <v>3.6711678230685685E-3</v>
      </c>
      <c r="H36" s="11">
        <f t="shared" si="1"/>
        <v>-5939227</v>
      </c>
      <c r="I36" s="21">
        <f t="shared" si="15"/>
        <v>-0.85200607556527341</v>
      </c>
      <c r="J36" s="42">
        <v>7000000</v>
      </c>
      <c r="K36" s="21">
        <f t="shared" ref="K36" si="29">J36/J$19</f>
        <v>2.6995724015379812E-3</v>
      </c>
      <c r="L36" s="12">
        <f t="shared" si="4"/>
        <v>-5968353</v>
      </c>
      <c r="M36" s="21">
        <f t="shared" si="14"/>
        <v>0.14737814285714285</v>
      </c>
      <c r="N36" s="4"/>
      <c r="O36" s="232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</row>
    <row r="37" spans="1:67" s="3" customFormat="1" hidden="1" outlineLevel="1" x14ac:dyDescent="0.25">
      <c r="A37" s="35"/>
      <c r="B37" s="28"/>
      <c r="C37" s="4" t="s">
        <v>30</v>
      </c>
      <c r="D37" s="11">
        <v>6490477</v>
      </c>
      <c r="E37" s="21">
        <f t="shared" si="16"/>
        <v>6.2952319180968157E-3</v>
      </c>
      <c r="F37" s="11">
        <v>24559231</v>
      </c>
      <c r="G37" s="21">
        <f t="shared" si="16"/>
        <v>1.2933967621062739E-2</v>
      </c>
      <c r="H37" s="11">
        <f t="shared" si="1"/>
        <v>-18068754</v>
      </c>
      <c r="I37" s="21">
        <f t="shared" si="15"/>
        <v>-0.73572148899939083</v>
      </c>
      <c r="J37" s="42">
        <v>24000000</v>
      </c>
      <c r="K37" s="21">
        <f t="shared" ref="K37" si="30">J37/J$19</f>
        <v>9.2556768052730783E-3</v>
      </c>
      <c r="L37" s="12">
        <f t="shared" si="4"/>
        <v>-17509523</v>
      </c>
      <c r="M37" s="21">
        <f t="shared" si="14"/>
        <v>0.27043654166666664</v>
      </c>
      <c r="N37" s="4"/>
      <c r="O37" s="232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</row>
    <row r="38" spans="1:67" s="3" customFormat="1" hidden="1" outlineLevel="1" x14ac:dyDescent="0.25">
      <c r="A38" s="35"/>
      <c r="B38" s="28"/>
      <c r="C38" s="4" t="s">
        <v>31</v>
      </c>
      <c r="D38" s="11">
        <v>763300</v>
      </c>
      <c r="E38" s="21">
        <f t="shared" si="16"/>
        <v>7.4033857959643009E-4</v>
      </c>
      <c r="F38" s="11">
        <v>937440</v>
      </c>
      <c r="G38" s="21">
        <f t="shared" si="16"/>
        <v>4.9369699754398064E-4</v>
      </c>
      <c r="H38" s="11">
        <f t="shared" si="1"/>
        <v>-174140</v>
      </c>
      <c r="I38" s="21">
        <f t="shared" si="15"/>
        <v>-0.18576122205154466</v>
      </c>
      <c r="J38" s="42">
        <v>1200000</v>
      </c>
      <c r="K38" s="21">
        <f t="shared" ref="K38" si="31">J38/J$19</f>
        <v>4.6278384026365388E-4</v>
      </c>
      <c r="L38" s="12">
        <f t="shared" si="4"/>
        <v>-436700</v>
      </c>
      <c r="M38" s="21">
        <f t="shared" si="14"/>
        <v>0.63608333333333333</v>
      </c>
      <c r="N38" s="4"/>
      <c r="O38" s="232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</row>
    <row r="39" spans="1:67" s="3" customFormat="1" hidden="1" outlineLevel="1" x14ac:dyDescent="0.25">
      <c r="A39" s="35"/>
      <c r="B39" s="28"/>
      <c r="C39" s="4" t="s">
        <v>32</v>
      </c>
      <c r="D39" s="11">
        <v>3596394</v>
      </c>
      <c r="E39" s="21">
        <f t="shared" si="16"/>
        <v>3.488208077596127E-3</v>
      </c>
      <c r="F39" s="11">
        <v>0</v>
      </c>
      <c r="G39" s="21">
        <f t="shared" si="16"/>
        <v>0</v>
      </c>
      <c r="H39" s="11">
        <f t="shared" si="1"/>
        <v>3596394</v>
      </c>
      <c r="I39" s="21">
        <f>IFERROR(F39/F39-1,0)</f>
        <v>0</v>
      </c>
      <c r="J39" s="42">
        <v>4800000</v>
      </c>
      <c r="K39" s="21">
        <f t="shared" ref="K39" si="32">J39/J$19</f>
        <v>1.8511353610546155E-3</v>
      </c>
      <c r="L39" s="12">
        <f t="shared" si="4"/>
        <v>-1203606</v>
      </c>
      <c r="M39" s="21">
        <f t="shared" si="14"/>
        <v>0.74924875000000002</v>
      </c>
      <c r="N39" s="4"/>
      <c r="O39" s="232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</row>
    <row r="40" spans="1:67" s="3" customFormat="1" hidden="1" outlineLevel="1" x14ac:dyDescent="0.25">
      <c r="A40" s="35"/>
      <c r="B40" s="28"/>
      <c r="C40" s="4" t="s">
        <v>33</v>
      </c>
      <c r="D40" s="11">
        <v>3384540</v>
      </c>
      <c r="E40" s="21">
        <f t="shared" si="16"/>
        <v>3.2827270223860891E-3</v>
      </c>
      <c r="F40" s="11">
        <f>1094769+2904128</f>
        <v>3998897</v>
      </c>
      <c r="G40" s="21">
        <f t="shared" si="16"/>
        <v>2.1059944555252941E-3</v>
      </c>
      <c r="H40" s="11">
        <f t="shared" si="1"/>
        <v>-614357</v>
      </c>
      <c r="I40" s="21">
        <f t="shared" si="15"/>
        <v>-0.15363161391753777</v>
      </c>
      <c r="J40" s="42">
        <v>5000000</v>
      </c>
      <c r="K40" s="21">
        <f t="shared" ref="K40" si="33">J40/J$19</f>
        <v>1.9282660010985578E-3</v>
      </c>
      <c r="L40" s="12">
        <f t="shared" si="4"/>
        <v>-1615460</v>
      </c>
      <c r="M40" s="21">
        <f t="shared" si="14"/>
        <v>0.67690799999999995</v>
      </c>
      <c r="N40" s="4"/>
      <c r="O40" s="232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</row>
    <row r="41" spans="1:67" s="3" customFormat="1" hidden="1" outlineLevel="1" x14ac:dyDescent="0.25">
      <c r="A41" s="35"/>
      <c r="B41" s="28"/>
      <c r="C41" s="4" t="s">
        <v>34</v>
      </c>
      <c r="D41" s="11">
        <v>2856204</v>
      </c>
      <c r="E41" s="21">
        <f t="shared" si="16"/>
        <v>2.7702843081326375E-3</v>
      </c>
      <c r="F41" s="11">
        <f>350000+35000+29295452</f>
        <v>29680452</v>
      </c>
      <c r="G41" s="21">
        <f t="shared" si="16"/>
        <v>1.5631027093092078E-2</v>
      </c>
      <c r="H41" s="11">
        <f t="shared" si="1"/>
        <v>-26824248</v>
      </c>
      <c r="I41" s="21">
        <f t="shared" si="15"/>
        <v>-0.90376817711536195</v>
      </c>
      <c r="J41" s="43">
        <v>31000000</v>
      </c>
      <c r="K41" s="21">
        <f t="shared" ref="K41" si="34">J41/J$19</f>
        <v>1.1955249206811059E-2</v>
      </c>
      <c r="L41" s="12">
        <f t="shared" si="4"/>
        <v>-28143796</v>
      </c>
      <c r="M41" s="21">
        <f t="shared" si="14"/>
        <v>9.2135612903225805E-2</v>
      </c>
      <c r="N41" s="4"/>
      <c r="O41" s="232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</row>
    <row r="42" spans="1:67" s="3" customFormat="1" hidden="1" outlineLevel="1" x14ac:dyDescent="0.25">
      <c r="A42" s="35"/>
      <c r="B42" s="28"/>
      <c r="C42" s="4" t="s">
        <v>35</v>
      </c>
      <c r="D42" s="11">
        <v>2240000</v>
      </c>
      <c r="E42" s="21">
        <f t="shared" si="16"/>
        <v>2.1726168194628631E-3</v>
      </c>
      <c r="F42" s="11">
        <f>3648430+4606000</f>
        <v>8254430</v>
      </c>
      <c r="G42" s="21">
        <f t="shared" si="16"/>
        <v>4.3471446785255169E-3</v>
      </c>
      <c r="H42" s="11">
        <f t="shared" si="1"/>
        <v>-6014430</v>
      </c>
      <c r="I42" s="21">
        <f t="shared" si="15"/>
        <v>-0.72863056564777939</v>
      </c>
      <c r="J42" s="42">
        <v>5000000</v>
      </c>
      <c r="K42" s="21">
        <f t="shared" ref="K42" si="35">J42/J$19</f>
        <v>1.9282660010985578E-3</v>
      </c>
      <c r="L42" s="12">
        <f t="shared" si="4"/>
        <v>-2760000</v>
      </c>
      <c r="M42" s="21">
        <f t="shared" si="14"/>
        <v>0.44800000000000001</v>
      </c>
      <c r="N42" s="4"/>
      <c r="O42" s="232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</row>
    <row r="43" spans="1:67" s="3" customFormat="1" hidden="1" outlineLevel="1" x14ac:dyDescent="0.25">
      <c r="A43" s="35"/>
      <c r="B43" s="28"/>
      <c r="C43" s="4" t="s">
        <v>36</v>
      </c>
      <c r="D43" s="11">
        <v>11839330</v>
      </c>
      <c r="E43" s="21">
        <f t="shared" si="16"/>
        <v>1.1483181914808599E-2</v>
      </c>
      <c r="F43" s="11">
        <v>12930128</v>
      </c>
      <c r="G43" s="21">
        <f t="shared" si="16"/>
        <v>6.8095722088446792E-3</v>
      </c>
      <c r="H43" s="11">
        <f t="shared" si="1"/>
        <v>-1090798</v>
      </c>
      <c r="I43" s="21">
        <f t="shared" si="15"/>
        <v>-8.4360959149050951E-2</v>
      </c>
      <c r="J43" s="42">
        <v>20000000</v>
      </c>
      <c r="K43" s="21">
        <f t="shared" ref="K43" si="36">J43/J$19</f>
        <v>7.713064004394231E-3</v>
      </c>
      <c r="L43" s="12">
        <f t="shared" si="4"/>
        <v>-8160670</v>
      </c>
      <c r="M43" s="21">
        <f t="shared" si="14"/>
        <v>0.59196649999999995</v>
      </c>
      <c r="N43" s="4"/>
      <c r="O43" s="232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</row>
    <row r="44" spans="1:67" s="3" customFormat="1" hidden="1" outlineLevel="1" x14ac:dyDescent="0.25">
      <c r="A44" s="35"/>
      <c r="B44" s="28"/>
      <c r="C44" s="4" t="s">
        <v>37</v>
      </c>
      <c r="D44" s="11">
        <v>230043688</v>
      </c>
      <c r="E44" s="21">
        <f t="shared" si="16"/>
        <v>0.22312356507145858</v>
      </c>
      <c r="F44" s="11">
        <v>380134792</v>
      </c>
      <c r="G44" s="21">
        <f t="shared" si="16"/>
        <v>0.20019564502518092</v>
      </c>
      <c r="H44" s="11">
        <f t="shared" si="1"/>
        <v>-150091104</v>
      </c>
      <c r="I44" s="21">
        <f t="shared" si="15"/>
        <v>-0.3948365347205578</v>
      </c>
      <c r="J44" s="42">
        <v>284000000</v>
      </c>
      <c r="K44" s="21">
        <f t="shared" ref="K44" si="37">J44/J$19</f>
        <v>0.10952550886239809</v>
      </c>
      <c r="L44" s="12">
        <f t="shared" si="4"/>
        <v>-53956312</v>
      </c>
      <c r="M44" s="21">
        <f t="shared" si="14"/>
        <v>0.81001298591549298</v>
      </c>
      <c r="N44" s="4"/>
      <c r="O44" s="232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</row>
    <row r="45" spans="1:67" s="3" customFormat="1" hidden="1" outlineLevel="1" x14ac:dyDescent="0.25">
      <c r="A45" s="35"/>
      <c r="B45" s="28"/>
      <c r="C45" s="4" t="s">
        <v>12</v>
      </c>
      <c r="D45" s="11">
        <v>9068956</v>
      </c>
      <c r="E45" s="21">
        <f t="shared" si="16"/>
        <v>8.7961456877538625E-3</v>
      </c>
      <c r="F45" s="11">
        <f>2724669+9906824+345696</f>
        <v>12977189</v>
      </c>
      <c r="G45" s="21">
        <f t="shared" si="16"/>
        <v>6.8343565944068664E-3</v>
      </c>
      <c r="H45" s="11">
        <f t="shared" si="1"/>
        <v>-3908233</v>
      </c>
      <c r="I45" s="21">
        <f t="shared" si="15"/>
        <v>-0.30116175390525635</v>
      </c>
      <c r="J45" s="91"/>
      <c r="K45" s="21">
        <f t="shared" ref="K45" si="38">J45/J$19</f>
        <v>0</v>
      </c>
      <c r="L45" s="12">
        <f t="shared" si="4"/>
        <v>9068956</v>
      </c>
      <c r="M45" s="21">
        <f t="shared" si="14"/>
        <v>0</v>
      </c>
      <c r="N45" s="4"/>
      <c r="O45" s="232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</row>
    <row r="46" spans="1:67" s="3" customFormat="1" hidden="1" outlineLevel="1" x14ac:dyDescent="0.25">
      <c r="A46" s="35"/>
      <c r="B46" s="28"/>
      <c r="C46" s="4" t="s">
        <v>48</v>
      </c>
      <c r="D46" s="11">
        <v>0</v>
      </c>
      <c r="E46" s="21">
        <f t="shared" si="16"/>
        <v>0</v>
      </c>
      <c r="F46" s="11">
        <v>6443850</v>
      </c>
      <c r="G46" s="21">
        <f t="shared" si="16"/>
        <v>3.3936138820871522E-3</v>
      </c>
      <c r="H46" s="11">
        <f t="shared" si="1"/>
        <v>-6443850</v>
      </c>
      <c r="I46" s="21">
        <f t="shared" si="15"/>
        <v>-1</v>
      </c>
      <c r="J46" s="42">
        <v>0</v>
      </c>
      <c r="K46" s="21">
        <f t="shared" ref="K46" si="39">J46/J$19</f>
        <v>0</v>
      </c>
      <c r="L46" s="12">
        <f t="shared" si="4"/>
        <v>0</v>
      </c>
      <c r="M46" s="21">
        <f t="shared" si="14"/>
        <v>0</v>
      </c>
      <c r="N46" s="4"/>
      <c r="O46" s="232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</row>
    <row r="47" spans="1:67" s="3" customFormat="1" collapsed="1" x14ac:dyDescent="0.25">
      <c r="A47" s="35"/>
      <c r="B47" s="28"/>
      <c r="C47" s="181"/>
      <c r="D47" s="179"/>
      <c r="E47" s="180"/>
      <c r="F47" s="179"/>
      <c r="G47" s="180"/>
      <c r="H47" s="179"/>
      <c r="I47" s="180"/>
      <c r="J47" s="179"/>
      <c r="K47" s="21"/>
      <c r="L47" s="12"/>
      <c r="M47" s="21"/>
      <c r="N47" s="4"/>
      <c r="O47" s="232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</row>
    <row r="48" spans="1:67" s="3" customFormat="1" collapsed="1" x14ac:dyDescent="0.25">
      <c r="A48" s="35"/>
      <c r="B48" s="28"/>
      <c r="C48" s="8" t="s">
        <v>38</v>
      </c>
      <c r="D48" s="13">
        <f>SUM(D49:D52)</f>
        <v>25717371</v>
      </c>
      <c r="E48" s="23">
        <f>D48/D$19</f>
        <v>2.4943746779895748E-2</v>
      </c>
      <c r="F48" s="13">
        <f>SUM(F49:F52)</f>
        <v>71619492</v>
      </c>
      <c r="G48" s="23">
        <f>F48/F$19</f>
        <v>3.7717963993455735E-2</v>
      </c>
      <c r="H48" s="13">
        <f>SUM(H49:H52)</f>
        <v>-45902121</v>
      </c>
      <c r="I48" s="23">
        <f>D48/F48-1</f>
        <v>-0.64091659572229309</v>
      </c>
      <c r="J48" s="13">
        <f>SUM(J49:J52)</f>
        <v>68000000</v>
      </c>
      <c r="K48" s="23">
        <f>J48/J$19</f>
        <v>2.6224417614940387E-2</v>
      </c>
      <c r="L48" s="13">
        <f>SUM(L49:L52)</f>
        <v>-42282629</v>
      </c>
      <c r="M48" s="23">
        <f>IFERROR(D48/J48,0)</f>
        <v>0.37819663235294115</v>
      </c>
      <c r="N48" s="4"/>
      <c r="O48" s="232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</row>
    <row r="49" spans="1:67" s="3" customFormat="1" hidden="1" outlineLevel="1" x14ac:dyDescent="0.25">
      <c r="A49" s="35"/>
      <c r="B49" s="28"/>
      <c r="C49" s="4" t="s">
        <v>39</v>
      </c>
      <c r="D49" s="11">
        <v>10194634</v>
      </c>
      <c r="E49" s="21">
        <f t="shared" si="16"/>
        <v>9.8879612931553427E-3</v>
      </c>
      <c r="F49" s="11">
        <v>38831202</v>
      </c>
      <c r="G49" s="21">
        <f t="shared" si="16"/>
        <v>2.0450213174628581E-2</v>
      </c>
      <c r="H49" s="11">
        <f t="shared" si="1"/>
        <v>-28636568</v>
      </c>
      <c r="I49" s="21">
        <f t="shared" si="15"/>
        <v>-0.73746282692974585</v>
      </c>
      <c r="J49" s="42">
        <v>30000000</v>
      </c>
      <c r="K49" s="21">
        <f t="shared" ref="K49" si="40">J49/J$19</f>
        <v>1.1569596006591347E-2</v>
      </c>
      <c r="L49" s="12">
        <f t="shared" si="4"/>
        <v>-19805366</v>
      </c>
      <c r="M49" s="21">
        <f t="shared" si="14"/>
        <v>0.33982113333333336</v>
      </c>
      <c r="N49" s="4"/>
      <c r="O49" s="232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  <c r="BO49" s="35"/>
    </row>
    <row r="50" spans="1:67" s="3" customFormat="1" hidden="1" outlineLevel="1" x14ac:dyDescent="0.25">
      <c r="A50" s="35"/>
      <c r="B50" s="28"/>
      <c r="C50" s="4" t="s">
        <v>23</v>
      </c>
      <c r="D50" s="11">
        <v>756600</v>
      </c>
      <c r="E50" s="21">
        <f t="shared" si="16"/>
        <v>7.33840127502501E-4</v>
      </c>
      <c r="F50" s="11">
        <v>623000</v>
      </c>
      <c r="G50" s="21">
        <f t="shared" si="16"/>
        <v>3.2809910977758572E-4</v>
      </c>
      <c r="H50" s="11">
        <f t="shared" si="1"/>
        <v>133600</v>
      </c>
      <c r="I50" s="21">
        <f t="shared" si="15"/>
        <v>0.21444622792937396</v>
      </c>
      <c r="J50" s="42">
        <v>2000000</v>
      </c>
      <c r="K50" s="21">
        <f t="shared" ref="K50" si="41">J50/J$19</f>
        <v>7.7130640043942308E-4</v>
      </c>
      <c r="L50" s="12">
        <f t="shared" si="4"/>
        <v>-1243400</v>
      </c>
      <c r="M50" s="21">
        <f t="shared" si="14"/>
        <v>0.37830000000000003</v>
      </c>
      <c r="N50" s="4"/>
      <c r="O50" s="232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  <c r="BO50" s="35"/>
    </row>
    <row r="51" spans="1:67" s="3" customFormat="1" hidden="1" outlineLevel="1" x14ac:dyDescent="0.25">
      <c r="A51" s="35"/>
      <c r="B51" s="28"/>
      <c r="C51" s="4" t="s">
        <v>40</v>
      </c>
      <c r="D51" s="11">
        <v>14766137</v>
      </c>
      <c r="E51" s="21">
        <f t="shared" si="16"/>
        <v>1.4321945359237904E-2</v>
      </c>
      <c r="F51" s="11">
        <f>8985600+18306168</f>
        <v>27291768</v>
      </c>
      <c r="G51" s="21">
        <f t="shared" si="16"/>
        <v>1.4373041388533549E-2</v>
      </c>
      <c r="H51" s="11">
        <f t="shared" si="1"/>
        <v>-12525631</v>
      </c>
      <c r="I51" s="21">
        <f t="shared" si="15"/>
        <v>-0.45895271423969308</v>
      </c>
      <c r="J51" s="42">
        <v>27000000</v>
      </c>
      <c r="K51" s="21">
        <f t="shared" ref="K51" si="42">J51/J$19</f>
        <v>1.0412636405932213E-2</v>
      </c>
      <c r="L51" s="12">
        <f t="shared" si="4"/>
        <v>-12233863</v>
      </c>
      <c r="M51" s="21">
        <f t="shared" si="14"/>
        <v>0.546893962962963</v>
      </c>
      <c r="N51" s="4"/>
      <c r="O51" s="232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</row>
    <row r="52" spans="1:67" s="3" customFormat="1" hidden="1" outlineLevel="1" x14ac:dyDescent="0.25">
      <c r="A52" s="35"/>
      <c r="B52" s="28"/>
      <c r="C52" s="4" t="s">
        <v>37</v>
      </c>
      <c r="D52" s="11">
        <v>0</v>
      </c>
      <c r="E52" s="21">
        <f t="shared" si="16"/>
        <v>0</v>
      </c>
      <c r="F52" s="11">
        <v>4873522</v>
      </c>
      <c r="G52" s="21">
        <f t="shared" si="16"/>
        <v>2.5666103205160178E-3</v>
      </c>
      <c r="H52" s="11">
        <f t="shared" si="1"/>
        <v>-4873522</v>
      </c>
      <c r="I52" s="21">
        <f t="shared" si="15"/>
        <v>-1</v>
      </c>
      <c r="J52" s="42">
        <v>9000000</v>
      </c>
      <c r="K52" s="21">
        <f t="shared" ref="K52" si="43">J52/J$19</f>
        <v>3.4708788019774039E-3</v>
      </c>
      <c r="L52" s="12">
        <f t="shared" si="4"/>
        <v>-9000000</v>
      </c>
      <c r="M52" s="21">
        <f t="shared" si="14"/>
        <v>0</v>
      </c>
      <c r="N52" s="4"/>
      <c r="O52" s="232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  <c r="BO52" s="35"/>
    </row>
    <row r="53" spans="1:67" s="3" customFormat="1" collapsed="1" x14ac:dyDescent="0.25">
      <c r="A53" s="35"/>
      <c r="B53" s="28"/>
      <c r="C53" s="4"/>
      <c r="D53" s="179"/>
      <c r="E53" s="180"/>
      <c r="F53" s="179"/>
      <c r="G53" s="180"/>
      <c r="H53" s="179"/>
      <c r="I53" s="180"/>
      <c r="J53" s="179"/>
      <c r="K53" s="21"/>
      <c r="L53" s="178"/>
      <c r="M53" s="21"/>
      <c r="N53" s="4"/>
      <c r="O53" s="232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/>
      <c r="BO53" s="35"/>
    </row>
    <row r="54" spans="1:67" s="3" customFormat="1" collapsed="1" x14ac:dyDescent="0.25">
      <c r="A54" s="35"/>
      <c r="B54" s="28"/>
      <c r="C54" s="8" t="s">
        <v>41</v>
      </c>
      <c r="D54" s="13">
        <f>SUM(D55:D59)</f>
        <v>168236167.80000001</v>
      </c>
      <c r="E54" s="23">
        <f t="shared" si="16"/>
        <v>0.16317532491261455</v>
      </c>
      <c r="F54" s="13">
        <f t="shared" ref="F54:L54" si="44">SUM(F55:F59)</f>
        <v>1005009538.8</v>
      </c>
      <c r="G54" s="23">
        <f>F54/F$19</f>
        <v>0.52928207864889565</v>
      </c>
      <c r="H54" s="13">
        <f t="shared" si="44"/>
        <v>-836773371</v>
      </c>
      <c r="I54" s="23">
        <f>D54/F54-1</f>
        <v>-0.83260241688762759</v>
      </c>
      <c r="J54" s="13">
        <f t="shared" si="44"/>
        <v>893008000</v>
      </c>
      <c r="K54" s="23">
        <f>J54/J$19</f>
        <v>0.34439139302180416</v>
      </c>
      <c r="L54" s="13">
        <f t="shared" si="44"/>
        <v>-724771832.20000005</v>
      </c>
      <c r="M54" s="23">
        <f>IFERROR(D54/J54,0)</f>
        <v>0.18839267710927562</v>
      </c>
      <c r="N54" s="4"/>
      <c r="O54" s="232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/>
    </row>
    <row r="55" spans="1:67" s="3" customFormat="1" hidden="1" outlineLevel="1" x14ac:dyDescent="0.25">
      <c r="A55" s="35"/>
      <c r="B55" s="28"/>
      <c r="C55" s="4" t="s">
        <v>42</v>
      </c>
      <c r="D55" s="11">
        <v>6365332.7999999998</v>
      </c>
      <c r="E55" s="21">
        <f t="shared" si="16"/>
        <v>6.1738522780172504E-3</v>
      </c>
      <c r="F55" s="11">
        <v>12893939.4</v>
      </c>
      <c r="G55" s="21">
        <f>F55/F$19</f>
        <v>6.7905137057241377E-3</v>
      </c>
      <c r="H55" s="11">
        <f t="shared" si="1"/>
        <v>-6528606.6000000006</v>
      </c>
      <c r="I55" s="21">
        <f t="shared" si="15"/>
        <v>-0.50633141644825796</v>
      </c>
      <c r="J55" s="42">
        <v>14000000</v>
      </c>
      <c r="K55" s="21">
        <f t="shared" ref="K55" si="45">J55/J$19</f>
        <v>5.3991448030759623E-3</v>
      </c>
      <c r="L55" s="12">
        <f t="shared" si="4"/>
        <v>-7634667.2000000002</v>
      </c>
      <c r="M55" s="21">
        <f t="shared" si="14"/>
        <v>0.45466662857142853</v>
      </c>
      <c r="N55" s="4"/>
      <c r="O55" s="232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</row>
    <row r="56" spans="1:67" s="3" customFormat="1" hidden="1" outlineLevel="1" x14ac:dyDescent="0.25">
      <c r="A56" s="35"/>
      <c r="B56" s="28"/>
      <c r="C56" s="4" t="s">
        <v>43</v>
      </c>
      <c r="D56" s="11">
        <v>8360271</v>
      </c>
      <c r="E56" s="21">
        <f t="shared" si="16"/>
        <v>8.1087791919051827E-3</v>
      </c>
      <c r="F56" s="11">
        <v>70808332</v>
      </c>
      <c r="G56" s="21">
        <f t="shared" si="16"/>
        <v>3.7290771579511613E-2</v>
      </c>
      <c r="H56" s="11">
        <f t="shared" si="1"/>
        <v>-62448061</v>
      </c>
      <c r="I56" s="21">
        <f>D56/F56-1</f>
        <v>-0.88193097106142815</v>
      </c>
      <c r="J56" s="42">
        <v>56652000</v>
      </c>
      <c r="K56" s="21">
        <f t="shared" ref="K56" si="46">J56/J$19</f>
        <v>2.1848025098847101E-2</v>
      </c>
      <c r="L56" s="12">
        <f t="shared" si="4"/>
        <v>-48291729</v>
      </c>
      <c r="M56" s="21">
        <f t="shared" si="14"/>
        <v>0.1475723893242957</v>
      </c>
      <c r="N56" s="4"/>
      <c r="O56" s="232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</row>
    <row r="57" spans="1:67" s="3" customFormat="1" hidden="1" outlineLevel="1" x14ac:dyDescent="0.25">
      <c r="A57" s="35"/>
      <c r="B57" s="28"/>
      <c r="C57" s="4" t="s">
        <v>67</v>
      </c>
      <c r="D57" s="11">
        <v>141499562</v>
      </c>
      <c r="E57" s="21">
        <f t="shared" si="16"/>
        <v>0.13724300372670903</v>
      </c>
      <c r="F57" s="11">
        <v>887556079</v>
      </c>
      <c r="G57" s="21">
        <f t="shared" si="16"/>
        <v>0.46742593803785643</v>
      </c>
      <c r="H57" s="11">
        <f t="shared" si="1"/>
        <v>-746056517</v>
      </c>
      <c r="I57" s="21">
        <f t="shared" si="15"/>
        <v>-0.84057394755334669</v>
      </c>
      <c r="J57" s="42">
        <v>822356000</v>
      </c>
      <c r="K57" s="21">
        <f t="shared" ref="K57" si="47">J57/J$19</f>
        <v>0.31714422311988111</v>
      </c>
      <c r="L57" s="12">
        <f t="shared" si="4"/>
        <v>-680856438</v>
      </c>
      <c r="M57" s="21">
        <f t="shared" si="14"/>
        <v>0.17206606627786505</v>
      </c>
      <c r="N57" s="4"/>
      <c r="O57" s="232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  <c r="BO57" s="35"/>
    </row>
    <row r="58" spans="1:67" s="3" customFormat="1" hidden="1" outlineLevel="1" x14ac:dyDescent="0.25">
      <c r="A58" s="35"/>
      <c r="B58" s="28"/>
      <c r="C58" s="4" t="s">
        <v>49</v>
      </c>
      <c r="D58" s="11">
        <v>0</v>
      </c>
      <c r="E58" s="21">
        <f t="shared" si="16"/>
        <v>0</v>
      </c>
      <c r="F58" s="11">
        <v>20000000</v>
      </c>
      <c r="G58" s="21">
        <f t="shared" si="16"/>
        <v>1.0532876718381564E-2</v>
      </c>
      <c r="H58" s="11">
        <f t="shared" si="1"/>
        <v>-20000000</v>
      </c>
      <c r="I58" s="21">
        <f t="shared" si="15"/>
        <v>-1</v>
      </c>
      <c r="J58" s="42">
        <v>0</v>
      </c>
      <c r="K58" s="21">
        <f t="shared" ref="K58" si="48">J58/J$19</f>
        <v>0</v>
      </c>
      <c r="L58" s="12">
        <f t="shared" si="4"/>
        <v>0</v>
      </c>
      <c r="M58" s="21">
        <f t="shared" si="14"/>
        <v>0</v>
      </c>
      <c r="N58" s="4"/>
      <c r="O58" s="232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</row>
    <row r="59" spans="1:67" s="3" customFormat="1" hidden="1" outlineLevel="1" x14ac:dyDescent="0.25">
      <c r="A59" s="35"/>
      <c r="B59" s="28"/>
      <c r="C59" s="4" t="s">
        <v>44</v>
      </c>
      <c r="D59" s="11">
        <v>12011002</v>
      </c>
      <c r="E59" s="21">
        <f t="shared" si="16"/>
        <v>1.1649689715983076E-2</v>
      </c>
      <c r="F59" s="11">
        <f>8022434+29000+3082800+172878+30000+2414076.4</f>
        <v>13751188.4</v>
      </c>
      <c r="G59" s="21">
        <f t="shared" si="16"/>
        <v>7.2419786074219318E-3</v>
      </c>
      <c r="H59" s="11">
        <f t="shared" si="1"/>
        <v>-1740186.4000000004</v>
      </c>
      <c r="I59" s="21">
        <f t="shared" si="15"/>
        <v>-0.12654807347414432</v>
      </c>
      <c r="J59" s="91"/>
      <c r="K59" s="21">
        <f t="shared" ref="K59" si="49">J59/J$19</f>
        <v>0</v>
      </c>
      <c r="L59" s="12">
        <f t="shared" si="4"/>
        <v>12011002</v>
      </c>
      <c r="M59" s="21">
        <f t="shared" si="14"/>
        <v>0</v>
      </c>
      <c r="N59" s="4"/>
      <c r="O59" s="232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/>
      <c r="BO59" s="35"/>
    </row>
    <row r="60" spans="1:67" s="3" customFormat="1" hidden="1" outlineLevel="1" x14ac:dyDescent="0.25">
      <c r="A60" s="35"/>
      <c r="B60" s="28"/>
      <c r="C60" s="4"/>
      <c r="D60" s="11"/>
      <c r="E60" s="21"/>
      <c r="F60" s="11"/>
      <c r="G60" s="21"/>
      <c r="H60" s="11"/>
      <c r="I60" s="21"/>
      <c r="J60" s="91"/>
      <c r="K60" s="21"/>
      <c r="L60" s="12"/>
      <c r="M60" s="21"/>
      <c r="N60" s="4"/>
      <c r="O60" s="232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/>
      <c r="BO60" s="35"/>
    </row>
    <row r="61" spans="1:67" s="3" customFormat="1" x14ac:dyDescent="0.25">
      <c r="A61" s="35"/>
      <c r="B61" s="28"/>
      <c r="C61" s="17" t="s">
        <v>45</v>
      </c>
      <c r="D61" s="18">
        <f>+D22+D48+D54</f>
        <v>1408531237.8</v>
      </c>
      <c r="E61" s="22">
        <f>D61/D$19</f>
        <v>1.3661601151710383</v>
      </c>
      <c r="F61" s="18">
        <f>+F22+F48+F54</f>
        <v>2528037699.8000002</v>
      </c>
      <c r="G61" s="22">
        <f>F61/F$19</f>
        <v>1.3313754715707151</v>
      </c>
      <c r="H61" s="18">
        <f>+H22+H48+H54</f>
        <v>-1119506462</v>
      </c>
      <c r="I61" s="22">
        <f>D61/F61-1</f>
        <v>-0.44283614207516264</v>
      </c>
      <c r="J61" s="18">
        <f>+J22+J48+J54</f>
        <v>2873124411</v>
      </c>
      <c r="K61" s="22">
        <f>J61/J$19</f>
        <v>1.1080296237315239</v>
      </c>
      <c r="L61" s="18">
        <f>+L22+L48+L54</f>
        <v>-1464593173.2</v>
      </c>
      <c r="M61" s="22">
        <f>(IF(AND(D61=0,J61&lt;&gt;0,J61&gt;0),0,IF(AND(D61=0,J61&lt;&gt;0,J61&lt;0),200,IF(AND(J61=0,D61&lt;&gt;0),"N.C.",IF(AND(D61=0,J61=0),100,IF(AND(D61&lt;0,J61&lt;0,D61&lt;J61),((1-((D61-J61)/J61))*100),IF(AND(D61&lt;0,J61&lt;0,J61&lt;=D61),((1+((J61-D61)/J61))*100),IF(AND(J61&gt;0,D61&gt;0,J61&gt;=D61),((1-((J61-D61)/J61))*100),IF(AND(J61&gt;0,D61&gt;0,J61&lt;D61),((1+((D61-J61)/J61))*100),IF(AND(J61&lt;0,D61&gt;0),((1+((J61-D61)/J61))*100),IF(AND(J61&gt;0,D61&lt;0),(1-((J61-D61)/J61))*100)))))))))))/100</f>
        <v>0.49024373340998351</v>
      </c>
      <c r="N61" s="4"/>
      <c r="O61" s="232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</row>
    <row r="62" spans="1:67" s="3" customFormat="1" x14ac:dyDescent="0.25">
      <c r="A62" s="35"/>
      <c r="B62" s="28"/>
      <c r="C62" s="8"/>
      <c r="D62" s="13"/>
      <c r="E62" s="23"/>
      <c r="F62" s="13"/>
      <c r="G62" s="23"/>
      <c r="H62" s="13"/>
      <c r="I62" s="23"/>
      <c r="J62" s="14"/>
      <c r="K62" s="23"/>
      <c r="L62" s="14"/>
      <c r="M62" s="23"/>
      <c r="N62" s="4"/>
      <c r="O62" s="232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</row>
    <row r="63" spans="1:67" s="3" customFormat="1" x14ac:dyDescent="0.25">
      <c r="A63" s="35"/>
      <c r="B63" s="28"/>
      <c r="C63" s="17" t="s">
        <v>46</v>
      </c>
      <c r="D63" s="18">
        <f>+D19-D61</f>
        <v>-377516481.79999995</v>
      </c>
      <c r="E63" s="22">
        <f t="shared" si="16"/>
        <v>-0.3661601151710383</v>
      </c>
      <c r="F63" s="18">
        <f>F19-F61</f>
        <v>-629221209.80000019</v>
      </c>
      <c r="G63" s="22">
        <f>F63/F$19</f>
        <v>-0.33137547157071517</v>
      </c>
      <c r="H63" s="18">
        <f t="shared" si="1"/>
        <v>251704728.00000024</v>
      </c>
      <c r="I63" s="22">
        <f t="shared" si="15"/>
        <v>-0.40002581616726707</v>
      </c>
      <c r="J63" s="19">
        <f>J19-J61</f>
        <v>-280121165</v>
      </c>
      <c r="K63" s="22">
        <f t="shared" ref="K63" si="50">J63/J$19</f>
        <v>-0.10802962373152386</v>
      </c>
      <c r="L63" s="19">
        <f t="shared" si="4"/>
        <v>-97395316.799999952</v>
      </c>
      <c r="M63" s="22">
        <f>(IF(AND(D63=0,J63&lt;&gt;0,J63&gt;0),0,IF(AND(D63=0,J63&lt;&gt;0,J63&lt;0),200,IF(AND(J63=0,D63&lt;&gt;0),"N.C.",IF(AND(D63=0,J63=0),100,IF(AND(D63&lt;0,J63&lt;0,D63&lt;J63),((1-((D63-J63)/J63))*100),IF(AND(D63&lt;0,J63&lt;0,J63&lt;=D63),((1+((J63-D63)/J63))*100),IF(AND(J63&gt;0,D63&gt;0,J63&gt;=D63),((1-((J63-D63)/J63))*100),IF(AND(J63&gt;0,D63&gt;0,J63&lt;D63),((1+((D63-J63)/J63))*100),IF(AND(J63&lt;0,D63&gt;0),((1+((J63-D63)/J63))*100),IF(AND(J63&gt;0,D63&lt;0),(1-((J63-D63)/J63))*100)))))))))))/100</f>
        <v>0.65231003947880917</v>
      </c>
      <c r="N63" s="4"/>
      <c r="O63" s="232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  <c r="BG63" s="35"/>
      <c r="BH63" s="35"/>
      <c r="BI63" s="35"/>
      <c r="BJ63" s="35"/>
      <c r="BK63" s="35"/>
      <c r="BL63" s="35"/>
      <c r="BM63" s="35"/>
      <c r="BN63" s="35"/>
      <c r="BO63" s="35"/>
    </row>
    <row r="64" spans="1:67" s="3" customFormat="1" x14ac:dyDescent="0.25">
      <c r="A64" s="35"/>
      <c r="B64" s="28"/>
      <c r="C64" s="8"/>
      <c r="D64" s="11"/>
      <c r="E64" s="21"/>
      <c r="F64" s="11"/>
      <c r="G64" s="21"/>
      <c r="H64" s="11"/>
      <c r="I64" s="21"/>
      <c r="J64" s="12"/>
      <c r="K64" s="21"/>
      <c r="L64" s="12"/>
      <c r="M64" s="21"/>
      <c r="N64" s="4"/>
      <c r="O64" s="232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  <c r="BI64" s="35"/>
      <c r="BJ64" s="35"/>
      <c r="BK64" s="35"/>
      <c r="BL64" s="35"/>
      <c r="BM64" s="35"/>
      <c r="BN64" s="35"/>
      <c r="BO64" s="35"/>
    </row>
    <row r="65" spans="1:67" s="3" customFormat="1" x14ac:dyDescent="0.25">
      <c r="A65" s="35"/>
      <c r="B65" s="28"/>
      <c r="C65" s="17" t="s">
        <v>47</v>
      </c>
      <c r="D65" s="18">
        <v>17082000</v>
      </c>
      <c r="E65" s="22">
        <f t="shared" si="16"/>
        <v>1.656814308485028E-2</v>
      </c>
      <c r="F65" s="18">
        <v>44877000</v>
      </c>
      <c r="G65" s="22">
        <f t="shared" si="16"/>
        <v>2.3634195424540472E-2</v>
      </c>
      <c r="H65" s="18">
        <f t="shared" si="1"/>
        <v>-27795000</v>
      </c>
      <c r="I65" s="22">
        <f t="shared" si="15"/>
        <v>-0.61935958285981685</v>
      </c>
      <c r="J65" s="19">
        <v>44877000</v>
      </c>
      <c r="K65" s="22">
        <f t="shared" ref="K65" si="51">J65/J$19</f>
        <v>1.7306958666259996E-2</v>
      </c>
      <c r="L65" s="19">
        <f t="shared" si="4"/>
        <v>-27795000</v>
      </c>
      <c r="M65" s="22">
        <f>(IF(AND(D65=0,J65&lt;&gt;0,J65&gt;0),0,IF(AND(D65=0,J65&lt;&gt;0,J65&lt;0),200,IF(AND(J65=0,D65&lt;&gt;0),"N.C.",IF(AND(D65=0,J65=0),100,IF(AND(D65&lt;0,J65&lt;0,D65&lt;J65),((1-((D65-J65)/J65))*100),IF(AND(D65&lt;0,J65&lt;0,J65&lt;=D65),((1+((J65-D65)/J65))*100),IF(AND(J65&gt;0,D65&gt;0,J65&gt;=D65),((1-((J65-D65)/J65))*100),IF(AND(J65&gt;0,D65&gt;0,J65&lt;D65),((1+((D65-J65)/J65))*100),IF(AND(J65&lt;0,D65&gt;0),((1+((J65-D65)/J65))*100),IF(AND(J65&gt;0,D65&lt;0),(1-((J65-D65)/J65))*100)))))))))))/100</f>
        <v>0.38064041714018315</v>
      </c>
      <c r="N65" s="4"/>
      <c r="O65" s="232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  <c r="BG65" s="35"/>
      <c r="BH65" s="35"/>
      <c r="BI65" s="35"/>
      <c r="BJ65" s="35"/>
      <c r="BK65" s="35"/>
      <c r="BL65" s="35"/>
      <c r="BM65" s="35"/>
      <c r="BN65" s="35"/>
      <c r="BO65" s="35"/>
    </row>
    <row r="66" spans="1:67" s="3" customFormat="1" x14ac:dyDescent="0.25">
      <c r="A66" s="35"/>
      <c r="B66" s="28"/>
      <c r="C66" s="8"/>
      <c r="D66" s="11"/>
      <c r="E66" s="21"/>
      <c r="F66" s="11"/>
      <c r="G66" s="21"/>
      <c r="H66" s="11"/>
      <c r="I66" s="21"/>
      <c r="J66" s="12"/>
      <c r="K66" s="21"/>
      <c r="L66" s="12"/>
      <c r="M66" s="21"/>
      <c r="N66" s="4"/>
      <c r="O66" s="232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35"/>
      <c r="BJ66" s="35"/>
      <c r="BK66" s="35"/>
      <c r="BL66" s="35"/>
      <c r="BM66" s="35"/>
      <c r="BN66" s="35"/>
      <c r="BO66" s="35"/>
    </row>
    <row r="67" spans="1:67" s="3" customFormat="1" x14ac:dyDescent="0.25">
      <c r="A67" s="35"/>
      <c r="B67" s="28"/>
      <c r="C67" s="17" t="s">
        <v>56</v>
      </c>
      <c r="D67" s="18">
        <f>+D63-D65</f>
        <v>-394598481.79999995</v>
      </c>
      <c r="E67" s="22">
        <f t="shared" si="16"/>
        <v>-0.38272825825588858</v>
      </c>
      <c r="F67" s="18">
        <f>+F63-F65</f>
        <v>-674098209.80000019</v>
      </c>
      <c r="G67" s="22">
        <f t="shared" si="16"/>
        <v>-0.35500966699525566</v>
      </c>
      <c r="H67" s="18">
        <f t="shared" si="1"/>
        <v>279499728.00000024</v>
      </c>
      <c r="I67" s="22">
        <f t="shared" si="15"/>
        <v>-0.41462760757505301</v>
      </c>
      <c r="J67" s="19">
        <f>+J63-J65</f>
        <v>-324998165</v>
      </c>
      <c r="K67" s="22">
        <f t="shared" ref="K67" si="52">J67/J$19</f>
        <v>-0.12533658239778386</v>
      </c>
      <c r="L67" s="19">
        <f>+D67-J67</f>
        <v>-69600316.799999952</v>
      </c>
      <c r="M67" s="22">
        <f>(IF(AND(D67=0,J67&lt;&gt;0,J67&gt;0),0,IF(AND(D67=0,J67&lt;&gt;0,J67&lt;0),200,IF(AND(J67=0,D67&lt;&gt;0),"N.C.",IF(AND(D67=0,J67=0),100,IF(AND(D67&lt;0,J67&lt;0,D67&lt;J67),((1-((D67-J67)/J67))*100),IF(AND(D67&lt;0,J67&lt;0,J67&lt;=D67),((1+((J67-D67)/J67))*100),IF(AND(J67&gt;0,D67&gt;0,J67&gt;=D67),((1-((J67-D67)/J67))*100),IF(AND(J67&gt;0,D67&gt;0,J67&lt;D67),((1+((D67-J67)/J67))*100),IF(AND(J67&lt;0,D67&gt;0),((1+((J67-D67)/J67))*100),IF(AND(J67&gt;0,D67&lt;0),(1-((J67-D67)/J67))*100)))))))))))/100</f>
        <v>0.78584396991903016</v>
      </c>
      <c r="N67" s="8"/>
      <c r="O67" s="232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  <c r="BJ67" s="35"/>
      <c r="BK67" s="35"/>
      <c r="BL67" s="35"/>
      <c r="BM67" s="35"/>
      <c r="BN67" s="35"/>
      <c r="BO67" s="35"/>
    </row>
    <row r="68" spans="1:67" s="3" customFormat="1" x14ac:dyDescent="0.25">
      <c r="A68" s="35"/>
      <c r="B68" s="28"/>
      <c r="C68" s="4"/>
      <c r="D68" s="4"/>
      <c r="E68" s="20"/>
      <c r="F68" s="4"/>
      <c r="G68" s="20"/>
      <c r="H68" s="4"/>
      <c r="I68" s="20"/>
      <c r="J68" s="9"/>
      <c r="K68" s="20"/>
      <c r="L68" s="4"/>
      <c r="M68" s="20"/>
      <c r="N68" s="4"/>
      <c r="O68" s="29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  <c r="BJ68" s="35"/>
      <c r="BK68" s="35"/>
      <c r="BL68" s="35"/>
      <c r="BM68" s="35"/>
      <c r="BN68" s="35"/>
      <c r="BO68" s="35"/>
    </row>
    <row r="69" spans="1:67" s="3" customFormat="1" x14ac:dyDescent="0.25">
      <c r="A69" s="35"/>
      <c r="B69" s="28"/>
      <c r="C69" s="4"/>
      <c r="D69" s="179"/>
      <c r="E69" s="181"/>
      <c r="F69" s="181"/>
      <c r="G69" s="181"/>
      <c r="H69" s="181"/>
      <c r="I69" s="181"/>
      <c r="J69" s="179"/>
      <c r="K69" s="182"/>
      <c r="L69" s="4"/>
      <c r="M69" s="20"/>
      <c r="N69" s="4"/>
      <c r="O69" s="29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  <c r="BJ69" s="35"/>
      <c r="BK69" s="35"/>
      <c r="BL69" s="35"/>
      <c r="BM69" s="35"/>
      <c r="BN69" s="35"/>
      <c r="BO69" s="35"/>
    </row>
    <row r="70" spans="1:67" s="3" customFormat="1" x14ac:dyDescent="0.25">
      <c r="A70" s="35"/>
      <c r="B70" s="28"/>
      <c r="C70" s="181"/>
      <c r="D70" s="4"/>
      <c r="E70" s="20"/>
      <c r="F70" s="4"/>
      <c r="G70" s="20"/>
      <c r="H70" s="4"/>
      <c r="I70" s="20"/>
      <c r="J70" s="7"/>
      <c r="K70" s="20"/>
      <c r="L70" s="4"/>
      <c r="M70" s="20"/>
      <c r="N70" s="4"/>
      <c r="O70" s="29" t="s">
        <v>196</v>
      </c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35"/>
      <c r="BJ70" s="35"/>
      <c r="BK70" s="35"/>
      <c r="BL70" s="35"/>
      <c r="BM70" s="35"/>
      <c r="BN70" s="35"/>
      <c r="BO70" s="35"/>
    </row>
    <row r="71" spans="1:67" s="3" customFormat="1" ht="13.5" thickBot="1" x14ac:dyDescent="0.3">
      <c r="A71" s="35"/>
      <c r="B71" s="30"/>
      <c r="C71" s="31"/>
      <c r="D71" s="31"/>
      <c r="E71" s="32"/>
      <c r="F71" s="31"/>
      <c r="G71" s="32"/>
      <c r="H71" s="31"/>
      <c r="I71" s="32"/>
      <c r="J71" s="33"/>
      <c r="K71" s="32"/>
      <c r="L71" s="31"/>
      <c r="M71" s="32"/>
      <c r="N71" s="31"/>
      <c r="O71" s="34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  <c r="BG71" s="35"/>
      <c r="BH71" s="35"/>
      <c r="BI71" s="35"/>
      <c r="BJ71" s="35"/>
      <c r="BK71" s="35"/>
      <c r="BL71" s="35"/>
      <c r="BM71" s="35"/>
      <c r="BN71" s="35"/>
      <c r="BO71" s="35"/>
    </row>
  </sheetData>
  <mergeCells count="11">
    <mergeCell ref="J7:J8"/>
    <mergeCell ref="K7:K8"/>
    <mergeCell ref="L7:M7"/>
    <mergeCell ref="C3:M3"/>
    <mergeCell ref="C4:N4"/>
    <mergeCell ref="C5:M5"/>
    <mergeCell ref="H7:I7"/>
    <mergeCell ref="D7:D8"/>
    <mergeCell ref="F7:F8"/>
    <mergeCell ref="E7:E8"/>
    <mergeCell ref="G7:G8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O150"/>
  <sheetViews>
    <sheetView showGridLines="0" topLeftCell="A110" zoomScale="80" zoomScaleNormal="80" workbookViewId="0">
      <selection activeCell="A148" sqref="A148"/>
    </sheetView>
  </sheetViews>
  <sheetFormatPr baseColWidth="10" defaultRowHeight="12.75" x14ac:dyDescent="0.25"/>
  <cols>
    <col min="1" max="1" width="9" style="35" customWidth="1"/>
    <col min="2" max="2" width="6" style="35" customWidth="1"/>
    <col min="3" max="3" width="48.28515625" style="35" customWidth="1"/>
    <col min="4" max="4" width="16.42578125" style="35" customWidth="1"/>
    <col min="5" max="5" width="12.42578125" style="36" customWidth="1"/>
    <col min="6" max="6" width="16.42578125" style="35" customWidth="1"/>
    <col min="7" max="7" width="7.28515625" style="36" customWidth="1"/>
    <col min="8" max="8" width="14.85546875" style="35" bestFit="1" customWidth="1"/>
    <col min="9" max="9" width="11.5703125" style="36" bestFit="1" customWidth="1"/>
    <col min="10" max="10" width="16.42578125" style="37" customWidth="1"/>
    <col min="11" max="11" width="12.42578125" style="36" customWidth="1"/>
    <col min="12" max="12" width="15" style="35" bestFit="1" customWidth="1"/>
    <col min="13" max="13" width="11.42578125" style="36"/>
    <col min="14" max="14" width="2.140625" style="35" customWidth="1"/>
    <col min="15" max="16384" width="11.42578125" style="35"/>
  </cols>
  <sheetData>
    <row r="1" spans="1:67" ht="13.5" thickBot="1" x14ac:dyDescent="0.3"/>
    <row r="2" spans="1:67" s="3" customFormat="1" ht="15" x14ac:dyDescent="0.25">
      <c r="A2" s="35"/>
      <c r="B2" s="106"/>
      <c r="C2" s="107"/>
      <c r="D2" s="107"/>
      <c r="E2" s="108"/>
      <c r="F2" s="107"/>
      <c r="G2" s="108"/>
      <c r="H2" s="107"/>
      <c r="I2" s="108"/>
      <c r="J2" s="109"/>
      <c r="K2" s="108"/>
      <c r="L2" s="107"/>
      <c r="M2" s="108"/>
      <c r="N2" s="107"/>
      <c r="O2" s="110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</row>
    <row r="3" spans="1:67" s="3" customFormat="1" ht="15.75" x14ac:dyDescent="0.25">
      <c r="A3" s="35"/>
      <c r="B3" s="111"/>
      <c r="C3" s="249" t="s">
        <v>0</v>
      </c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41"/>
      <c r="O3" s="112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</row>
    <row r="4" spans="1:67" s="3" customFormat="1" ht="15.75" x14ac:dyDescent="0.25">
      <c r="A4" s="35"/>
      <c r="B4" s="111"/>
      <c r="C4" s="250" t="s">
        <v>1</v>
      </c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112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</row>
    <row r="5" spans="1:67" s="3" customFormat="1" ht="15.75" x14ac:dyDescent="0.25">
      <c r="A5" s="35"/>
      <c r="B5" s="111"/>
      <c r="C5" s="250" t="s">
        <v>2</v>
      </c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41"/>
      <c r="O5" s="112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</row>
    <row r="6" spans="1:67" s="3" customFormat="1" x14ac:dyDescent="0.25">
      <c r="A6" s="35"/>
      <c r="B6" s="111"/>
      <c r="C6" s="6"/>
      <c r="D6" s="6"/>
      <c r="E6" s="20"/>
      <c r="F6" s="4"/>
      <c r="G6" s="20"/>
      <c r="H6" s="4"/>
      <c r="I6" s="20"/>
      <c r="J6" s="7"/>
      <c r="K6" s="20"/>
      <c r="L6" s="4"/>
      <c r="M6" s="20"/>
      <c r="N6" s="4"/>
      <c r="O6" s="112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</row>
    <row r="7" spans="1:67" s="3" customFormat="1" ht="15" customHeight="1" x14ac:dyDescent="0.25">
      <c r="A7" s="35"/>
      <c r="B7" s="111"/>
      <c r="C7" s="4"/>
      <c r="D7" s="251" t="s">
        <v>58</v>
      </c>
      <c r="E7" s="246" t="s">
        <v>50</v>
      </c>
      <c r="F7" s="253" t="s">
        <v>57</v>
      </c>
      <c r="G7" s="246" t="s">
        <v>50</v>
      </c>
      <c r="H7" s="246" t="s">
        <v>51</v>
      </c>
      <c r="I7" s="246"/>
      <c r="J7" s="244" t="s">
        <v>54</v>
      </c>
      <c r="K7" s="246" t="s">
        <v>50</v>
      </c>
      <c r="L7" s="246" t="s">
        <v>55</v>
      </c>
      <c r="M7" s="248"/>
      <c r="N7" s="4"/>
      <c r="O7" s="112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</row>
    <row r="8" spans="1:67" s="3" customFormat="1" x14ac:dyDescent="0.25">
      <c r="A8" s="35"/>
      <c r="B8" s="111"/>
      <c r="C8" s="5"/>
      <c r="D8" s="252"/>
      <c r="E8" s="247"/>
      <c r="F8" s="254"/>
      <c r="G8" s="247"/>
      <c r="H8" s="99" t="s">
        <v>52</v>
      </c>
      <c r="I8" s="99" t="s">
        <v>53</v>
      </c>
      <c r="J8" s="245"/>
      <c r="K8" s="247"/>
      <c r="L8" s="99" t="s">
        <v>52</v>
      </c>
      <c r="M8" s="16" t="s">
        <v>53</v>
      </c>
      <c r="N8" s="4"/>
      <c r="O8" s="112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</row>
    <row r="9" spans="1:67" s="3" customFormat="1" x14ac:dyDescent="0.25">
      <c r="A9" s="35"/>
      <c r="B9" s="111"/>
      <c r="C9" s="8" t="s">
        <v>3</v>
      </c>
      <c r="D9" s="4"/>
      <c r="E9" s="20"/>
      <c r="F9" s="4"/>
      <c r="G9" s="20"/>
      <c r="H9" s="4"/>
      <c r="I9" s="20"/>
      <c r="J9" s="9"/>
      <c r="K9" s="20"/>
      <c r="L9" s="4"/>
      <c r="M9" s="20"/>
      <c r="N9" s="4"/>
      <c r="O9" s="112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</row>
    <row r="10" spans="1:67" s="3" customFormat="1" x14ac:dyDescent="0.25">
      <c r="A10" s="35"/>
      <c r="B10" s="111"/>
      <c r="C10" s="4" t="s">
        <v>4</v>
      </c>
      <c r="D10" s="11">
        <v>565074850</v>
      </c>
      <c r="E10" s="21">
        <f>D10/D$19</f>
        <v>0.54807639435957789</v>
      </c>
      <c r="F10" s="11">
        <f>1246375074+17003120+5290100</f>
        <v>1268668294</v>
      </c>
      <c r="G10" s="21">
        <f>F10/F$19</f>
        <v>0.66813633686107288</v>
      </c>
      <c r="H10" s="11">
        <f>+D10-F10</f>
        <v>-703593444</v>
      </c>
      <c r="I10" s="21">
        <f>D10/F10-1</f>
        <v>-0.55459212414115866</v>
      </c>
      <c r="J10" s="42">
        <v>1544573000</v>
      </c>
      <c r="K10" s="21">
        <f>J10/J$19</f>
        <v>0.59566952042296051</v>
      </c>
      <c r="L10" s="12">
        <f>+D10-J10</f>
        <v>-979498150</v>
      </c>
      <c r="M10" s="21">
        <f>IFERROR(D10/J10,0)</f>
        <v>0.36584535013884095</v>
      </c>
      <c r="N10" s="4"/>
      <c r="O10" s="112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</row>
    <row r="11" spans="1:67" s="3" customFormat="1" x14ac:dyDescent="0.25">
      <c r="A11" s="35"/>
      <c r="B11" s="111"/>
      <c r="C11" s="4" t="s">
        <v>5</v>
      </c>
      <c r="D11" s="11">
        <v>146814600</v>
      </c>
      <c r="E11" s="21">
        <f t="shared" ref="E11:G19" si="0">D11/D$19</f>
        <v>0.14239815593871094</v>
      </c>
      <c r="F11" s="11">
        <f>252348000+143000</f>
        <v>252491000</v>
      </c>
      <c r="G11" s="21">
        <f t="shared" si="0"/>
        <v>0.13297282877504399</v>
      </c>
      <c r="H11" s="11">
        <f t="shared" ref="H11:H19" si="1">+D11-F11</f>
        <v>-105676400</v>
      </c>
      <c r="I11" s="21">
        <f t="shared" ref="I11:I19" si="2">D11/F11-1</f>
        <v>-0.41853531413000855</v>
      </c>
      <c r="J11" s="42">
        <v>439093200</v>
      </c>
      <c r="K11" s="21">
        <f t="shared" ref="K11:K19" si="3">J11/J$19</f>
        <v>0.16933769777471386</v>
      </c>
      <c r="L11" s="12">
        <f t="shared" ref="L11:L20" si="4">+D11-J11</f>
        <v>-292278600</v>
      </c>
      <c r="M11" s="21">
        <f t="shared" ref="M11:M19" si="5">IFERROR(D11/J11,0)</f>
        <v>0.3343586281910082</v>
      </c>
      <c r="N11" s="4"/>
      <c r="O11" s="112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</row>
    <row r="12" spans="1:67" s="3" customFormat="1" x14ac:dyDescent="0.25">
      <c r="A12" s="35"/>
      <c r="B12" s="111"/>
      <c r="C12" s="4" t="s">
        <v>6</v>
      </c>
      <c r="D12" s="11">
        <v>66625569</v>
      </c>
      <c r="E12" s="21">
        <f t="shared" si="0"/>
        <v>6.462135348914444E-2</v>
      </c>
      <c r="F12" s="11">
        <v>43537163</v>
      </c>
      <c r="G12" s="21">
        <f t="shared" si="0"/>
        <v>2.2928578527354162E-2</v>
      </c>
      <c r="H12" s="11">
        <f t="shared" si="1"/>
        <v>23088406</v>
      </c>
      <c r="I12" s="21">
        <f t="shared" si="2"/>
        <v>0.5303148944270899</v>
      </c>
      <c r="J12" s="42">
        <v>286337046</v>
      </c>
      <c r="K12" s="21">
        <f t="shared" si="3"/>
        <v>0.11042679813135876</v>
      </c>
      <c r="L12" s="12">
        <f t="shared" si="4"/>
        <v>-219711477</v>
      </c>
      <c r="M12" s="21">
        <f t="shared" si="5"/>
        <v>0.23268232291535201</v>
      </c>
      <c r="N12" s="4"/>
      <c r="O12" s="112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</row>
    <row r="13" spans="1:67" s="3" customFormat="1" x14ac:dyDescent="0.25">
      <c r="A13" s="35"/>
      <c r="B13" s="111"/>
      <c r="C13" s="4" t="s">
        <v>7</v>
      </c>
      <c r="D13" s="11">
        <v>70018</v>
      </c>
      <c r="E13" s="21">
        <f t="shared" si="0"/>
        <v>6.7911734136228013E-5</v>
      </c>
      <c r="F13" s="11">
        <v>313504</v>
      </c>
      <c r="G13" s="21">
        <f t="shared" si="0"/>
        <v>1.6510494913597469E-4</v>
      </c>
      <c r="H13" s="11">
        <f t="shared" si="1"/>
        <v>-243486</v>
      </c>
      <c r="I13" s="21">
        <f t="shared" si="2"/>
        <v>-0.77665994692252727</v>
      </c>
      <c r="J13" s="42">
        <v>0</v>
      </c>
      <c r="K13" s="21">
        <f t="shared" si="3"/>
        <v>0</v>
      </c>
      <c r="L13" s="12">
        <f t="shared" si="4"/>
        <v>70018</v>
      </c>
      <c r="M13" s="21">
        <f t="shared" si="5"/>
        <v>0</v>
      </c>
      <c r="N13" s="4"/>
      <c r="O13" s="112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</row>
    <row r="14" spans="1:67" s="3" customFormat="1" x14ac:dyDescent="0.25">
      <c r="A14" s="35"/>
      <c r="B14" s="111"/>
      <c r="C14" s="4" t="s">
        <v>8</v>
      </c>
      <c r="D14" s="11">
        <v>98829500</v>
      </c>
      <c r="E14" s="21">
        <f t="shared" si="0"/>
        <v>9.5856533017457612E-2</v>
      </c>
      <c r="F14" s="11">
        <v>205454900</v>
      </c>
      <c r="G14" s="21">
        <f t="shared" si="0"/>
        <v>0.10820155664437062</v>
      </c>
      <c r="H14" s="11">
        <f t="shared" si="1"/>
        <v>-106625400</v>
      </c>
      <c r="I14" s="21">
        <f t="shared" si="2"/>
        <v>-0.51897229026905656</v>
      </c>
      <c r="J14" s="42">
        <v>323000000</v>
      </c>
      <c r="K14" s="21">
        <f t="shared" si="3"/>
        <v>0.12456598367096683</v>
      </c>
      <c r="L14" s="12">
        <f t="shared" si="4"/>
        <v>-224170500</v>
      </c>
      <c r="M14" s="21">
        <f t="shared" si="5"/>
        <v>0.30597368421052634</v>
      </c>
      <c r="N14" s="4"/>
      <c r="O14" s="112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</row>
    <row r="15" spans="1:67" s="3" customFormat="1" x14ac:dyDescent="0.25">
      <c r="A15" s="35"/>
      <c r="B15" s="111"/>
      <c r="C15" s="4" t="s">
        <v>9</v>
      </c>
      <c r="D15" s="11">
        <v>1042500</v>
      </c>
      <c r="E15" s="21">
        <f t="shared" si="0"/>
        <v>1.0111397474509086E-3</v>
      </c>
      <c r="F15" s="11">
        <v>2657700</v>
      </c>
      <c r="G15" s="21">
        <f t="shared" si="0"/>
        <v>1.3996613227221341E-3</v>
      </c>
      <c r="H15" s="11">
        <f t="shared" si="1"/>
        <v>-1615200</v>
      </c>
      <c r="I15" s="21">
        <f t="shared" si="2"/>
        <v>-0.6077435376453324</v>
      </c>
      <c r="J15" s="42">
        <v>0</v>
      </c>
      <c r="K15" s="21">
        <f t="shared" si="3"/>
        <v>0</v>
      </c>
      <c r="L15" s="12">
        <f t="shared" si="4"/>
        <v>1042500</v>
      </c>
      <c r="M15" s="21">
        <f t="shared" si="5"/>
        <v>0</v>
      </c>
      <c r="N15" s="4"/>
      <c r="O15" s="112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</row>
    <row r="16" spans="1:67" s="3" customFormat="1" x14ac:dyDescent="0.25">
      <c r="A16" s="35"/>
      <c r="B16" s="111"/>
      <c r="C16" s="4" t="s">
        <v>10</v>
      </c>
      <c r="D16" s="11">
        <v>0</v>
      </c>
      <c r="E16" s="21">
        <f t="shared" si="0"/>
        <v>0</v>
      </c>
      <c r="F16" s="11">
        <v>69845500</v>
      </c>
      <c r="G16" s="21">
        <f t="shared" si="0"/>
        <v>3.6783702041685976E-2</v>
      </c>
      <c r="H16" s="11">
        <f t="shared" si="1"/>
        <v>-69845500</v>
      </c>
      <c r="I16" s="21">
        <f t="shared" si="2"/>
        <v>-1</v>
      </c>
      <c r="J16" s="42">
        <v>0</v>
      </c>
      <c r="K16" s="21">
        <f t="shared" si="3"/>
        <v>0</v>
      </c>
      <c r="L16" s="12">
        <f t="shared" si="4"/>
        <v>0</v>
      </c>
      <c r="M16" s="21">
        <f t="shared" si="5"/>
        <v>0</v>
      </c>
      <c r="N16" s="4"/>
      <c r="O16" s="112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</row>
    <row r="17" spans="1:67" s="3" customFormat="1" x14ac:dyDescent="0.25">
      <c r="A17" s="35"/>
      <c r="B17" s="111"/>
      <c r="C17" s="4" t="s">
        <v>11</v>
      </c>
      <c r="D17" s="11">
        <v>51181000</v>
      </c>
      <c r="E17" s="21">
        <f t="shared" si="0"/>
        <v>4.9641384570057505E-2</v>
      </c>
      <c r="F17" s="11">
        <v>0</v>
      </c>
      <c r="G17" s="21">
        <f t="shared" si="0"/>
        <v>0</v>
      </c>
      <c r="H17" s="11">
        <f t="shared" si="1"/>
        <v>51181000</v>
      </c>
      <c r="I17" s="21">
        <f>IFERROR(F17/F17-1,0)</f>
        <v>0</v>
      </c>
      <c r="J17" s="42">
        <v>0</v>
      </c>
      <c r="K17" s="21">
        <f t="shared" si="3"/>
        <v>0</v>
      </c>
      <c r="L17" s="12">
        <f t="shared" si="4"/>
        <v>51181000</v>
      </c>
      <c r="M17" s="21">
        <f t="shared" si="5"/>
        <v>0</v>
      </c>
      <c r="N17" s="4"/>
      <c r="O17" s="112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</row>
    <row r="18" spans="1:67" s="3" customFormat="1" x14ac:dyDescent="0.25">
      <c r="A18" s="35"/>
      <c r="B18" s="111"/>
      <c r="C18" s="4" t="s">
        <v>12</v>
      </c>
      <c r="D18" s="11">
        <v>101376719</v>
      </c>
      <c r="E18" s="21">
        <f t="shared" si="0"/>
        <v>9.8327127143464477E-2</v>
      </c>
      <c r="F18" s="11">
        <f>51749181+4099248</f>
        <v>55848429</v>
      </c>
      <c r="G18" s="21">
        <f t="shared" si="0"/>
        <v>2.941223087861429E-2</v>
      </c>
      <c r="H18" s="11">
        <f t="shared" si="1"/>
        <v>45528290</v>
      </c>
      <c r="I18" s="21">
        <f t="shared" si="2"/>
        <v>0.81521165080579072</v>
      </c>
      <c r="J18" s="91"/>
      <c r="K18" s="21">
        <f t="shared" si="3"/>
        <v>0</v>
      </c>
      <c r="L18" s="12">
        <f t="shared" si="4"/>
        <v>101376719</v>
      </c>
      <c r="M18" s="21">
        <f t="shared" si="5"/>
        <v>0</v>
      </c>
      <c r="N18" s="4"/>
      <c r="O18" s="112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</row>
    <row r="19" spans="1:67" s="3" customFormat="1" x14ac:dyDescent="0.25">
      <c r="A19" s="35"/>
      <c r="B19" s="111"/>
      <c r="C19" s="17" t="s">
        <v>13</v>
      </c>
      <c r="D19" s="18">
        <f>SUM(D10:D18)</f>
        <v>1031014756</v>
      </c>
      <c r="E19" s="22">
        <f t="shared" si="0"/>
        <v>1</v>
      </c>
      <c r="F19" s="18">
        <f>SUM(F10:F18)</f>
        <v>1898816490</v>
      </c>
      <c r="G19" s="22">
        <f t="shared" si="0"/>
        <v>1</v>
      </c>
      <c r="H19" s="18">
        <f t="shared" si="1"/>
        <v>-867801734</v>
      </c>
      <c r="I19" s="22">
        <f t="shared" si="2"/>
        <v>-0.45702243401098752</v>
      </c>
      <c r="J19" s="19">
        <f>SUM(J10:J18)</f>
        <v>2593003246</v>
      </c>
      <c r="K19" s="22">
        <f t="shared" si="3"/>
        <v>1</v>
      </c>
      <c r="L19" s="19">
        <f>+D19-J19</f>
        <v>-1561988490</v>
      </c>
      <c r="M19" s="22">
        <f t="shared" si="5"/>
        <v>0.39761414012514507</v>
      </c>
      <c r="N19" s="4"/>
      <c r="O19" s="112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</row>
    <row r="20" spans="1:67" s="3" customFormat="1" ht="13.5" thickBot="1" x14ac:dyDescent="0.3">
      <c r="A20" s="35"/>
      <c r="B20" s="113"/>
      <c r="C20" s="114"/>
      <c r="D20" s="115"/>
      <c r="E20" s="116"/>
      <c r="F20" s="115"/>
      <c r="G20" s="116"/>
      <c r="H20" s="115"/>
      <c r="I20" s="116"/>
      <c r="J20" s="117"/>
      <c r="K20" s="116"/>
      <c r="L20" s="118">
        <f t="shared" si="4"/>
        <v>0</v>
      </c>
      <c r="M20" s="119"/>
      <c r="N20" s="114"/>
      <c r="O20" s="120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</row>
    <row r="22" spans="1:67" ht="13.5" thickBot="1" x14ac:dyDescent="0.3"/>
    <row r="23" spans="1:67" x14ac:dyDescent="0.25">
      <c r="B23" s="47"/>
      <c r="C23" s="48"/>
      <c r="D23" s="48"/>
      <c r="E23" s="49"/>
      <c r="F23" s="48"/>
      <c r="G23" s="49"/>
      <c r="H23" s="48"/>
      <c r="I23" s="49"/>
      <c r="J23" s="50"/>
      <c r="K23" s="49"/>
      <c r="L23" s="48"/>
      <c r="M23" s="49"/>
      <c r="N23" s="48"/>
      <c r="O23" s="51"/>
    </row>
    <row r="24" spans="1:67" x14ac:dyDescent="0.25">
      <c r="B24" s="52"/>
      <c r="C24" s="24"/>
      <c r="D24" s="24"/>
      <c r="E24" s="44"/>
      <c r="F24" s="24"/>
      <c r="G24" s="44"/>
      <c r="H24" s="24"/>
      <c r="I24" s="44"/>
      <c r="J24" s="45"/>
      <c r="K24" s="44"/>
      <c r="L24" s="24"/>
      <c r="M24" s="44"/>
      <c r="N24" s="24"/>
      <c r="O24" s="53"/>
    </row>
    <row r="25" spans="1:67" x14ac:dyDescent="0.25">
      <c r="B25" s="52"/>
      <c r="C25" s="100"/>
      <c r="D25" s="24"/>
      <c r="E25" s="44"/>
      <c r="F25" s="24"/>
      <c r="G25" s="44"/>
      <c r="H25" s="24"/>
      <c r="I25" s="44"/>
      <c r="J25" s="45"/>
      <c r="K25" s="44"/>
      <c r="L25" s="24"/>
      <c r="M25" s="44"/>
      <c r="N25" s="24"/>
      <c r="O25" s="53"/>
    </row>
    <row r="26" spans="1:67" ht="23.25" x14ac:dyDescent="0.25">
      <c r="B26" s="52"/>
      <c r="C26" s="102" t="s">
        <v>3</v>
      </c>
      <c r="D26" s="24"/>
      <c r="E26" s="44"/>
      <c r="F26" s="24"/>
      <c r="G26" s="44"/>
      <c r="H26" s="24"/>
      <c r="I26" s="44"/>
      <c r="J26" s="45"/>
      <c r="K26" s="44"/>
      <c r="L26" s="24"/>
      <c r="M26" s="44"/>
      <c r="N26" s="24"/>
      <c r="O26" s="53"/>
    </row>
    <row r="27" spans="1:67" x14ac:dyDescent="0.25">
      <c r="B27" s="52"/>
      <c r="C27" s="24"/>
      <c r="D27" s="24"/>
      <c r="E27" s="44"/>
      <c r="F27" s="24"/>
      <c r="G27" s="44"/>
      <c r="H27" s="24"/>
      <c r="I27" s="44"/>
      <c r="J27" s="45"/>
      <c r="K27" s="44"/>
      <c r="L27" s="24"/>
      <c r="M27" s="44"/>
      <c r="N27" s="24"/>
      <c r="O27" s="53"/>
    </row>
    <row r="28" spans="1:67" x14ac:dyDescent="0.25">
      <c r="B28" s="52"/>
      <c r="C28" s="24"/>
      <c r="D28" s="24"/>
      <c r="E28" s="44"/>
      <c r="F28" s="24"/>
      <c r="G28" s="44"/>
      <c r="H28" s="24"/>
      <c r="I28" s="44"/>
      <c r="J28" s="45"/>
      <c r="K28" s="44"/>
      <c r="L28" s="24"/>
      <c r="M28" s="44"/>
      <c r="N28" s="24"/>
      <c r="O28" s="53"/>
    </row>
    <row r="29" spans="1:67" x14ac:dyDescent="0.25">
      <c r="B29" s="52"/>
      <c r="C29" s="24"/>
      <c r="D29" s="24"/>
      <c r="E29" s="44"/>
      <c r="F29" s="24"/>
      <c r="G29" s="44"/>
      <c r="H29" s="24"/>
      <c r="I29" s="44"/>
      <c r="J29" s="45"/>
      <c r="K29" s="44"/>
      <c r="L29" s="24"/>
      <c r="M29" s="44"/>
      <c r="N29" s="24"/>
      <c r="O29" s="53"/>
    </row>
    <row r="30" spans="1:67" x14ac:dyDescent="0.25">
      <c r="B30" s="52"/>
      <c r="C30" s="24"/>
      <c r="D30" s="24"/>
      <c r="E30" s="44"/>
      <c r="F30" s="24"/>
      <c r="G30" s="44"/>
      <c r="H30" s="24"/>
      <c r="I30" s="44"/>
      <c r="J30" s="45"/>
      <c r="K30" s="44"/>
      <c r="L30" s="24"/>
      <c r="M30" s="44"/>
      <c r="N30" s="24"/>
      <c r="O30" s="53"/>
    </row>
    <row r="31" spans="1:67" ht="18.75" x14ac:dyDescent="0.25">
      <c r="B31" s="52"/>
      <c r="C31" s="24"/>
      <c r="D31" s="24"/>
      <c r="E31" s="44"/>
      <c r="F31" s="24"/>
      <c r="G31" s="96"/>
      <c r="H31" s="100"/>
      <c r="I31" s="101"/>
      <c r="J31" s="46"/>
      <c r="K31" s="101"/>
      <c r="L31" s="94"/>
      <c r="M31" s="44"/>
      <c r="N31" s="24"/>
      <c r="O31" s="53"/>
    </row>
    <row r="32" spans="1:67" x14ac:dyDescent="0.25">
      <c r="B32" s="52"/>
      <c r="C32" s="24"/>
      <c r="D32" s="24"/>
      <c r="E32" s="44"/>
      <c r="F32" s="24"/>
      <c r="G32" s="44"/>
      <c r="H32" s="24"/>
      <c r="I32" s="44"/>
      <c r="J32" s="44"/>
      <c r="K32" s="44"/>
      <c r="L32" s="24"/>
      <c r="M32" s="44"/>
      <c r="N32" s="24"/>
      <c r="O32" s="53"/>
    </row>
    <row r="33" spans="2:15" x14ac:dyDescent="0.25">
      <c r="B33" s="52"/>
      <c r="C33" s="24"/>
      <c r="D33" s="24"/>
      <c r="E33" s="44"/>
      <c r="F33" s="24"/>
      <c r="G33" s="44"/>
      <c r="H33" s="24"/>
      <c r="I33" s="44"/>
      <c r="J33" s="45"/>
      <c r="K33" s="44"/>
      <c r="L33" s="24"/>
      <c r="M33" s="44"/>
      <c r="N33" s="24"/>
      <c r="O33" s="53"/>
    </row>
    <row r="34" spans="2:15" x14ac:dyDescent="0.25">
      <c r="B34" s="52"/>
      <c r="C34" s="24"/>
      <c r="D34" s="24"/>
      <c r="E34" s="44"/>
      <c r="F34" s="24"/>
      <c r="G34" s="44"/>
      <c r="H34" s="24"/>
      <c r="I34" s="44"/>
      <c r="J34" s="45"/>
      <c r="K34" s="44"/>
      <c r="L34" s="24"/>
      <c r="M34" s="44"/>
      <c r="N34" s="24"/>
      <c r="O34" s="53"/>
    </row>
    <row r="35" spans="2:15" ht="18" x14ac:dyDescent="0.25">
      <c r="B35" s="52"/>
      <c r="C35" s="24"/>
      <c r="D35" s="24"/>
      <c r="E35" s="44"/>
      <c r="F35" s="24"/>
      <c r="G35" s="44"/>
      <c r="H35" s="46"/>
      <c r="I35" s="44"/>
      <c r="J35" s="45"/>
      <c r="K35" s="95"/>
      <c r="L35" s="24"/>
      <c r="M35" s="44"/>
      <c r="N35" s="24"/>
      <c r="O35" s="53"/>
    </row>
    <row r="36" spans="2:15" x14ac:dyDescent="0.25">
      <c r="B36" s="52"/>
      <c r="C36" s="24"/>
      <c r="D36" s="24"/>
      <c r="E36" s="44"/>
      <c r="F36" s="24"/>
      <c r="G36" s="44"/>
      <c r="H36" s="24"/>
      <c r="I36" s="44"/>
      <c r="J36" s="45"/>
      <c r="K36" s="44"/>
      <c r="L36" s="24"/>
      <c r="M36" s="44"/>
      <c r="N36" s="24"/>
      <c r="O36" s="53"/>
    </row>
    <row r="37" spans="2:15" x14ac:dyDescent="0.25">
      <c r="B37" s="52"/>
      <c r="C37" s="24"/>
      <c r="D37" s="24"/>
      <c r="E37" s="44"/>
      <c r="F37" s="24"/>
      <c r="G37" s="44"/>
      <c r="H37" s="44"/>
      <c r="I37" s="45"/>
      <c r="J37" s="45"/>
      <c r="K37" s="44"/>
      <c r="L37" s="24"/>
      <c r="M37" s="44"/>
      <c r="N37" s="24"/>
      <c r="O37" s="53"/>
    </row>
    <row r="38" spans="2:15" x14ac:dyDescent="0.25">
      <c r="B38" s="52"/>
      <c r="C38" s="24"/>
      <c r="D38" s="24"/>
      <c r="E38" s="44"/>
      <c r="F38" s="24"/>
      <c r="G38" s="44"/>
      <c r="H38" s="24"/>
      <c r="I38" s="44"/>
      <c r="J38" s="45"/>
      <c r="K38" s="44"/>
      <c r="L38" s="24"/>
      <c r="M38" s="44"/>
      <c r="N38" s="24"/>
      <c r="O38" s="53"/>
    </row>
    <row r="39" spans="2:15" x14ac:dyDescent="0.25">
      <c r="B39" s="52"/>
      <c r="C39" s="24"/>
      <c r="D39" s="24"/>
      <c r="E39" s="44"/>
      <c r="F39" s="24"/>
      <c r="G39" s="44"/>
      <c r="H39" s="24"/>
      <c r="I39" s="44"/>
      <c r="J39" s="45"/>
      <c r="K39" s="44"/>
      <c r="L39" s="24"/>
      <c r="M39" s="44"/>
      <c r="N39" s="24"/>
      <c r="O39" s="53"/>
    </row>
    <row r="40" spans="2:15" x14ac:dyDescent="0.25">
      <c r="B40" s="52"/>
      <c r="C40" s="24"/>
      <c r="D40" s="24"/>
      <c r="E40" s="44"/>
      <c r="F40" s="24"/>
      <c r="G40" s="44"/>
      <c r="H40" s="24"/>
      <c r="I40" s="44"/>
      <c r="J40" s="45"/>
      <c r="K40" s="44"/>
      <c r="L40" s="24"/>
      <c r="M40" s="44"/>
      <c r="N40" s="24"/>
      <c r="O40" s="53"/>
    </row>
    <row r="41" spans="2:15" x14ac:dyDescent="0.25">
      <c r="B41" s="52"/>
      <c r="C41" s="24"/>
      <c r="D41" s="24"/>
      <c r="E41" s="44"/>
      <c r="F41" s="24"/>
      <c r="G41" s="44"/>
      <c r="H41" s="24"/>
      <c r="I41" s="44"/>
      <c r="J41" s="45"/>
      <c r="K41" s="44"/>
      <c r="L41" s="24"/>
      <c r="M41" s="44"/>
      <c r="N41" s="24"/>
      <c r="O41" s="53"/>
    </row>
    <row r="42" spans="2:15" x14ac:dyDescent="0.25">
      <c r="B42" s="52"/>
      <c r="C42" s="24"/>
      <c r="D42" s="24"/>
      <c r="E42" s="44"/>
      <c r="F42" s="24"/>
      <c r="G42" s="44"/>
      <c r="H42" s="24"/>
      <c r="I42" s="44"/>
      <c r="J42" s="45"/>
      <c r="K42" s="44"/>
      <c r="L42" s="24"/>
      <c r="M42" s="44"/>
      <c r="N42" s="24"/>
      <c r="O42" s="53"/>
    </row>
    <row r="43" spans="2:15" ht="23.25" x14ac:dyDescent="0.25">
      <c r="B43" s="52"/>
      <c r="C43" s="24"/>
      <c r="D43" s="24"/>
      <c r="E43" s="44"/>
      <c r="F43" s="24"/>
      <c r="G43" s="44"/>
      <c r="H43" s="24"/>
      <c r="I43" s="59"/>
      <c r="J43" s="45"/>
      <c r="K43" s="44"/>
      <c r="L43" s="24"/>
      <c r="M43" s="44"/>
      <c r="N43" s="24"/>
      <c r="O43" s="53"/>
    </row>
    <row r="44" spans="2:15" x14ac:dyDescent="0.25">
      <c r="B44" s="52"/>
      <c r="C44" s="24"/>
      <c r="D44" s="24"/>
      <c r="E44" s="44"/>
      <c r="F44" s="24"/>
      <c r="G44" s="44"/>
      <c r="H44" s="24"/>
      <c r="I44" s="44"/>
      <c r="J44" s="45"/>
      <c r="K44" s="44"/>
      <c r="L44" s="24"/>
      <c r="M44" s="44"/>
      <c r="N44" s="24"/>
      <c r="O44" s="53"/>
    </row>
    <row r="45" spans="2:15" x14ac:dyDescent="0.25">
      <c r="B45" s="52"/>
      <c r="C45" s="24"/>
      <c r="D45" s="24"/>
      <c r="E45" s="44"/>
      <c r="F45" s="24"/>
      <c r="G45" s="44"/>
      <c r="H45" s="24"/>
      <c r="I45" s="44"/>
      <c r="J45" s="45"/>
      <c r="K45" s="44"/>
      <c r="L45" s="24"/>
      <c r="M45" s="44"/>
      <c r="N45" s="24"/>
      <c r="O45" s="53"/>
    </row>
    <row r="46" spans="2:15" x14ac:dyDescent="0.25">
      <c r="B46" s="52"/>
      <c r="C46" s="24"/>
      <c r="D46" s="24"/>
      <c r="E46" s="44"/>
      <c r="F46" s="24"/>
      <c r="G46" s="44"/>
      <c r="H46" s="24"/>
      <c r="I46" s="44"/>
      <c r="J46" s="45"/>
      <c r="K46" s="44"/>
      <c r="L46" s="24"/>
      <c r="M46" s="44"/>
      <c r="N46" s="24"/>
      <c r="O46" s="53"/>
    </row>
    <row r="47" spans="2:15" x14ac:dyDescent="0.25">
      <c r="B47" s="52"/>
      <c r="C47" s="24"/>
      <c r="D47" s="24"/>
      <c r="E47" s="44"/>
      <c r="F47" s="24"/>
      <c r="G47" s="44"/>
      <c r="H47" s="24"/>
      <c r="I47" s="44"/>
      <c r="J47" s="45"/>
      <c r="K47" s="44"/>
      <c r="L47" s="24"/>
      <c r="M47" s="44"/>
      <c r="N47" s="24"/>
      <c r="O47" s="53"/>
    </row>
    <row r="48" spans="2:15" x14ac:dyDescent="0.25">
      <c r="B48" s="52"/>
      <c r="C48" s="24"/>
      <c r="D48" s="24"/>
      <c r="E48" s="44"/>
      <c r="F48" s="24"/>
      <c r="G48" s="44"/>
      <c r="H48" s="24"/>
      <c r="I48" s="44"/>
      <c r="J48" s="45"/>
      <c r="K48" s="44"/>
      <c r="L48" s="24"/>
      <c r="M48" s="44"/>
      <c r="N48" s="24"/>
      <c r="O48" s="53"/>
    </row>
    <row r="49" spans="2:15" x14ac:dyDescent="0.25">
      <c r="B49" s="52"/>
      <c r="C49" s="24"/>
      <c r="D49" s="24"/>
      <c r="E49" s="44"/>
      <c r="F49" s="24"/>
      <c r="G49" s="44"/>
      <c r="H49" s="24"/>
      <c r="I49" s="44"/>
      <c r="J49" s="45"/>
      <c r="K49" s="44"/>
      <c r="L49" s="24"/>
      <c r="M49" s="44"/>
      <c r="N49" s="24"/>
      <c r="O49" s="53"/>
    </row>
    <row r="50" spans="2:15" x14ac:dyDescent="0.25">
      <c r="B50" s="52"/>
      <c r="C50" s="24"/>
      <c r="D50" s="24"/>
      <c r="E50" s="44"/>
      <c r="F50" s="24"/>
      <c r="G50" s="44"/>
      <c r="H50" s="24"/>
      <c r="I50" s="44"/>
      <c r="J50" s="45"/>
      <c r="K50" s="44"/>
      <c r="L50" s="24"/>
      <c r="M50" s="44"/>
      <c r="N50" s="24"/>
      <c r="O50" s="53"/>
    </row>
    <row r="51" spans="2:15" x14ac:dyDescent="0.25">
      <c r="B51" s="52"/>
      <c r="C51" s="24"/>
      <c r="D51" s="24"/>
      <c r="E51" s="44"/>
      <c r="F51" s="24"/>
      <c r="G51" s="44"/>
      <c r="H51" s="24"/>
      <c r="I51" s="44"/>
      <c r="J51" s="45"/>
      <c r="K51" s="44"/>
      <c r="L51" s="24"/>
      <c r="M51" s="44"/>
      <c r="N51" s="24"/>
      <c r="O51" s="53"/>
    </row>
    <row r="52" spans="2:15" x14ac:dyDescent="0.25">
      <c r="B52" s="52"/>
      <c r="C52" s="24"/>
      <c r="D52" s="24"/>
      <c r="E52" s="44"/>
      <c r="F52" s="24"/>
      <c r="G52" s="44"/>
      <c r="H52" s="24"/>
      <c r="I52" s="44"/>
      <c r="J52" s="45"/>
      <c r="K52" s="44"/>
      <c r="L52" s="24"/>
      <c r="M52" s="44"/>
      <c r="N52" s="24"/>
      <c r="O52" s="53"/>
    </row>
    <row r="53" spans="2:15" x14ac:dyDescent="0.25">
      <c r="B53" s="52"/>
      <c r="C53" s="24"/>
      <c r="D53" s="24"/>
      <c r="E53" s="44"/>
      <c r="F53" s="24"/>
      <c r="G53" s="44"/>
      <c r="H53" s="24"/>
      <c r="I53" s="44"/>
      <c r="J53" s="45"/>
      <c r="K53" s="44"/>
      <c r="L53" s="24"/>
      <c r="M53" s="44"/>
      <c r="N53" s="24"/>
      <c r="O53" s="53"/>
    </row>
    <row r="54" spans="2:15" x14ac:dyDescent="0.25">
      <c r="B54" s="52"/>
      <c r="C54" s="24"/>
      <c r="D54" s="24"/>
      <c r="E54" s="44"/>
      <c r="F54" s="24"/>
      <c r="G54" s="44"/>
      <c r="H54" s="24"/>
      <c r="I54" s="44"/>
      <c r="J54" s="45"/>
      <c r="K54" s="44"/>
      <c r="L54" s="24"/>
      <c r="M54" s="44"/>
      <c r="N54" s="24"/>
      <c r="O54" s="53"/>
    </row>
    <row r="55" spans="2:15" x14ac:dyDescent="0.25">
      <c r="B55" s="52"/>
      <c r="C55" s="24"/>
      <c r="D55" s="24"/>
      <c r="E55" s="44"/>
      <c r="F55" s="24"/>
      <c r="G55" s="44"/>
      <c r="H55" s="24"/>
      <c r="I55" s="44"/>
      <c r="J55" s="45"/>
      <c r="K55" s="44"/>
      <c r="L55" s="24"/>
      <c r="M55" s="44"/>
      <c r="N55" s="24"/>
      <c r="O55" s="53"/>
    </row>
    <row r="56" spans="2:15" x14ac:dyDescent="0.25">
      <c r="B56" s="52"/>
      <c r="C56" s="24"/>
      <c r="D56" s="24"/>
      <c r="E56" s="44"/>
      <c r="F56" s="24"/>
      <c r="G56" s="44"/>
      <c r="H56" s="24"/>
      <c r="I56" s="44"/>
      <c r="J56" s="45"/>
      <c r="K56" s="44"/>
      <c r="L56" s="24"/>
      <c r="M56" s="44"/>
      <c r="N56" s="24"/>
      <c r="O56" s="53"/>
    </row>
    <row r="57" spans="2:15" x14ac:dyDescent="0.25">
      <c r="B57" s="52"/>
      <c r="C57" s="24"/>
      <c r="D57" s="24"/>
      <c r="E57" s="44"/>
      <c r="F57" s="24"/>
      <c r="G57" s="44"/>
      <c r="H57" s="24"/>
      <c r="I57" s="44"/>
      <c r="J57" s="45"/>
      <c r="K57" s="44"/>
      <c r="L57" s="24"/>
      <c r="M57" s="44"/>
      <c r="N57" s="24"/>
      <c r="O57" s="53"/>
    </row>
    <row r="58" spans="2:15" x14ac:dyDescent="0.25">
      <c r="B58" s="52"/>
      <c r="C58" s="24"/>
      <c r="D58" s="24"/>
      <c r="E58" s="44"/>
      <c r="F58" s="24"/>
      <c r="G58" s="44"/>
      <c r="H58" s="24"/>
      <c r="I58" s="44"/>
      <c r="J58" s="45"/>
      <c r="K58" s="44"/>
      <c r="L58" s="24"/>
      <c r="M58" s="44"/>
      <c r="N58" s="24"/>
      <c r="O58" s="53"/>
    </row>
    <row r="59" spans="2:15" x14ac:dyDescent="0.25">
      <c r="B59" s="52"/>
      <c r="C59" s="24"/>
      <c r="D59" s="24"/>
      <c r="E59" s="44"/>
      <c r="F59" s="24"/>
      <c r="G59" s="44"/>
      <c r="H59" s="24"/>
      <c r="I59" s="44"/>
      <c r="J59" s="45"/>
      <c r="K59" s="44"/>
      <c r="L59" s="24"/>
      <c r="M59" s="44"/>
      <c r="N59" s="24"/>
      <c r="O59" s="53"/>
    </row>
    <row r="60" spans="2:15" x14ac:dyDescent="0.25">
      <c r="B60" s="52"/>
      <c r="C60" s="24"/>
      <c r="D60" s="24"/>
      <c r="E60" s="44"/>
      <c r="F60" s="24"/>
      <c r="G60" s="44"/>
      <c r="H60" s="24"/>
      <c r="I60" s="44"/>
      <c r="J60" s="45"/>
      <c r="K60" s="44"/>
      <c r="L60" s="24"/>
      <c r="M60" s="44"/>
      <c r="N60" s="24"/>
      <c r="O60" s="53"/>
    </row>
    <row r="61" spans="2:15" x14ac:dyDescent="0.25">
      <c r="B61" s="52"/>
      <c r="C61" s="24"/>
      <c r="D61" s="24"/>
      <c r="E61" s="44"/>
      <c r="F61" s="24"/>
      <c r="G61" s="44"/>
      <c r="H61" s="24"/>
      <c r="I61" s="44"/>
      <c r="J61" s="45"/>
      <c r="K61" s="44"/>
      <c r="L61" s="24"/>
      <c r="M61" s="44"/>
      <c r="N61" s="24"/>
      <c r="O61" s="53"/>
    </row>
    <row r="62" spans="2:15" x14ac:dyDescent="0.25">
      <c r="B62" s="52"/>
      <c r="C62" s="24"/>
      <c r="D62" s="24"/>
      <c r="E62" s="44"/>
      <c r="F62" s="24"/>
      <c r="G62" s="44"/>
      <c r="H62" s="24"/>
      <c r="I62" s="44"/>
      <c r="J62" s="45"/>
      <c r="K62" s="44"/>
      <c r="L62" s="24"/>
      <c r="M62" s="44"/>
      <c r="N62" s="24"/>
      <c r="O62" s="53"/>
    </row>
    <row r="63" spans="2:15" x14ac:dyDescent="0.25">
      <c r="B63" s="52"/>
      <c r="C63" s="24"/>
      <c r="D63" s="24"/>
      <c r="E63" s="44"/>
      <c r="F63" s="24"/>
      <c r="G63" s="44"/>
      <c r="H63" s="24"/>
      <c r="I63" s="44"/>
      <c r="J63" s="45"/>
      <c r="K63" s="44"/>
      <c r="L63" s="24"/>
      <c r="M63" s="44"/>
      <c r="N63" s="24"/>
      <c r="O63" s="53"/>
    </row>
    <row r="64" spans="2:15" x14ac:dyDescent="0.25">
      <c r="B64" s="52"/>
      <c r="C64" s="24"/>
      <c r="D64" s="24"/>
      <c r="E64" s="44"/>
      <c r="F64" s="24"/>
      <c r="G64" s="44"/>
      <c r="H64" s="24"/>
      <c r="I64" s="44"/>
      <c r="J64" s="45"/>
      <c r="K64" s="44"/>
      <c r="L64" s="24"/>
      <c r="M64" s="44"/>
      <c r="N64" s="24"/>
      <c r="O64" s="53"/>
    </row>
    <row r="65" spans="2:15" ht="13.5" thickBot="1" x14ac:dyDescent="0.3">
      <c r="B65" s="54"/>
      <c r="C65" s="55"/>
      <c r="D65" s="55"/>
      <c r="E65" s="56"/>
      <c r="F65" s="55"/>
      <c r="G65" s="56"/>
      <c r="H65" s="55"/>
      <c r="I65" s="56"/>
      <c r="J65" s="57"/>
      <c r="K65" s="56"/>
      <c r="L65" s="55"/>
      <c r="M65" s="56"/>
      <c r="N65" s="55"/>
      <c r="O65" s="58"/>
    </row>
    <row r="67" spans="2:15" ht="13.5" thickBot="1" x14ac:dyDescent="0.3"/>
    <row r="68" spans="2:15" x14ac:dyDescent="0.25">
      <c r="B68" s="47"/>
      <c r="C68" s="48"/>
      <c r="D68" s="48"/>
      <c r="E68" s="49"/>
      <c r="F68" s="48"/>
      <c r="G68" s="49"/>
      <c r="H68" s="48"/>
      <c r="I68" s="49"/>
      <c r="J68" s="50"/>
      <c r="K68" s="49"/>
      <c r="L68" s="48"/>
      <c r="M68" s="49"/>
      <c r="N68" s="48"/>
      <c r="O68" s="51"/>
    </row>
    <row r="69" spans="2:15" x14ac:dyDescent="0.25">
      <c r="B69" s="52"/>
      <c r="C69" s="24"/>
      <c r="D69" s="24"/>
      <c r="E69" s="44"/>
      <c r="F69" s="24"/>
      <c r="G69" s="44"/>
      <c r="H69" s="24"/>
      <c r="I69" s="44"/>
      <c r="J69" s="45"/>
      <c r="K69" s="44"/>
      <c r="L69" s="24"/>
      <c r="M69" s="44"/>
      <c r="N69" s="24"/>
      <c r="O69" s="53"/>
    </row>
    <row r="70" spans="2:15" x14ac:dyDescent="0.25">
      <c r="B70" s="52"/>
      <c r="C70" s="100"/>
      <c r="D70" s="24"/>
      <c r="E70" s="44"/>
      <c r="F70" s="24"/>
      <c r="G70" s="44"/>
      <c r="H70" s="24"/>
      <c r="I70" s="44"/>
      <c r="J70" s="217"/>
      <c r="K70" s="44"/>
      <c r="L70" s="24"/>
      <c r="M70" s="44"/>
      <c r="N70" s="24"/>
      <c r="O70" s="53"/>
    </row>
    <row r="71" spans="2:15" ht="23.25" x14ac:dyDescent="0.25">
      <c r="B71" s="52"/>
      <c r="C71" s="59" t="s">
        <v>81</v>
      </c>
      <c r="D71" s="24"/>
      <c r="E71" s="44"/>
      <c r="F71" s="24"/>
      <c r="G71" s="44"/>
      <c r="H71" s="24"/>
      <c r="I71" s="44"/>
      <c r="J71" s="45"/>
      <c r="K71" s="44"/>
      <c r="L71" s="24"/>
      <c r="M71" s="44"/>
      <c r="N71" s="24"/>
      <c r="O71" s="53"/>
    </row>
    <row r="72" spans="2:15" x14ac:dyDescent="0.25">
      <c r="B72" s="52"/>
      <c r="C72" s="24"/>
      <c r="D72" s="24"/>
      <c r="E72" s="44"/>
      <c r="F72" s="24"/>
      <c r="G72" s="44"/>
      <c r="H72" s="24"/>
      <c r="I72" s="44"/>
      <c r="J72" s="45"/>
      <c r="K72" s="44"/>
      <c r="L72" s="24"/>
      <c r="M72" s="44"/>
      <c r="N72" s="24"/>
      <c r="O72" s="53"/>
    </row>
    <row r="73" spans="2:15" x14ac:dyDescent="0.25">
      <c r="B73" s="52"/>
      <c r="C73" s="24"/>
      <c r="D73" s="24"/>
      <c r="E73" s="44"/>
      <c r="F73" s="24"/>
      <c r="G73" s="44"/>
      <c r="H73" s="24"/>
      <c r="I73" s="44"/>
      <c r="J73" s="45"/>
      <c r="K73" s="44"/>
      <c r="L73" s="24"/>
      <c r="M73" s="44"/>
      <c r="N73" s="24"/>
      <c r="O73" s="53"/>
    </row>
    <row r="74" spans="2:15" ht="18" x14ac:dyDescent="0.25">
      <c r="B74" s="52"/>
      <c r="C74" s="24"/>
      <c r="D74" s="24"/>
      <c r="E74" s="44"/>
      <c r="F74" s="24"/>
      <c r="G74" s="44"/>
      <c r="H74" s="24"/>
      <c r="I74" s="44"/>
      <c r="J74" s="98"/>
      <c r="K74" s="44"/>
      <c r="L74" s="24"/>
      <c r="M74" s="44"/>
      <c r="N74" s="24"/>
      <c r="O74" s="53"/>
    </row>
    <row r="75" spans="2:15" x14ac:dyDescent="0.25">
      <c r="B75" s="52"/>
      <c r="C75" s="24"/>
      <c r="D75" s="24"/>
      <c r="E75" s="97"/>
      <c r="F75" s="24"/>
      <c r="G75" s="44"/>
      <c r="H75" s="24"/>
      <c r="I75" s="44"/>
      <c r="J75" s="45"/>
      <c r="K75" s="44"/>
      <c r="L75" s="24"/>
      <c r="M75" s="44"/>
      <c r="N75" s="24"/>
      <c r="O75" s="53"/>
    </row>
    <row r="76" spans="2:15" x14ac:dyDescent="0.25">
      <c r="B76" s="52"/>
      <c r="C76" s="24"/>
      <c r="D76" s="24"/>
      <c r="E76" s="44"/>
      <c r="F76" s="24"/>
      <c r="G76" s="44"/>
      <c r="H76" s="24"/>
      <c r="I76" s="44"/>
      <c r="J76" s="45"/>
      <c r="K76" s="44"/>
      <c r="L76" s="24"/>
      <c r="M76" s="44"/>
      <c r="N76" s="24"/>
      <c r="O76" s="53"/>
    </row>
    <row r="77" spans="2:15" x14ac:dyDescent="0.25">
      <c r="B77" s="52"/>
      <c r="C77" s="100"/>
      <c r="D77" s="24"/>
      <c r="E77" s="44"/>
      <c r="F77" s="24"/>
      <c r="G77" s="44"/>
      <c r="H77" s="24"/>
      <c r="I77" s="44"/>
      <c r="J77" s="45"/>
      <c r="K77" s="44"/>
      <c r="L77" s="24"/>
      <c r="M77" s="44"/>
      <c r="N77" s="24"/>
      <c r="O77" s="53"/>
    </row>
    <row r="78" spans="2:15" x14ac:dyDescent="0.25">
      <c r="B78" s="52"/>
      <c r="C78" s="24"/>
      <c r="D78" s="24"/>
      <c r="E78" s="44"/>
      <c r="F78" s="24"/>
      <c r="G78" s="44"/>
      <c r="H78" s="24"/>
      <c r="I78" s="44"/>
      <c r="J78" s="45"/>
      <c r="K78" s="44"/>
      <c r="L78" s="24"/>
      <c r="M78" s="44"/>
      <c r="N78" s="24"/>
      <c r="O78" s="53"/>
    </row>
    <row r="79" spans="2:15" x14ac:dyDescent="0.25">
      <c r="B79" s="52"/>
      <c r="C79" s="24"/>
      <c r="D79" s="24"/>
      <c r="E79" s="44"/>
      <c r="F79" s="24"/>
      <c r="G79" s="44"/>
      <c r="H79" s="24"/>
      <c r="I79" s="44"/>
      <c r="J79" s="202"/>
      <c r="K79" s="216"/>
      <c r="L79" s="24"/>
      <c r="M79" s="44"/>
      <c r="N79" s="24"/>
      <c r="O79" s="53"/>
    </row>
    <row r="80" spans="2:15" x14ac:dyDescent="0.25">
      <c r="B80" s="52"/>
      <c r="C80" s="24"/>
      <c r="D80" s="24"/>
      <c r="E80" s="44"/>
      <c r="F80" s="24"/>
      <c r="G80" s="44"/>
      <c r="H80" s="24"/>
      <c r="I80" s="44"/>
      <c r="J80" s="45"/>
      <c r="K80" s="44"/>
      <c r="L80" s="24"/>
      <c r="M80" s="44"/>
      <c r="N80" s="24"/>
      <c r="O80" s="53"/>
    </row>
    <row r="81" spans="2:15" x14ac:dyDescent="0.25">
      <c r="B81" s="52"/>
      <c r="C81" s="24"/>
      <c r="D81" s="24"/>
      <c r="E81" s="44"/>
      <c r="F81" s="24"/>
      <c r="G81" s="44"/>
      <c r="H81" s="24"/>
      <c r="I81" s="44"/>
      <c r="J81" s="45"/>
      <c r="K81" s="44"/>
      <c r="L81" s="24"/>
      <c r="M81" s="44"/>
      <c r="N81" s="24"/>
      <c r="O81" s="53"/>
    </row>
    <row r="82" spans="2:15" ht="18" x14ac:dyDescent="0.25">
      <c r="B82" s="52"/>
      <c r="C82" s="24"/>
      <c r="D82" s="24"/>
      <c r="E82" s="44"/>
      <c r="F82" s="24"/>
      <c r="G82" s="44"/>
      <c r="H82" s="24"/>
      <c r="I82" s="44"/>
      <c r="J82" s="46"/>
      <c r="K82" s="44"/>
      <c r="L82" s="24"/>
      <c r="M82" s="44"/>
      <c r="N82" s="24"/>
      <c r="O82" s="53"/>
    </row>
    <row r="83" spans="2:15" x14ac:dyDescent="0.25">
      <c r="B83" s="52"/>
      <c r="C83" s="24"/>
      <c r="D83" s="24"/>
      <c r="E83" s="44"/>
      <c r="F83" s="24"/>
      <c r="G83" s="44"/>
      <c r="H83" s="24"/>
      <c r="I83" s="44"/>
      <c r="J83" s="45"/>
      <c r="K83" s="44"/>
      <c r="L83" s="24"/>
      <c r="M83" s="44"/>
      <c r="N83" s="24"/>
      <c r="O83" s="53"/>
    </row>
    <row r="84" spans="2:15" x14ac:dyDescent="0.25">
      <c r="B84" s="52"/>
      <c r="C84" s="24"/>
      <c r="D84" s="24"/>
      <c r="E84" s="44"/>
      <c r="F84" s="24"/>
      <c r="G84" s="44"/>
      <c r="H84" s="24"/>
      <c r="I84" s="44"/>
      <c r="J84" s="45"/>
      <c r="K84" s="44"/>
      <c r="L84" s="24"/>
      <c r="M84" s="44"/>
      <c r="N84" s="24"/>
      <c r="O84" s="53"/>
    </row>
    <row r="85" spans="2:15" x14ac:dyDescent="0.25">
      <c r="B85" s="52"/>
      <c r="C85" s="100"/>
      <c r="D85" s="24"/>
      <c r="E85" s="44"/>
      <c r="F85" s="24"/>
      <c r="G85" s="44"/>
      <c r="H85" s="24"/>
      <c r="I85" s="44"/>
      <c r="J85" s="45"/>
      <c r="K85" s="44"/>
      <c r="L85" s="24"/>
      <c r="M85" s="44"/>
      <c r="N85" s="24"/>
      <c r="O85" s="53"/>
    </row>
    <row r="86" spans="2:15" x14ac:dyDescent="0.25">
      <c r="B86" s="52"/>
      <c r="C86" s="24"/>
      <c r="D86" s="24"/>
      <c r="E86" s="44"/>
      <c r="F86" s="24"/>
      <c r="G86" s="44"/>
      <c r="H86" s="24"/>
      <c r="I86" s="44"/>
      <c r="J86" s="45"/>
      <c r="K86" s="44"/>
      <c r="L86" s="24"/>
      <c r="M86" s="44"/>
      <c r="N86" s="24"/>
      <c r="O86" s="53"/>
    </row>
    <row r="87" spans="2:15" x14ac:dyDescent="0.25">
      <c r="B87" s="52"/>
      <c r="C87" s="24"/>
      <c r="D87" s="24"/>
      <c r="E87" s="44"/>
      <c r="F87" s="24"/>
      <c r="G87" s="44"/>
      <c r="H87" s="24"/>
      <c r="I87" s="44"/>
      <c r="J87" s="45"/>
      <c r="K87" s="44"/>
      <c r="L87" s="24"/>
      <c r="M87" s="44"/>
      <c r="N87" s="24"/>
      <c r="O87" s="53"/>
    </row>
    <row r="88" spans="2:15" x14ac:dyDescent="0.25">
      <c r="B88" s="52"/>
      <c r="C88" s="24"/>
      <c r="D88" s="24"/>
      <c r="E88" s="44"/>
      <c r="F88" s="24"/>
      <c r="G88" s="44"/>
      <c r="H88" s="24"/>
      <c r="I88" s="44"/>
      <c r="J88" s="45"/>
      <c r="K88" s="44"/>
      <c r="L88" s="24"/>
      <c r="M88" s="44"/>
      <c r="N88" s="24"/>
      <c r="O88" s="53"/>
    </row>
    <row r="89" spans="2:15" ht="18" x14ac:dyDescent="0.25">
      <c r="B89" s="52"/>
      <c r="C89" s="24"/>
      <c r="D89" s="24"/>
      <c r="E89" s="44"/>
      <c r="F89" s="24"/>
      <c r="G89" s="44"/>
      <c r="H89" s="24"/>
      <c r="I89" s="44"/>
      <c r="J89" s="46"/>
      <c r="K89" s="44"/>
      <c r="L89" s="24"/>
      <c r="M89" s="44"/>
      <c r="N89" s="24"/>
      <c r="O89" s="53"/>
    </row>
    <row r="90" spans="2:15" x14ac:dyDescent="0.25">
      <c r="B90" s="52"/>
      <c r="C90" s="24"/>
      <c r="D90" s="24"/>
      <c r="E90" s="44"/>
      <c r="F90" s="24"/>
      <c r="G90" s="44"/>
      <c r="H90" s="24"/>
      <c r="I90" s="44"/>
      <c r="J90" s="45"/>
      <c r="K90" s="44"/>
      <c r="L90" s="24"/>
      <c r="M90" s="44"/>
      <c r="N90" s="24"/>
      <c r="O90" s="53"/>
    </row>
    <row r="91" spans="2:15" x14ac:dyDescent="0.25">
      <c r="B91" s="52"/>
      <c r="C91" s="24"/>
      <c r="D91" s="24"/>
      <c r="E91" s="44"/>
      <c r="F91" s="24"/>
      <c r="G91" s="44"/>
      <c r="H91" s="24"/>
      <c r="I91" s="44"/>
      <c r="J91" s="45"/>
      <c r="K91" s="44"/>
      <c r="L91" s="24"/>
      <c r="M91" s="44"/>
      <c r="N91" s="24"/>
      <c r="O91" s="53"/>
    </row>
    <row r="92" spans="2:15" x14ac:dyDescent="0.25">
      <c r="B92" s="52"/>
      <c r="C92" s="100"/>
      <c r="D92" s="24"/>
      <c r="E92" s="44"/>
      <c r="F92" s="24"/>
      <c r="G92" s="44"/>
      <c r="H92" s="24"/>
      <c r="I92" s="44"/>
      <c r="J92" s="45"/>
      <c r="K92" s="44"/>
      <c r="L92" s="24"/>
      <c r="M92" s="44"/>
      <c r="N92" s="24"/>
      <c r="O92" s="53"/>
    </row>
    <row r="93" spans="2:15" x14ac:dyDescent="0.25">
      <c r="B93" s="52"/>
      <c r="C93" s="100"/>
      <c r="D93" s="24"/>
      <c r="E93" s="44"/>
      <c r="F93" s="24"/>
      <c r="G93" s="44"/>
      <c r="H93" s="24"/>
      <c r="I93" s="44"/>
      <c r="J93" s="45"/>
      <c r="K93" s="44"/>
      <c r="L93" s="24"/>
      <c r="M93" s="44"/>
      <c r="N93" s="24"/>
      <c r="O93" s="53"/>
    </row>
    <row r="94" spans="2:15" x14ac:dyDescent="0.25">
      <c r="B94" s="52"/>
      <c r="C94" s="100"/>
      <c r="D94" s="24"/>
      <c r="E94" s="44"/>
      <c r="F94" s="24"/>
      <c r="G94" s="44"/>
      <c r="H94" s="24"/>
      <c r="I94" s="44"/>
      <c r="J94" s="45"/>
      <c r="K94" s="44"/>
      <c r="L94" s="24"/>
      <c r="M94" s="44"/>
      <c r="N94" s="24"/>
      <c r="O94" s="53"/>
    </row>
    <row r="95" spans="2:15" x14ac:dyDescent="0.25">
      <c r="B95" s="52"/>
      <c r="C95" s="100"/>
      <c r="D95" s="24"/>
      <c r="E95" s="44"/>
      <c r="F95" s="24"/>
      <c r="G95" s="44"/>
      <c r="H95" s="24"/>
      <c r="I95" s="44"/>
      <c r="J95" s="45"/>
      <c r="K95" s="44"/>
      <c r="L95" s="24"/>
      <c r="M95" s="44"/>
      <c r="N95" s="24"/>
      <c r="O95" s="53"/>
    </row>
    <row r="96" spans="2:15" x14ac:dyDescent="0.25">
      <c r="B96" s="52"/>
      <c r="C96" s="100"/>
      <c r="D96" s="24"/>
      <c r="E96" s="44"/>
      <c r="F96" s="24"/>
      <c r="G96" s="44"/>
      <c r="H96" s="24"/>
      <c r="I96" s="44"/>
      <c r="J96" s="45"/>
      <c r="K96" s="44"/>
      <c r="L96" s="24"/>
      <c r="M96" s="44"/>
      <c r="N96" s="24"/>
      <c r="O96" s="53"/>
    </row>
    <row r="97" spans="2:15" x14ac:dyDescent="0.25">
      <c r="B97" s="52"/>
      <c r="C97" s="100"/>
      <c r="D97" s="24"/>
      <c r="E97" s="44"/>
      <c r="F97" s="24"/>
      <c r="G97" s="44"/>
      <c r="H97" s="24"/>
      <c r="I97" s="44"/>
      <c r="J97" s="45"/>
      <c r="K97" s="44"/>
      <c r="L97" s="24"/>
      <c r="M97" s="44"/>
      <c r="N97" s="24"/>
      <c r="O97" s="53"/>
    </row>
    <row r="98" spans="2:15" x14ac:dyDescent="0.25">
      <c r="B98" s="52"/>
      <c r="C98" s="100"/>
      <c r="D98" s="24"/>
      <c r="E98" s="44"/>
      <c r="F98" s="24"/>
      <c r="G98" s="44"/>
      <c r="H98" s="24"/>
      <c r="I98" s="44"/>
      <c r="J98" s="45"/>
      <c r="K98" s="44"/>
      <c r="L98" s="24"/>
      <c r="M98" s="44"/>
      <c r="N98" s="24"/>
      <c r="O98" s="53"/>
    </row>
    <row r="99" spans="2:15" x14ac:dyDescent="0.25">
      <c r="B99" s="52"/>
      <c r="C99" s="100"/>
      <c r="D99" s="24"/>
      <c r="E99" s="44"/>
      <c r="F99" s="24"/>
      <c r="G99" s="44"/>
      <c r="H99" s="24"/>
      <c r="I99" s="44"/>
      <c r="J99" s="45"/>
      <c r="K99" s="44"/>
      <c r="L99" s="24"/>
      <c r="M99" s="44"/>
      <c r="N99" s="24"/>
      <c r="O99" s="53"/>
    </row>
    <row r="100" spans="2:15" x14ac:dyDescent="0.25">
      <c r="B100" s="52"/>
      <c r="C100" s="100"/>
      <c r="D100" s="24"/>
      <c r="E100" s="44"/>
      <c r="F100" s="24"/>
      <c r="G100" s="44"/>
      <c r="H100" s="24"/>
      <c r="I100" s="44"/>
      <c r="J100" s="45"/>
      <c r="K100" s="44"/>
      <c r="L100" s="24"/>
      <c r="M100" s="44"/>
      <c r="N100" s="24"/>
      <c r="O100" s="53"/>
    </row>
    <row r="101" spans="2:15" x14ac:dyDescent="0.25">
      <c r="B101" s="52"/>
      <c r="C101" s="100"/>
      <c r="D101" s="24"/>
      <c r="E101" s="44"/>
      <c r="F101" s="24"/>
      <c r="G101" s="44"/>
      <c r="H101" s="24"/>
      <c r="I101" s="44"/>
      <c r="J101" s="45"/>
      <c r="K101" s="44"/>
      <c r="L101" s="24"/>
      <c r="M101" s="44"/>
      <c r="N101" s="24"/>
      <c r="O101" s="53"/>
    </row>
    <row r="102" spans="2:15" x14ac:dyDescent="0.25">
      <c r="B102" s="52"/>
      <c r="C102" s="100"/>
      <c r="D102" s="24"/>
      <c r="E102" s="44"/>
      <c r="F102" s="24"/>
      <c r="G102" s="44"/>
      <c r="H102" s="24"/>
      <c r="I102" s="44"/>
      <c r="J102" s="45"/>
      <c r="K102" s="44"/>
      <c r="L102" s="24"/>
      <c r="M102" s="44"/>
      <c r="N102" s="24"/>
      <c r="O102" s="53"/>
    </row>
    <row r="103" spans="2:15" x14ac:dyDescent="0.25">
      <c r="B103" s="52"/>
      <c r="C103" s="100"/>
      <c r="D103" s="24"/>
      <c r="E103" s="44"/>
      <c r="F103" s="24"/>
      <c r="G103" s="44"/>
      <c r="H103" s="24"/>
      <c r="I103" s="44"/>
      <c r="J103" s="45"/>
      <c r="K103" s="44"/>
      <c r="L103" s="24"/>
      <c r="M103" s="44"/>
      <c r="N103" s="24"/>
      <c r="O103" s="53"/>
    </row>
    <row r="104" spans="2:15" x14ac:dyDescent="0.25">
      <c r="B104" s="52"/>
      <c r="C104" s="100"/>
      <c r="D104" s="24"/>
      <c r="E104" s="44"/>
      <c r="F104" s="24"/>
      <c r="G104" s="44"/>
      <c r="H104" s="24"/>
      <c r="I104" s="44"/>
      <c r="J104" s="45"/>
      <c r="K104" s="44"/>
      <c r="L104" s="24"/>
      <c r="M104" s="44"/>
      <c r="N104" s="24"/>
      <c r="O104" s="53"/>
    </row>
    <row r="105" spans="2:15" x14ac:dyDescent="0.25">
      <c r="B105" s="52"/>
      <c r="C105" s="100"/>
      <c r="D105" s="24"/>
      <c r="E105" s="44"/>
      <c r="F105" s="24"/>
      <c r="G105" s="44"/>
      <c r="H105" s="24"/>
      <c r="I105" s="44"/>
      <c r="J105" s="45"/>
      <c r="K105" s="44"/>
      <c r="L105" s="24"/>
      <c r="M105" s="44"/>
      <c r="N105" s="24"/>
      <c r="O105" s="53"/>
    </row>
    <row r="106" spans="2:15" x14ac:dyDescent="0.25">
      <c r="B106" s="52"/>
      <c r="C106" s="100"/>
      <c r="D106" s="24"/>
      <c r="E106" s="44"/>
      <c r="F106" s="24"/>
      <c r="G106" s="44"/>
      <c r="H106" s="24"/>
      <c r="I106" s="44"/>
      <c r="J106" s="45"/>
      <c r="K106" s="44"/>
      <c r="L106" s="24"/>
      <c r="M106" s="44"/>
      <c r="N106" s="24"/>
      <c r="O106" s="53"/>
    </row>
    <row r="107" spans="2:15" x14ac:dyDescent="0.25">
      <c r="B107" s="52"/>
      <c r="C107" s="100"/>
      <c r="D107" s="24"/>
      <c r="E107" s="44"/>
      <c r="F107" s="24"/>
      <c r="G107" s="44"/>
      <c r="H107" s="24"/>
      <c r="I107" s="44"/>
      <c r="J107" s="45"/>
      <c r="K107" s="44"/>
      <c r="L107" s="24"/>
      <c r="M107" s="44"/>
      <c r="N107" s="24"/>
      <c r="O107" s="53"/>
    </row>
    <row r="108" spans="2:15" x14ac:dyDescent="0.25">
      <c r="B108" s="52"/>
      <c r="C108" s="100"/>
      <c r="D108" s="24"/>
      <c r="E108" s="44"/>
      <c r="F108" s="24"/>
      <c r="G108" s="44"/>
      <c r="H108" s="24"/>
      <c r="I108" s="44"/>
      <c r="J108" s="45"/>
      <c r="K108" s="44"/>
      <c r="L108" s="24"/>
      <c r="M108" s="44"/>
      <c r="N108" s="24"/>
      <c r="O108" s="53"/>
    </row>
    <row r="109" spans="2:15" x14ac:dyDescent="0.25">
      <c r="B109" s="52"/>
      <c r="C109" s="100"/>
      <c r="D109" s="24"/>
      <c r="E109" s="44"/>
      <c r="F109" s="24"/>
      <c r="G109" s="44"/>
      <c r="H109" s="24"/>
      <c r="I109" s="44"/>
      <c r="J109" s="45"/>
      <c r="K109" s="44"/>
      <c r="L109" s="24"/>
      <c r="M109" s="44"/>
      <c r="N109" s="24"/>
      <c r="O109" s="53"/>
    </row>
    <row r="110" spans="2:15" x14ac:dyDescent="0.25">
      <c r="B110" s="52"/>
      <c r="C110" s="100"/>
      <c r="D110" s="24"/>
      <c r="E110" s="44"/>
      <c r="F110" s="24"/>
      <c r="G110" s="44"/>
      <c r="H110" s="24"/>
      <c r="I110" s="44"/>
      <c r="J110" s="45"/>
      <c r="K110" s="44"/>
      <c r="L110" s="24"/>
      <c r="M110" s="44"/>
      <c r="N110" s="24"/>
      <c r="O110" s="53"/>
    </row>
    <row r="111" spans="2:15" x14ac:dyDescent="0.25">
      <c r="B111" s="52"/>
      <c r="C111" s="100"/>
      <c r="D111" s="24"/>
      <c r="E111" s="44"/>
      <c r="F111" s="24"/>
      <c r="G111" s="44"/>
      <c r="H111" s="24"/>
      <c r="I111" s="44"/>
      <c r="J111" s="45"/>
      <c r="K111" s="44"/>
      <c r="L111" s="24"/>
      <c r="M111" s="44"/>
      <c r="N111" s="24"/>
      <c r="O111" s="53"/>
    </row>
    <row r="112" spans="2:15" x14ac:dyDescent="0.25">
      <c r="B112" s="52"/>
      <c r="C112" s="24"/>
      <c r="D112" s="24"/>
      <c r="E112" s="44"/>
      <c r="F112" s="24"/>
      <c r="G112" s="44"/>
      <c r="H112" s="24"/>
      <c r="I112" s="44"/>
      <c r="J112" s="45"/>
      <c r="K112" s="44"/>
      <c r="L112" s="24"/>
      <c r="M112" s="44"/>
      <c r="N112" s="24"/>
      <c r="O112" s="53"/>
    </row>
    <row r="113" spans="2:15" x14ac:dyDescent="0.25">
      <c r="B113" s="52"/>
      <c r="C113" s="24"/>
      <c r="D113" s="24"/>
      <c r="E113" s="44"/>
      <c r="F113" s="24"/>
      <c r="G113" s="44"/>
      <c r="H113" s="24"/>
      <c r="I113" s="44"/>
      <c r="J113" s="45"/>
      <c r="K113" s="44"/>
      <c r="L113" s="24"/>
      <c r="M113" s="44"/>
      <c r="N113" s="24"/>
      <c r="O113" s="53"/>
    </row>
    <row r="114" spans="2:15" x14ac:dyDescent="0.25">
      <c r="B114" s="52"/>
      <c r="C114" s="24"/>
      <c r="D114" s="24"/>
      <c r="E114" s="44"/>
      <c r="F114" s="24"/>
      <c r="G114" s="44"/>
      <c r="H114" s="24"/>
      <c r="I114" s="44"/>
      <c r="J114" s="45"/>
      <c r="K114" s="44"/>
      <c r="L114" s="24"/>
      <c r="M114" s="44"/>
      <c r="N114" s="24"/>
      <c r="O114" s="53"/>
    </row>
    <row r="115" spans="2:15" x14ac:dyDescent="0.25">
      <c r="B115" s="52"/>
      <c r="C115" s="24"/>
      <c r="D115" s="24"/>
      <c r="E115" s="44"/>
      <c r="F115" s="24"/>
      <c r="G115" s="44"/>
      <c r="H115" s="24"/>
      <c r="I115" s="44"/>
      <c r="J115" s="45"/>
      <c r="K115" s="44"/>
      <c r="L115" s="24"/>
      <c r="M115" s="44"/>
      <c r="N115" s="24"/>
      <c r="O115" s="53"/>
    </row>
    <row r="116" spans="2:15" x14ac:dyDescent="0.25">
      <c r="B116" s="52"/>
      <c r="C116" s="24"/>
      <c r="D116" s="24"/>
      <c r="E116" s="44"/>
      <c r="F116" s="24"/>
      <c r="G116" s="44"/>
      <c r="H116" s="24"/>
      <c r="I116" s="44"/>
      <c r="J116" s="45"/>
      <c r="K116" s="44"/>
      <c r="L116" s="24"/>
      <c r="M116" s="44"/>
      <c r="N116" s="24"/>
      <c r="O116" s="53"/>
    </row>
    <row r="117" spans="2:15" x14ac:dyDescent="0.25">
      <c r="B117" s="52"/>
      <c r="C117" s="24"/>
      <c r="D117" s="24"/>
      <c r="E117" s="44"/>
      <c r="F117" s="24"/>
      <c r="G117" s="44"/>
      <c r="H117" s="24"/>
      <c r="I117" s="44"/>
      <c r="J117" s="45"/>
      <c r="K117" s="44"/>
      <c r="L117" s="24"/>
      <c r="M117" s="44"/>
      <c r="N117" s="24"/>
      <c r="O117" s="53"/>
    </row>
    <row r="118" spans="2:15" x14ac:dyDescent="0.25">
      <c r="B118" s="52"/>
      <c r="C118" s="24"/>
      <c r="D118" s="24"/>
      <c r="E118" s="44"/>
      <c r="F118" s="24"/>
      <c r="G118" s="44"/>
      <c r="H118" s="24"/>
      <c r="I118" s="44"/>
      <c r="J118" s="45"/>
      <c r="K118" s="44"/>
      <c r="L118" s="24"/>
      <c r="M118" s="44"/>
      <c r="N118" s="24"/>
      <c r="O118" s="53"/>
    </row>
    <row r="119" spans="2:15" x14ac:dyDescent="0.25">
      <c r="B119" s="52"/>
      <c r="C119" s="24"/>
      <c r="D119" s="24"/>
      <c r="E119" s="44"/>
      <c r="F119" s="24"/>
      <c r="G119" s="44"/>
      <c r="H119" s="24"/>
      <c r="I119" s="44"/>
      <c r="J119" s="45"/>
      <c r="K119" s="44"/>
      <c r="L119" s="24"/>
      <c r="M119" s="44"/>
      <c r="N119" s="24"/>
      <c r="O119" s="53"/>
    </row>
    <row r="120" spans="2:15" x14ac:dyDescent="0.25">
      <c r="B120" s="52"/>
      <c r="C120" s="24"/>
      <c r="D120" s="24"/>
      <c r="E120" s="44"/>
      <c r="F120" s="24"/>
      <c r="G120" s="44"/>
      <c r="H120" s="24"/>
      <c r="I120" s="44"/>
      <c r="J120" s="45"/>
      <c r="K120" s="44"/>
      <c r="L120" s="24"/>
      <c r="M120" s="44"/>
      <c r="N120" s="24"/>
      <c r="O120" s="53"/>
    </row>
    <row r="121" spans="2:15" x14ac:dyDescent="0.25">
      <c r="B121" s="52"/>
      <c r="C121" s="24"/>
      <c r="D121" s="24"/>
      <c r="E121" s="44"/>
      <c r="F121" s="24"/>
      <c r="G121" s="44"/>
      <c r="H121" s="24"/>
      <c r="I121" s="44"/>
      <c r="J121" s="45"/>
      <c r="K121" s="44"/>
      <c r="L121" s="24"/>
      <c r="M121" s="44"/>
      <c r="N121" s="24"/>
      <c r="O121" s="53"/>
    </row>
    <row r="122" spans="2:15" x14ac:dyDescent="0.25">
      <c r="B122" s="52"/>
      <c r="C122" s="24"/>
      <c r="D122" s="24"/>
      <c r="E122" s="44"/>
      <c r="F122" s="24"/>
      <c r="G122" s="44"/>
      <c r="H122" s="24"/>
      <c r="I122" s="44"/>
      <c r="J122" s="45"/>
      <c r="K122" s="44"/>
      <c r="L122" s="24"/>
      <c r="M122" s="44"/>
      <c r="N122" s="24"/>
      <c r="O122" s="53"/>
    </row>
    <row r="123" spans="2:15" x14ac:dyDescent="0.25">
      <c r="B123" s="52"/>
      <c r="C123" s="216"/>
      <c r="D123" s="24"/>
      <c r="E123" s="44"/>
      <c r="F123" s="24"/>
      <c r="G123" s="44"/>
      <c r="H123" s="24"/>
      <c r="I123" s="44"/>
      <c r="J123" s="45"/>
      <c r="K123" s="44"/>
      <c r="L123" s="24"/>
      <c r="M123" s="44"/>
      <c r="N123" s="24"/>
      <c r="O123" s="53"/>
    </row>
    <row r="124" spans="2:15" x14ac:dyDescent="0.25">
      <c r="B124" s="52"/>
      <c r="C124" s="24"/>
      <c r="D124" s="24"/>
      <c r="E124" s="44"/>
      <c r="F124" s="24"/>
      <c r="G124" s="44"/>
      <c r="H124" s="24"/>
      <c r="I124" s="44"/>
      <c r="J124" s="45"/>
      <c r="K124" s="44"/>
      <c r="L124" s="24"/>
      <c r="M124" s="44"/>
      <c r="N124" s="24"/>
      <c r="O124" s="53"/>
    </row>
    <row r="125" spans="2:15" x14ac:dyDescent="0.25">
      <c r="B125" s="52"/>
      <c r="C125" s="24"/>
      <c r="D125" s="24"/>
      <c r="E125" s="44"/>
      <c r="F125" s="24"/>
      <c r="G125" s="44"/>
      <c r="H125" s="24"/>
      <c r="I125" s="44"/>
      <c r="J125" s="45"/>
      <c r="K125" s="44"/>
      <c r="L125" s="24"/>
      <c r="M125" s="44"/>
      <c r="N125" s="24"/>
      <c r="O125" s="53"/>
    </row>
    <row r="126" spans="2:15" x14ac:dyDescent="0.25">
      <c r="B126" s="52"/>
      <c r="C126" s="24"/>
      <c r="D126" s="24"/>
      <c r="E126" s="44"/>
      <c r="F126" s="24"/>
      <c r="G126" s="44"/>
      <c r="H126" s="24"/>
      <c r="I126" s="44"/>
      <c r="J126" s="45"/>
      <c r="K126" s="44"/>
      <c r="L126" s="24"/>
      <c r="M126" s="44"/>
      <c r="N126" s="24"/>
      <c r="O126" s="53"/>
    </row>
    <row r="127" spans="2:15" x14ac:dyDescent="0.25">
      <c r="B127" s="52"/>
      <c r="C127" s="24"/>
      <c r="D127" s="24"/>
      <c r="E127" s="44"/>
      <c r="F127" s="24"/>
      <c r="G127" s="44"/>
      <c r="H127" s="24"/>
      <c r="I127" s="44"/>
      <c r="J127" s="45"/>
      <c r="K127" s="44"/>
      <c r="L127" s="24"/>
      <c r="M127" s="44"/>
      <c r="N127" s="24"/>
      <c r="O127" s="53"/>
    </row>
    <row r="128" spans="2:15" x14ac:dyDescent="0.25">
      <c r="B128" s="52"/>
      <c r="C128" s="24"/>
      <c r="D128" s="24"/>
      <c r="E128" s="44"/>
      <c r="F128" s="24"/>
      <c r="G128" s="44"/>
      <c r="H128" s="24"/>
      <c r="I128" s="44"/>
      <c r="J128" s="45"/>
      <c r="K128" s="44"/>
      <c r="L128" s="24"/>
      <c r="M128" s="44"/>
      <c r="N128" s="24"/>
      <c r="O128" s="53"/>
    </row>
    <row r="129" spans="2:15" x14ac:dyDescent="0.25">
      <c r="B129" s="52"/>
      <c r="C129" s="24"/>
      <c r="D129" s="24"/>
      <c r="E129" s="44"/>
      <c r="F129" s="24"/>
      <c r="G129" s="44"/>
      <c r="H129" s="24"/>
      <c r="I129" s="44"/>
      <c r="J129" s="45"/>
      <c r="K129" s="44"/>
      <c r="L129" s="24"/>
      <c r="M129" s="44"/>
      <c r="N129" s="24"/>
      <c r="O129" s="53"/>
    </row>
    <row r="130" spans="2:15" x14ac:dyDescent="0.25">
      <c r="B130" s="52"/>
      <c r="C130" s="24"/>
      <c r="D130" s="24"/>
      <c r="E130" s="44"/>
      <c r="F130" s="24"/>
      <c r="G130" s="44"/>
      <c r="H130" s="24"/>
      <c r="I130" s="44"/>
      <c r="J130" s="45"/>
      <c r="K130" s="44"/>
      <c r="L130" s="24"/>
      <c r="M130" s="44"/>
      <c r="N130" s="24"/>
      <c r="O130" s="53"/>
    </row>
    <row r="131" spans="2:15" x14ac:dyDescent="0.25">
      <c r="B131" s="52"/>
      <c r="C131" s="24"/>
      <c r="D131" s="24"/>
      <c r="E131" s="44"/>
      <c r="F131" s="24"/>
      <c r="G131" s="44"/>
      <c r="H131" s="24"/>
      <c r="I131" s="44"/>
      <c r="J131" s="45"/>
      <c r="K131" s="44"/>
      <c r="L131" s="24"/>
      <c r="M131" s="44"/>
      <c r="N131" s="24"/>
      <c r="O131" s="53"/>
    </row>
    <row r="132" spans="2:15" x14ac:dyDescent="0.25">
      <c r="B132" s="52"/>
      <c r="C132" s="24"/>
      <c r="D132" s="24"/>
      <c r="E132" s="44"/>
      <c r="F132" s="24"/>
      <c r="G132" s="44"/>
      <c r="H132" s="24"/>
      <c r="I132" s="44"/>
      <c r="J132" s="45"/>
      <c r="K132" s="44"/>
      <c r="L132" s="24"/>
      <c r="M132" s="44"/>
      <c r="N132" s="24"/>
      <c r="O132" s="53"/>
    </row>
    <row r="133" spans="2:15" x14ac:dyDescent="0.25">
      <c r="B133" s="52"/>
      <c r="C133" s="24"/>
      <c r="D133" s="24"/>
      <c r="E133" s="44"/>
      <c r="F133" s="24"/>
      <c r="G133" s="44"/>
      <c r="H133" s="24"/>
      <c r="I133" s="44"/>
      <c r="J133" s="45"/>
      <c r="K133" s="44"/>
      <c r="L133" s="24"/>
      <c r="M133" s="44"/>
      <c r="N133" s="24"/>
      <c r="O133" s="53"/>
    </row>
    <row r="134" spans="2:15" x14ac:dyDescent="0.25">
      <c r="B134" s="52"/>
      <c r="C134" s="24"/>
      <c r="D134" s="24"/>
      <c r="E134" s="44"/>
      <c r="F134" s="24"/>
      <c r="G134" s="44"/>
      <c r="H134" s="24"/>
      <c r="I134" s="44"/>
      <c r="J134" s="45"/>
      <c r="K134" s="44"/>
      <c r="L134" s="24"/>
      <c r="M134" s="44"/>
      <c r="N134" s="24"/>
      <c r="O134" s="53"/>
    </row>
    <row r="135" spans="2:15" x14ac:dyDescent="0.25">
      <c r="B135" s="52"/>
      <c r="C135" s="24"/>
      <c r="D135" s="24"/>
      <c r="E135" s="44"/>
      <c r="F135" s="24"/>
      <c r="G135" s="44"/>
      <c r="H135" s="24"/>
      <c r="I135" s="44"/>
      <c r="J135" s="45"/>
      <c r="K135" s="44"/>
      <c r="L135" s="24"/>
      <c r="M135" s="44"/>
      <c r="N135" s="24"/>
      <c r="O135" s="53"/>
    </row>
    <row r="136" spans="2:15" x14ac:dyDescent="0.25">
      <c r="B136" s="52"/>
      <c r="C136" s="24"/>
      <c r="D136" s="24"/>
      <c r="E136" s="44"/>
      <c r="F136" s="24"/>
      <c r="G136" s="44"/>
      <c r="H136" s="24"/>
      <c r="I136" s="44"/>
      <c r="J136" s="45"/>
      <c r="K136" s="44"/>
      <c r="L136" s="24"/>
      <c r="M136" s="44"/>
      <c r="N136" s="24"/>
      <c r="O136" s="53"/>
    </row>
    <row r="137" spans="2:15" x14ac:dyDescent="0.25">
      <c r="B137" s="52"/>
      <c r="C137" s="24"/>
      <c r="D137" s="24"/>
      <c r="E137" s="44"/>
      <c r="F137" s="24"/>
      <c r="G137" s="44"/>
      <c r="H137" s="24"/>
      <c r="I137" s="44"/>
      <c r="J137" s="45"/>
      <c r="K137" s="44"/>
      <c r="L137" s="24"/>
      <c r="M137" s="44"/>
      <c r="N137" s="24"/>
      <c r="O137" s="53"/>
    </row>
    <row r="138" spans="2:15" x14ac:dyDescent="0.25">
      <c r="B138" s="52"/>
      <c r="C138" s="24"/>
      <c r="D138" s="24"/>
      <c r="E138" s="44"/>
      <c r="F138" s="24"/>
      <c r="G138" s="44"/>
      <c r="H138" s="24"/>
      <c r="I138" s="44"/>
      <c r="J138" s="45"/>
      <c r="K138" s="44"/>
      <c r="L138" s="24"/>
      <c r="M138" s="44"/>
      <c r="N138" s="24"/>
      <c r="O138" s="53"/>
    </row>
    <row r="139" spans="2:15" x14ac:dyDescent="0.25">
      <c r="B139" s="52"/>
      <c r="C139" s="24"/>
      <c r="D139" s="24"/>
      <c r="E139" s="44"/>
      <c r="F139" s="24"/>
      <c r="G139" s="44"/>
      <c r="H139" s="24"/>
      <c r="I139" s="44"/>
      <c r="J139" s="45"/>
      <c r="K139" s="44"/>
      <c r="L139" s="24"/>
      <c r="M139" s="44"/>
      <c r="N139" s="24"/>
      <c r="O139" s="53"/>
    </row>
    <row r="140" spans="2:15" x14ac:dyDescent="0.25">
      <c r="B140" s="52"/>
      <c r="C140" s="24"/>
      <c r="D140" s="24"/>
      <c r="E140" s="44"/>
      <c r="F140" s="24"/>
      <c r="G140" s="44"/>
      <c r="H140" s="24"/>
      <c r="I140" s="44"/>
      <c r="J140" s="45"/>
      <c r="K140" s="44"/>
      <c r="L140" s="24"/>
      <c r="M140" s="44"/>
      <c r="N140" s="24"/>
      <c r="O140" s="53"/>
    </row>
    <row r="141" spans="2:15" x14ac:dyDescent="0.25">
      <c r="B141" s="52"/>
      <c r="C141" s="24"/>
      <c r="D141" s="24"/>
      <c r="E141" s="44"/>
      <c r="F141" s="24"/>
      <c r="G141" s="44"/>
      <c r="H141" s="24"/>
      <c r="I141" s="44"/>
      <c r="J141" s="45"/>
      <c r="K141" s="44"/>
      <c r="L141" s="24"/>
      <c r="M141" s="44"/>
      <c r="N141" s="24"/>
      <c r="O141" s="53"/>
    </row>
    <row r="142" spans="2:15" x14ac:dyDescent="0.25">
      <c r="B142" s="52"/>
      <c r="C142" s="24"/>
      <c r="D142" s="24"/>
      <c r="E142" s="44"/>
      <c r="F142" s="24"/>
      <c r="G142" s="44"/>
      <c r="H142" s="24"/>
      <c r="I142" s="44"/>
      <c r="J142" s="45"/>
      <c r="K142" s="44"/>
      <c r="L142" s="24"/>
      <c r="M142" s="44"/>
      <c r="N142" s="24"/>
      <c r="O142" s="53"/>
    </row>
    <row r="143" spans="2:15" x14ac:dyDescent="0.25">
      <c r="B143" s="52"/>
      <c r="C143" s="24"/>
      <c r="D143" s="24"/>
      <c r="E143" s="44"/>
      <c r="F143" s="24"/>
      <c r="G143" s="44"/>
      <c r="H143" s="24"/>
      <c r="I143" s="44"/>
      <c r="J143" s="45"/>
      <c r="K143" s="44"/>
      <c r="L143" s="24"/>
      <c r="M143" s="44"/>
      <c r="N143" s="24"/>
      <c r="O143" s="53"/>
    </row>
    <row r="144" spans="2:15" x14ac:dyDescent="0.25">
      <c r="B144" s="52"/>
      <c r="C144" s="24"/>
      <c r="D144" s="24"/>
      <c r="E144" s="44"/>
      <c r="F144" s="24"/>
      <c r="G144" s="44"/>
      <c r="H144" s="24"/>
      <c r="I144" s="44"/>
      <c r="J144" s="45"/>
      <c r="K144" s="44"/>
      <c r="L144" s="24"/>
      <c r="M144" s="44"/>
      <c r="N144" s="24"/>
      <c r="O144" s="53"/>
    </row>
    <row r="145" spans="2:15" x14ac:dyDescent="0.25">
      <c r="B145" s="52"/>
      <c r="C145" s="24"/>
      <c r="D145" s="24"/>
      <c r="E145" s="44"/>
      <c r="F145" s="24"/>
      <c r="G145" s="44"/>
      <c r="H145" s="24"/>
      <c r="I145" s="44"/>
      <c r="J145" s="45"/>
      <c r="K145" s="44"/>
      <c r="L145" s="24"/>
      <c r="M145" s="44"/>
      <c r="N145" s="24"/>
      <c r="O145" s="53"/>
    </row>
    <row r="146" spans="2:15" x14ac:dyDescent="0.25">
      <c r="B146" s="52"/>
      <c r="C146" s="24"/>
      <c r="D146" s="24"/>
      <c r="E146" s="44"/>
      <c r="F146" s="24"/>
      <c r="G146" s="44"/>
      <c r="H146" s="24"/>
      <c r="I146" s="44"/>
      <c r="J146" s="45"/>
      <c r="K146" s="44"/>
      <c r="L146" s="24"/>
      <c r="M146" s="44"/>
      <c r="N146" s="24"/>
      <c r="O146" s="53"/>
    </row>
    <row r="147" spans="2:15" x14ac:dyDescent="0.25">
      <c r="B147" s="52"/>
      <c r="C147" s="24"/>
      <c r="D147" s="24"/>
      <c r="E147" s="44"/>
      <c r="F147" s="24"/>
      <c r="G147" s="44"/>
      <c r="H147" s="24"/>
      <c r="I147" s="44"/>
      <c r="J147" s="45"/>
      <c r="K147" s="44"/>
      <c r="L147" s="24"/>
      <c r="M147" s="44"/>
      <c r="N147" s="24"/>
      <c r="O147" s="53"/>
    </row>
    <row r="148" spans="2:15" x14ac:dyDescent="0.25">
      <c r="B148" s="52"/>
      <c r="C148" s="24"/>
      <c r="D148" s="24"/>
      <c r="E148" s="44"/>
      <c r="F148" s="24"/>
      <c r="G148" s="44"/>
      <c r="H148" s="24"/>
      <c r="I148" s="44"/>
      <c r="J148" s="45"/>
      <c r="K148" s="44"/>
      <c r="L148" s="24"/>
      <c r="M148" s="44"/>
      <c r="N148" s="24"/>
      <c r="O148" s="53"/>
    </row>
    <row r="149" spans="2:15" x14ac:dyDescent="0.25">
      <c r="B149" s="52"/>
      <c r="C149" s="24"/>
      <c r="D149" s="24"/>
      <c r="E149" s="44"/>
      <c r="F149" s="24"/>
      <c r="G149" s="44"/>
      <c r="H149" s="24"/>
      <c r="I149" s="44"/>
      <c r="J149" s="45"/>
      <c r="K149" s="44"/>
      <c r="L149" s="24"/>
      <c r="M149" s="44"/>
      <c r="N149" s="24"/>
      <c r="O149" s="53"/>
    </row>
    <row r="150" spans="2:15" ht="13.5" thickBot="1" x14ac:dyDescent="0.3">
      <c r="B150" s="54"/>
      <c r="C150" s="55"/>
      <c r="D150" s="55"/>
      <c r="E150" s="56"/>
      <c r="F150" s="55"/>
      <c r="G150" s="56"/>
      <c r="H150" s="55"/>
      <c r="I150" s="56"/>
      <c r="J150" s="57"/>
      <c r="K150" s="56"/>
      <c r="L150" s="55"/>
      <c r="M150" s="56"/>
      <c r="N150" s="55"/>
      <c r="O150" s="58"/>
    </row>
  </sheetData>
  <mergeCells count="11">
    <mergeCell ref="L7:M7"/>
    <mergeCell ref="C3:M3"/>
    <mergeCell ref="C4:N4"/>
    <mergeCell ref="C5:M5"/>
    <mergeCell ref="D7:D8"/>
    <mergeCell ref="E7:E8"/>
    <mergeCell ref="F7:F8"/>
    <mergeCell ref="G7:G8"/>
    <mergeCell ref="H7:I7"/>
    <mergeCell ref="J7:J8"/>
    <mergeCell ref="K7:K8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outlinePr summaryBelow="0"/>
  </sheetPr>
  <dimension ref="A1:BN160"/>
  <sheetViews>
    <sheetView showGridLines="0" topLeftCell="A122" zoomScale="89" zoomScaleNormal="89" workbookViewId="0">
      <selection activeCell="A156" sqref="A156"/>
    </sheetView>
  </sheetViews>
  <sheetFormatPr baseColWidth="10" defaultRowHeight="12.75" outlineLevelRow="1" x14ac:dyDescent="0.25"/>
  <cols>
    <col min="1" max="1" width="6" style="35" customWidth="1"/>
    <col min="2" max="2" width="48.28515625" style="35" customWidth="1"/>
    <col min="3" max="3" width="16.42578125" style="35" customWidth="1"/>
    <col min="4" max="4" width="12.42578125" style="36" customWidth="1"/>
    <col min="5" max="5" width="16.42578125" style="35" customWidth="1"/>
    <col min="6" max="6" width="7.7109375" style="36" customWidth="1"/>
    <col min="7" max="7" width="14.85546875" style="35" bestFit="1" customWidth="1"/>
    <col min="8" max="8" width="11.5703125" style="36" bestFit="1" customWidth="1"/>
    <col min="9" max="9" width="16.42578125" style="37" customWidth="1"/>
    <col min="10" max="10" width="12.42578125" style="36" customWidth="1"/>
    <col min="11" max="11" width="15" style="35" bestFit="1" customWidth="1"/>
    <col min="12" max="12" width="11.42578125" style="36"/>
    <col min="13" max="13" width="2.140625" style="35" customWidth="1"/>
    <col min="14" max="16384" width="11.42578125" style="35"/>
  </cols>
  <sheetData>
    <row r="1" spans="1:66" s="3" customFormat="1" ht="13.5" thickBot="1" x14ac:dyDescent="0.3">
      <c r="A1" s="35"/>
      <c r="B1" s="35"/>
      <c r="C1" s="35"/>
      <c r="D1" s="36"/>
      <c r="E1" s="35"/>
      <c r="F1" s="36"/>
      <c r="G1" s="35"/>
      <c r="H1" s="36"/>
      <c r="I1" s="37"/>
      <c r="J1" s="36"/>
      <c r="K1" s="35"/>
      <c r="L1" s="36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</row>
    <row r="2" spans="1:66" s="3" customFormat="1" ht="15" x14ac:dyDescent="0.25">
      <c r="A2" s="26"/>
      <c r="B2" s="38"/>
      <c r="C2" s="38"/>
      <c r="D2" s="39"/>
      <c r="E2" s="38"/>
      <c r="F2" s="39"/>
      <c r="G2" s="38"/>
      <c r="H2" s="39"/>
      <c r="I2" s="40"/>
      <c r="J2" s="39"/>
      <c r="K2" s="38"/>
      <c r="L2" s="39"/>
      <c r="M2" s="38"/>
      <c r="N2" s="27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</row>
    <row r="3" spans="1:66" s="3" customFormat="1" ht="15.75" x14ac:dyDescent="0.25">
      <c r="A3" s="28"/>
      <c r="B3" s="249" t="s">
        <v>0</v>
      </c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41"/>
      <c r="N3" s="29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</row>
    <row r="4" spans="1:66" s="3" customFormat="1" ht="15.75" x14ac:dyDescent="0.25">
      <c r="A4" s="28"/>
      <c r="B4" s="250" t="s">
        <v>1</v>
      </c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9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</row>
    <row r="5" spans="1:66" s="3" customFormat="1" ht="15.75" x14ac:dyDescent="0.25">
      <c r="A5" s="28"/>
      <c r="B5" s="250" t="s">
        <v>2</v>
      </c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41"/>
      <c r="N5" s="29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</row>
    <row r="6" spans="1:66" s="3" customFormat="1" x14ac:dyDescent="0.25">
      <c r="A6" s="28"/>
      <c r="B6" s="6"/>
      <c r="C6" s="6"/>
      <c r="D6" s="20"/>
      <c r="E6" s="4"/>
      <c r="F6" s="20"/>
      <c r="G6" s="4"/>
      <c r="H6" s="20"/>
      <c r="I6" s="7"/>
      <c r="J6" s="20"/>
      <c r="K6" s="4"/>
      <c r="L6" s="20"/>
      <c r="M6" s="4"/>
      <c r="N6" s="29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</row>
    <row r="7" spans="1:66" s="3" customFormat="1" ht="15" customHeight="1" x14ac:dyDescent="0.25">
      <c r="A7" s="28"/>
      <c r="B7" s="4"/>
      <c r="C7" s="251" t="s">
        <v>58</v>
      </c>
      <c r="D7" s="246" t="s">
        <v>50</v>
      </c>
      <c r="E7" s="253" t="s">
        <v>57</v>
      </c>
      <c r="F7" s="246" t="s">
        <v>50</v>
      </c>
      <c r="G7" s="246" t="s">
        <v>51</v>
      </c>
      <c r="H7" s="246"/>
      <c r="I7" s="244" t="s">
        <v>54</v>
      </c>
      <c r="J7" s="246" t="s">
        <v>50</v>
      </c>
      <c r="K7" s="246" t="s">
        <v>55</v>
      </c>
      <c r="L7" s="248"/>
      <c r="M7" s="4"/>
      <c r="N7" s="29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</row>
    <row r="8" spans="1:66" s="3" customFormat="1" collapsed="1" x14ac:dyDescent="0.25">
      <c r="A8" s="28"/>
      <c r="B8" s="5"/>
      <c r="C8" s="252"/>
      <c r="D8" s="247"/>
      <c r="E8" s="254"/>
      <c r="F8" s="247"/>
      <c r="G8" s="99" t="s">
        <v>52</v>
      </c>
      <c r="H8" s="99" t="s">
        <v>53</v>
      </c>
      <c r="I8" s="245"/>
      <c r="J8" s="247"/>
      <c r="K8" s="99" t="s">
        <v>52</v>
      </c>
      <c r="L8" s="16" t="s">
        <v>53</v>
      </c>
      <c r="M8" s="4"/>
      <c r="N8" s="29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</row>
    <row r="9" spans="1:66" s="3" customFormat="1" hidden="1" outlineLevel="1" x14ac:dyDescent="0.25">
      <c r="A9" s="28"/>
      <c r="B9" s="8" t="s">
        <v>3</v>
      </c>
      <c r="C9" s="4"/>
      <c r="D9" s="20"/>
      <c r="E9" s="4"/>
      <c r="F9" s="20"/>
      <c r="G9" s="4"/>
      <c r="H9" s="20"/>
      <c r="I9" s="9"/>
      <c r="J9" s="20"/>
      <c r="K9" s="4"/>
      <c r="L9" s="20"/>
      <c r="M9" s="4"/>
      <c r="N9" s="29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</row>
    <row r="10" spans="1:66" s="3" customFormat="1" hidden="1" outlineLevel="1" x14ac:dyDescent="0.25">
      <c r="A10" s="28"/>
      <c r="B10" s="4" t="s">
        <v>4</v>
      </c>
      <c r="C10" s="11">
        <v>565074850</v>
      </c>
      <c r="D10" s="21">
        <f>C10/C$19</f>
        <v>0.54807639435957789</v>
      </c>
      <c r="E10" s="11">
        <f>1246375074+17003120+5290100</f>
        <v>1268668294</v>
      </c>
      <c r="F10" s="21">
        <f>E10/E$19</f>
        <v>0.66813633686107288</v>
      </c>
      <c r="G10" s="11">
        <f>+C10-E10</f>
        <v>-703593444</v>
      </c>
      <c r="H10" s="21">
        <f>C10/E10-1</f>
        <v>-0.55459212414115866</v>
      </c>
      <c r="I10" s="42">
        <v>1544573000</v>
      </c>
      <c r="J10" s="21">
        <f>I10/I$19</f>
        <v>0.59566952042296051</v>
      </c>
      <c r="K10" s="12">
        <f>+C10-I10</f>
        <v>-979498150</v>
      </c>
      <c r="L10" s="21">
        <f>IFERROR(C10/I10,0)</f>
        <v>0.36584535013884095</v>
      </c>
      <c r="M10" s="4"/>
      <c r="N10" s="29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</row>
    <row r="11" spans="1:66" s="3" customFormat="1" hidden="1" outlineLevel="1" x14ac:dyDescent="0.25">
      <c r="A11" s="28"/>
      <c r="B11" s="4" t="s">
        <v>5</v>
      </c>
      <c r="C11" s="11">
        <v>146814600</v>
      </c>
      <c r="D11" s="21">
        <f t="shared" ref="D11:F19" si="0">C11/C$19</f>
        <v>0.14239815593871094</v>
      </c>
      <c r="E11" s="11">
        <f>252348000+143000</f>
        <v>252491000</v>
      </c>
      <c r="F11" s="21">
        <f t="shared" si="0"/>
        <v>0.13297282877504399</v>
      </c>
      <c r="G11" s="11">
        <f t="shared" ref="G11:G66" si="1">+C11-E11</f>
        <v>-105676400</v>
      </c>
      <c r="H11" s="21">
        <f t="shared" ref="H11:H19" si="2">C11/E11-1</f>
        <v>-0.41853531413000855</v>
      </c>
      <c r="I11" s="42">
        <v>439093200</v>
      </c>
      <c r="J11" s="21">
        <f t="shared" ref="J11:J19" si="3">I11/I$19</f>
        <v>0.16933769777471386</v>
      </c>
      <c r="K11" s="12">
        <f t="shared" ref="K11:K64" si="4">+C11-I11</f>
        <v>-292278600</v>
      </c>
      <c r="L11" s="21">
        <f t="shared" ref="L11:L66" si="5">IFERROR(C11/I11,0)</f>
        <v>0.3343586281910082</v>
      </c>
      <c r="M11" s="4"/>
      <c r="N11" s="29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</row>
    <row r="12" spans="1:66" s="3" customFormat="1" hidden="1" outlineLevel="1" x14ac:dyDescent="0.25">
      <c r="A12" s="28"/>
      <c r="B12" s="4" t="s">
        <v>6</v>
      </c>
      <c r="C12" s="11">
        <v>66625569</v>
      </c>
      <c r="D12" s="21">
        <f t="shared" si="0"/>
        <v>6.462135348914444E-2</v>
      </c>
      <c r="E12" s="11">
        <v>43537163</v>
      </c>
      <c r="F12" s="21">
        <f t="shared" si="0"/>
        <v>2.2928578527354162E-2</v>
      </c>
      <c r="G12" s="11">
        <f t="shared" si="1"/>
        <v>23088406</v>
      </c>
      <c r="H12" s="21">
        <f t="shared" si="2"/>
        <v>0.5303148944270899</v>
      </c>
      <c r="I12" s="42">
        <v>286337046</v>
      </c>
      <c r="J12" s="21">
        <f t="shared" si="3"/>
        <v>0.11042679813135876</v>
      </c>
      <c r="K12" s="12">
        <f t="shared" si="4"/>
        <v>-219711477</v>
      </c>
      <c r="L12" s="21">
        <f t="shared" si="5"/>
        <v>0.23268232291535201</v>
      </c>
      <c r="M12" s="4"/>
      <c r="N12" s="29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</row>
    <row r="13" spans="1:66" s="3" customFormat="1" hidden="1" outlineLevel="1" x14ac:dyDescent="0.25">
      <c r="A13" s="28"/>
      <c r="B13" s="4" t="s">
        <v>7</v>
      </c>
      <c r="C13" s="11">
        <v>70018</v>
      </c>
      <c r="D13" s="21">
        <f t="shared" si="0"/>
        <v>6.7911734136228013E-5</v>
      </c>
      <c r="E13" s="11">
        <v>313504</v>
      </c>
      <c r="F13" s="21">
        <f t="shared" si="0"/>
        <v>1.6510494913597469E-4</v>
      </c>
      <c r="G13" s="11">
        <f t="shared" si="1"/>
        <v>-243486</v>
      </c>
      <c r="H13" s="21">
        <f t="shared" si="2"/>
        <v>-0.77665994692252727</v>
      </c>
      <c r="I13" s="42">
        <v>0</v>
      </c>
      <c r="J13" s="21">
        <f t="shared" si="3"/>
        <v>0</v>
      </c>
      <c r="K13" s="12">
        <f t="shared" si="4"/>
        <v>70018</v>
      </c>
      <c r="L13" s="21">
        <f t="shared" si="5"/>
        <v>0</v>
      </c>
      <c r="M13" s="4"/>
      <c r="N13" s="29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</row>
    <row r="14" spans="1:66" s="3" customFormat="1" hidden="1" outlineLevel="1" x14ac:dyDescent="0.25">
      <c r="A14" s="28"/>
      <c r="B14" s="4" t="s">
        <v>8</v>
      </c>
      <c r="C14" s="11">
        <v>98829500</v>
      </c>
      <c r="D14" s="21">
        <f t="shared" si="0"/>
        <v>9.5856533017457612E-2</v>
      </c>
      <c r="E14" s="11">
        <v>205454900</v>
      </c>
      <c r="F14" s="21">
        <f t="shared" si="0"/>
        <v>0.10820155664437062</v>
      </c>
      <c r="G14" s="11">
        <f t="shared" si="1"/>
        <v>-106625400</v>
      </c>
      <c r="H14" s="21">
        <f t="shared" si="2"/>
        <v>-0.51897229026905656</v>
      </c>
      <c r="I14" s="42">
        <v>323000000</v>
      </c>
      <c r="J14" s="21">
        <f t="shared" si="3"/>
        <v>0.12456598367096683</v>
      </c>
      <c r="K14" s="12">
        <f t="shared" si="4"/>
        <v>-224170500</v>
      </c>
      <c r="L14" s="21">
        <f t="shared" si="5"/>
        <v>0.30597368421052634</v>
      </c>
      <c r="M14" s="4"/>
      <c r="N14" s="29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</row>
    <row r="15" spans="1:66" s="3" customFormat="1" hidden="1" outlineLevel="1" x14ac:dyDescent="0.25">
      <c r="A15" s="28"/>
      <c r="B15" s="4" t="s">
        <v>9</v>
      </c>
      <c r="C15" s="11">
        <v>1042500</v>
      </c>
      <c r="D15" s="21">
        <f t="shared" si="0"/>
        <v>1.0111397474509086E-3</v>
      </c>
      <c r="E15" s="11">
        <v>2657700</v>
      </c>
      <c r="F15" s="21">
        <f t="shared" si="0"/>
        <v>1.3996613227221341E-3</v>
      </c>
      <c r="G15" s="11">
        <f t="shared" si="1"/>
        <v>-1615200</v>
      </c>
      <c r="H15" s="21">
        <f t="shared" si="2"/>
        <v>-0.6077435376453324</v>
      </c>
      <c r="I15" s="42">
        <v>0</v>
      </c>
      <c r="J15" s="21">
        <f t="shared" si="3"/>
        <v>0</v>
      </c>
      <c r="K15" s="12">
        <f t="shared" si="4"/>
        <v>1042500</v>
      </c>
      <c r="L15" s="21">
        <f t="shared" si="5"/>
        <v>0</v>
      </c>
      <c r="M15" s="4"/>
      <c r="N15" s="29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</row>
    <row r="16" spans="1:66" s="3" customFormat="1" hidden="1" outlineLevel="1" x14ac:dyDescent="0.25">
      <c r="A16" s="28"/>
      <c r="B16" s="4" t="s">
        <v>10</v>
      </c>
      <c r="C16" s="11">
        <v>0</v>
      </c>
      <c r="D16" s="21">
        <f t="shared" si="0"/>
        <v>0</v>
      </c>
      <c r="E16" s="11">
        <v>69845500</v>
      </c>
      <c r="F16" s="21">
        <f t="shared" si="0"/>
        <v>3.6783702041685976E-2</v>
      </c>
      <c r="G16" s="11">
        <f t="shared" si="1"/>
        <v>-69845500</v>
      </c>
      <c r="H16" s="21">
        <f t="shared" si="2"/>
        <v>-1</v>
      </c>
      <c r="I16" s="42">
        <v>0</v>
      </c>
      <c r="J16" s="21">
        <f t="shared" si="3"/>
        <v>0</v>
      </c>
      <c r="K16" s="12">
        <f t="shared" si="4"/>
        <v>0</v>
      </c>
      <c r="L16" s="21">
        <f t="shared" si="5"/>
        <v>0</v>
      </c>
      <c r="M16" s="4"/>
      <c r="N16" s="29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</row>
    <row r="17" spans="1:66" s="3" customFormat="1" hidden="1" outlineLevel="1" x14ac:dyDescent="0.25">
      <c r="A17" s="28"/>
      <c r="B17" s="4" t="s">
        <v>11</v>
      </c>
      <c r="C17" s="11">
        <v>51181000</v>
      </c>
      <c r="D17" s="21">
        <f t="shared" si="0"/>
        <v>4.9641384570057505E-2</v>
      </c>
      <c r="E17" s="11">
        <v>0</v>
      </c>
      <c r="F17" s="21">
        <f t="shared" si="0"/>
        <v>0</v>
      </c>
      <c r="G17" s="11">
        <f t="shared" si="1"/>
        <v>51181000</v>
      </c>
      <c r="H17" s="21">
        <f>IFERROR(E17/E17-1,0)</f>
        <v>0</v>
      </c>
      <c r="I17" s="42">
        <v>0</v>
      </c>
      <c r="J17" s="21">
        <f t="shared" si="3"/>
        <v>0</v>
      </c>
      <c r="K17" s="12">
        <f t="shared" si="4"/>
        <v>51181000</v>
      </c>
      <c r="L17" s="21">
        <f t="shared" si="5"/>
        <v>0</v>
      </c>
      <c r="M17" s="4"/>
      <c r="N17" s="29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</row>
    <row r="18" spans="1:66" s="3" customFormat="1" hidden="1" outlineLevel="1" x14ac:dyDescent="0.25">
      <c r="A18" s="28"/>
      <c r="B18" s="4" t="s">
        <v>12</v>
      </c>
      <c r="C18" s="11">
        <v>101376719</v>
      </c>
      <c r="D18" s="21">
        <f t="shared" si="0"/>
        <v>9.8327127143464477E-2</v>
      </c>
      <c r="E18" s="11">
        <f>51749181+4099248</f>
        <v>55848429</v>
      </c>
      <c r="F18" s="21">
        <f t="shared" si="0"/>
        <v>2.941223087861429E-2</v>
      </c>
      <c r="G18" s="11">
        <f t="shared" si="1"/>
        <v>45528290</v>
      </c>
      <c r="H18" s="21">
        <f t="shared" si="2"/>
        <v>0.81521165080579072</v>
      </c>
      <c r="I18" s="91"/>
      <c r="J18" s="21">
        <f t="shared" si="3"/>
        <v>0</v>
      </c>
      <c r="K18" s="12">
        <f t="shared" si="4"/>
        <v>101376719</v>
      </c>
      <c r="L18" s="21">
        <f t="shared" si="5"/>
        <v>0</v>
      </c>
      <c r="M18" s="4"/>
      <c r="N18" s="29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</row>
    <row r="19" spans="1:66" s="3" customFormat="1" hidden="1" outlineLevel="1" x14ac:dyDescent="0.25">
      <c r="A19" s="28"/>
      <c r="B19" s="17" t="s">
        <v>13</v>
      </c>
      <c r="C19" s="18">
        <f>SUM(C10:C18)</f>
        <v>1031014756</v>
      </c>
      <c r="D19" s="22">
        <f t="shared" si="0"/>
        <v>1</v>
      </c>
      <c r="E19" s="18">
        <f>SUM(E10:E18)</f>
        <v>1898816490</v>
      </c>
      <c r="F19" s="22">
        <f t="shared" si="0"/>
        <v>1</v>
      </c>
      <c r="G19" s="18">
        <f t="shared" si="1"/>
        <v>-867801734</v>
      </c>
      <c r="H19" s="22">
        <f t="shared" si="2"/>
        <v>-0.45702243401098752</v>
      </c>
      <c r="I19" s="19">
        <f>SUM(I10:I18)</f>
        <v>2593003246</v>
      </c>
      <c r="J19" s="22">
        <f t="shared" si="3"/>
        <v>1</v>
      </c>
      <c r="K19" s="19">
        <f>+C19-I19</f>
        <v>-1561988490</v>
      </c>
      <c r="L19" s="22">
        <f t="shared" si="5"/>
        <v>0.39761414012514507</v>
      </c>
      <c r="M19" s="4"/>
      <c r="N19" s="29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</row>
    <row r="20" spans="1:66" s="3" customFormat="1" collapsed="1" x14ac:dyDescent="0.25">
      <c r="A20" s="28"/>
      <c r="B20" s="4"/>
      <c r="C20" s="11"/>
      <c r="D20" s="20"/>
      <c r="E20" s="11"/>
      <c r="F20" s="20"/>
      <c r="G20" s="11"/>
      <c r="H20" s="20"/>
      <c r="I20" s="42"/>
      <c r="J20" s="20"/>
      <c r="K20" s="12">
        <f t="shared" si="4"/>
        <v>0</v>
      </c>
      <c r="L20" s="21"/>
      <c r="M20" s="4"/>
      <c r="N20" s="29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</row>
    <row r="21" spans="1:66" s="3" customFormat="1" x14ac:dyDescent="0.25">
      <c r="A21" s="28"/>
      <c r="B21" s="8" t="s">
        <v>14</v>
      </c>
      <c r="C21" s="11"/>
      <c r="D21" s="20"/>
      <c r="E21" s="11"/>
      <c r="F21" s="20"/>
      <c r="G21" s="11"/>
      <c r="H21" s="20"/>
      <c r="I21" s="42"/>
      <c r="J21" s="20"/>
      <c r="K21" s="12">
        <f t="shared" si="4"/>
        <v>0</v>
      </c>
      <c r="L21" s="21"/>
      <c r="M21" s="4"/>
      <c r="N21" s="29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</row>
    <row r="22" spans="1:66" s="3" customFormat="1" x14ac:dyDescent="0.25">
      <c r="A22" s="28"/>
      <c r="B22" s="8" t="s">
        <v>15</v>
      </c>
      <c r="C22" s="11"/>
      <c r="D22" s="20"/>
      <c r="E22" s="11"/>
      <c r="F22" s="20"/>
      <c r="G22" s="11"/>
      <c r="H22" s="20"/>
      <c r="I22" s="42"/>
      <c r="J22" s="20"/>
      <c r="K22" s="12">
        <f t="shared" si="4"/>
        <v>0</v>
      </c>
      <c r="L22" s="21"/>
      <c r="M22" s="4"/>
      <c r="N22" s="29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</row>
    <row r="23" spans="1:66" s="3" customFormat="1" collapsed="1" x14ac:dyDescent="0.25">
      <c r="A23" s="28"/>
      <c r="B23" s="4" t="s">
        <v>16</v>
      </c>
      <c r="C23" s="11">
        <v>525632407</v>
      </c>
      <c r="D23" s="21">
        <f t="shared" ref="D23:D46" si="6">C23/C$19</f>
        <v>0.50982045013524524</v>
      </c>
      <c r="E23" s="11">
        <v>648272495</v>
      </c>
      <c r="F23" s="21">
        <f t="shared" ref="F23:F46" si="7">E23/E$19</f>
        <v>0.34140871348763147</v>
      </c>
      <c r="G23" s="11">
        <f t="shared" si="1"/>
        <v>-122640088</v>
      </c>
      <c r="H23" s="21">
        <f t="shared" ref="H23:H66" si="8">C23/E23-1</f>
        <v>-0.18917984172689606</v>
      </c>
      <c r="I23" s="42">
        <v>1145348184</v>
      </c>
      <c r="J23" s="21">
        <f t="shared" ref="J23:J46" si="9">I23/I$19</f>
        <v>0.44170719252543506</v>
      </c>
      <c r="K23" s="12">
        <f t="shared" si="4"/>
        <v>-619715777</v>
      </c>
      <c r="L23" s="21">
        <f t="shared" si="5"/>
        <v>0.45892804855575692</v>
      </c>
      <c r="M23" s="4"/>
      <c r="N23" s="29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</row>
    <row r="24" spans="1:66" s="3" customFormat="1" hidden="1" outlineLevel="1" x14ac:dyDescent="0.25">
      <c r="A24" s="28"/>
      <c r="B24" s="4" t="s">
        <v>17</v>
      </c>
      <c r="C24" s="11">
        <v>22190865</v>
      </c>
      <c r="D24" s="21">
        <f t="shared" si="6"/>
        <v>2.1523324347066861E-2</v>
      </c>
      <c r="E24" s="11">
        <v>30762888</v>
      </c>
      <c r="F24" s="21">
        <f t="shared" si="7"/>
        <v>1.620108534026898E-2</v>
      </c>
      <c r="G24" s="11">
        <f t="shared" si="1"/>
        <v>-8572023</v>
      </c>
      <c r="H24" s="21">
        <f t="shared" si="8"/>
        <v>-0.27864818803748204</v>
      </c>
      <c r="I24" s="42">
        <v>22063000</v>
      </c>
      <c r="J24" s="21">
        <f t="shared" si="9"/>
        <v>8.5086665564474955E-3</v>
      </c>
      <c r="K24" s="12">
        <f t="shared" si="4"/>
        <v>127865</v>
      </c>
      <c r="L24" s="21">
        <f t="shared" si="5"/>
        <v>1.0057954493949146</v>
      </c>
      <c r="M24" s="4"/>
      <c r="N24" s="29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</row>
    <row r="25" spans="1:66" s="3" customFormat="1" hidden="1" outlineLevel="1" x14ac:dyDescent="0.25">
      <c r="A25" s="28"/>
      <c r="B25" s="4" t="s">
        <v>18</v>
      </c>
      <c r="C25" s="11">
        <v>22840040</v>
      </c>
      <c r="D25" s="21">
        <f t="shared" si="6"/>
        <v>2.2152971009466327E-2</v>
      </c>
      <c r="E25" s="11">
        <v>6779828</v>
      </c>
      <c r="F25" s="21">
        <f t="shared" si="7"/>
        <v>3.5705546247915723E-3</v>
      </c>
      <c r="G25" s="11">
        <f t="shared" si="1"/>
        <v>16060212</v>
      </c>
      <c r="H25" s="21">
        <f t="shared" si="8"/>
        <v>2.3688229258913354</v>
      </c>
      <c r="I25" s="42">
        <v>32063000</v>
      </c>
      <c r="J25" s="21">
        <f t="shared" si="9"/>
        <v>1.2365198558644612E-2</v>
      </c>
      <c r="K25" s="12">
        <f t="shared" si="4"/>
        <v>-9222960</v>
      </c>
      <c r="L25" s="21">
        <f t="shared" si="5"/>
        <v>0.71234881327386712</v>
      </c>
      <c r="M25" s="4"/>
      <c r="N25" s="29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</row>
    <row r="26" spans="1:66" s="3" customFormat="1" hidden="1" outlineLevel="1" x14ac:dyDescent="0.25">
      <c r="A26" s="28"/>
      <c r="B26" s="4" t="s">
        <v>19</v>
      </c>
      <c r="C26" s="11">
        <v>2193724</v>
      </c>
      <c r="D26" s="21">
        <f t="shared" si="6"/>
        <v>2.1277328837764958E-3</v>
      </c>
      <c r="E26" s="11">
        <v>7213286</v>
      </c>
      <c r="F26" s="21">
        <f t="shared" si="7"/>
        <v>3.798832608621384E-3</v>
      </c>
      <c r="G26" s="11">
        <f t="shared" si="1"/>
        <v>-5019562</v>
      </c>
      <c r="H26" s="21">
        <f t="shared" si="8"/>
        <v>-0.6958773019675083</v>
      </c>
      <c r="I26" s="42">
        <v>3181000</v>
      </c>
      <c r="J26" s="21">
        <f t="shared" si="9"/>
        <v>1.2267628298989026E-3</v>
      </c>
      <c r="K26" s="12">
        <f t="shared" si="4"/>
        <v>-987276</v>
      </c>
      <c r="L26" s="21">
        <f t="shared" si="5"/>
        <v>0.6896334486010689</v>
      </c>
      <c r="M26" s="4"/>
      <c r="N26" s="29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</row>
    <row r="27" spans="1:66" s="3" customFormat="1" hidden="1" outlineLevel="1" x14ac:dyDescent="0.25">
      <c r="A27" s="28"/>
      <c r="B27" s="4" t="s">
        <v>20</v>
      </c>
      <c r="C27" s="11">
        <v>3042553</v>
      </c>
      <c r="D27" s="21">
        <f t="shared" si="6"/>
        <v>2.9510275990657113E-3</v>
      </c>
      <c r="E27" s="11">
        <v>34271474</v>
      </c>
      <c r="F27" s="21">
        <f t="shared" si="7"/>
        <v>1.8048860529960953E-2</v>
      </c>
      <c r="G27" s="11">
        <f t="shared" si="1"/>
        <v>-31228921</v>
      </c>
      <c r="H27" s="21">
        <f t="shared" si="8"/>
        <v>-0.91122199762986555</v>
      </c>
      <c r="I27" s="42">
        <v>28000000</v>
      </c>
      <c r="J27" s="21">
        <f t="shared" si="9"/>
        <v>1.0798289606151925E-2</v>
      </c>
      <c r="K27" s="12">
        <f t="shared" si="4"/>
        <v>-24957447</v>
      </c>
      <c r="L27" s="21">
        <f t="shared" si="5"/>
        <v>0.10866260714285714</v>
      </c>
      <c r="M27" s="4"/>
      <c r="N27" s="29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</row>
    <row r="28" spans="1:66" s="3" customFormat="1" hidden="1" outlineLevel="1" x14ac:dyDescent="0.25">
      <c r="A28" s="28"/>
      <c r="B28" s="4" t="s">
        <v>21</v>
      </c>
      <c r="C28" s="11">
        <v>65207430</v>
      </c>
      <c r="D28" s="21">
        <f t="shared" si="6"/>
        <v>6.3245874630333612E-2</v>
      </c>
      <c r="E28" s="11">
        <f>91980734+33017</f>
        <v>92013751</v>
      </c>
      <c r="F28" s="21">
        <f t="shared" si="7"/>
        <v>4.8458474783942919E-2</v>
      </c>
      <c r="G28" s="11">
        <f t="shared" si="1"/>
        <v>-26806321</v>
      </c>
      <c r="H28" s="21">
        <f t="shared" si="8"/>
        <v>-0.29132951008594354</v>
      </c>
      <c r="I28" s="42">
        <v>52823227</v>
      </c>
      <c r="J28" s="21">
        <f t="shared" si="9"/>
        <v>2.0371446538482274E-2</v>
      </c>
      <c r="K28" s="12">
        <f t="shared" si="4"/>
        <v>12384203</v>
      </c>
      <c r="L28" s="21">
        <f t="shared" si="5"/>
        <v>1.2344461651311081</v>
      </c>
      <c r="M28" s="4"/>
      <c r="N28" s="29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</row>
    <row r="29" spans="1:66" s="3" customFormat="1" hidden="1" outlineLevel="1" x14ac:dyDescent="0.25">
      <c r="A29" s="28"/>
      <c r="B29" s="4" t="s">
        <v>22</v>
      </c>
      <c r="C29" s="11">
        <v>18150811</v>
      </c>
      <c r="D29" s="21">
        <f t="shared" si="6"/>
        <v>1.7604802350665871E-2</v>
      </c>
      <c r="E29" s="11">
        <v>34169184</v>
      </c>
      <c r="F29" s="21">
        <f t="shared" si="7"/>
        <v>1.7994990131984794E-2</v>
      </c>
      <c r="G29" s="11">
        <f t="shared" si="1"/>
        <v>-16018373</v>
      </c>
      <c r="H29" s="21">
        <f t="shared" si="8"/>
        <v>-0.46879588930189264</v>
      </c>
      <c r="I29" s="42">
        <v>10000000</v>
      </c>
      <c r="J29" s="21">
        <f t="shared" si="9"/>
        <v>3.8565320021971155E-3</v>
      </c>
      <c r="K29" s="12">
        <f t="shared" si="4"/>
        <v>8150811</v>
      </c>
      <c r="L29" s="21">
        <f t="shared" si="5"/>
        <v>1.8150811</v>
      </c>
      <c r="M29" s="4"/>
      <c r="N29" s="29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</row>
    <row r="30" spans="1:66" s="3" customFormat="1" hidden="1" outlineLevel="1" x14ac:dyDescent="0.25">
      <c r="A30" s="28"/>
      <c r="B30" s="4" t="s">
        <v>23</v>
      </c>
      <c r="C30" s="11">
        <v>15519920</v>
      </c>
      <c r="D30" s="21">
        <f t="shared" si="6"/>
        <v>1.5053053227106285E-2</v>
      </c>
      <c r="E30" s="11">
        <v>22474306</v>
      </c>
      <c r="F30" s="21">
        <f t="shared" si="7"/>
        <v>1.1835954721459156E-2</v>
      </c>
      <c r="G30" s="11">
        <f t="shared" si="1"/>
        <v>-6954386</v>
      </c>
      <c r="H30" s="21">
        <f t="shared" si="8"/>
        <v>-0.30943718573556844</v>
      </c>
      <c r="I30" s="42">
        <v>24000000</v>
      </c>
      <c r="J30" s="21">
        <f t="shared" si="9"/>
        <v>9.2556768052730783E-3</v>
      </c>
      <c r="K30" s="12">
        <f t="shared" si="4"/>
        <v>-8480080</v>
      </c>
      <c r="L30" s="21">
        <f t="shared" si="5"/>
        <v>0.64666333333333337</v>
      </c>
      <c r="M30" s="4"/>
      <c r="N30" s="29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</row>
    <row r="31" spans="1:66" s="3" customFormat="1" hidden="1" outlineLevel="1" x14ac:dyDescent="0.25">
      <c r="A31" s="28"/>
      <c r="B31" s="4" t="s">
        <v>24</v>
      </c>
      <c r="C31" s="11">
        <v>231900</v>
      </c>
      <c r="D31" s="21">
        <f t="shared" si="6"/>
        <v>2.2492403590778482E-4</v>
      </c>
      <c r="E31" s="11">
        <v>9860000</v>
      </c>
      <c r="F31" s="21">
        <f t="shared" si="7"/>
        <v>5.1927082221621115E-3</v>
      </c>
      <c r="G31" s="11">
        <f t="shared" si="1"/>
        <v>-9628100</v>
      </c>
      <c r="H31" s="21">
        <f t="shared" si="8"/>
        <v>-0.97648073022312376</v>
      </c>
      <c r="I31" s="42">
        <v>4300000</v>
      </c>
      <c r="J31" s="21">
        <f t="shared" si="9"/>
        <v>1.6583087609447597E-3</v>
      </c>
      <c r="K31" s="12">
        <f t="shared" si="4"/>
        <v>-4068100</v>
      </c>
      <c r="L31" s="21">
        <f t="shared" si="5"/>
        <v>5.3930232558139536E-2</v>
      </c>
      <c r="M31" s="4"/>
      <c r="N31" s="29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</row>
    <row r="32" spans="1:66" s="3" customFormat="1" hidden="1" outlineLevel="1" x14ac:dyDescent="0.25">
      <c r="A32" s="28"/>
      <c r="B32" s="4" t="s">
        <v>25</v>
      </c>
      <c r="C32" s="11">
        <v>2294297</v>
      </c>
      <c r="D32" s="21">
        <f t="shared" si="6"/>
        <v>2.2252804692157093E-3</v>
      </c>
      <c r="E32" s="11">
        <v>6383520</v>
      </c>
      <c r="F32" s="21">
        <f t="shared" si="7"/>
        <v>3.3618414594661539E-3</v>
      </c>
      <c r="G32" s="11">
        <f t="shared" si="1"/>
        <v>-4089223</v>
      </c>
      <c r="H32" s="21">
        <f t="shared" si="8"/>
        <v>-0.64059061458255007</v>
      </c>
      <c r="I32" s="42">
        <v>6063000</v>
      </c>
      <c r="J32" s="21">
        <f t="shared" si="9"/>
        <v>2.3382153529321113E-3</v>
      </c>
      <c r="K32" s="12">
        <f t="shared" si="4"/>
        <v>-3768703</v>
      </c>
      <c r="L32" s="21">
        <f t="shared" si="5"/>
        <v>0.37840953323437243</v>
      </c>
      <c r="M32" s="4"/>
      <c r="N32" s="29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</row>
    <row r="33" spans="1:66" s="3" customFormat="1" hidden="1" outlineLevel="1" x14ac:dyDescent="0.25">
      <c r="A33" s="28"/>
      <c r="B33" s="4" t="s">
        <v>26</v>
      </c>
      <c r="C33" s="11">
        <v>232328268</v>
      </c>
      <c r="D33" s="21">
        <f t="shared" si="6"/>
        <v>0.22533942084530165</v>
      </c>
      <c r="E33" s="11">
        <v>39814884</v>
      </c>
      <c r="F33" s="21">
        <f t="shared" si="7"/>
        <v>2.0968263236433131E-2</v>
      </c>
      <c r="G33" s="11">
        <f t="shared" si="1"/>
        <v>192513384</v>
      </c>
      <c r="H33" s="21">
        <f t="shared" si="8"/>
        <v>4.8352114751860134</v>
      </c>
      <c r="I33" s="42">
        <v>82675000</v>
      </c>
      <c r="J33" s="21">
        <f t="shared" si="9"/>
        <v>3.1883878328164653E-2</v>
      </c>
      <c r="K33" s="12">
        <f t="shared" si="4"/>
        <v>149653268</v>
      </c>
      <c r="L33" s="21">
        <f t="shared" si="5"/>
        <v>2.8101393166011492</v>
      </c>
      <c r="M33" s="4"/>
      <c r="N33" s="29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</row>
    <row r="34" spans="1:66" s="3" customFormat="1" hidden="1" outlineLevel="1" x14ac:dyDescent="0.25">
      <c r="A34" s="28"/>
      <c r="B34" s="4" t="s">
        <v>27</v>
      </c>
      <c r="C34" s="11">
        <v>33155748</v>
      </c>
      <c r="D34" s="21">
        <f t="shared" si="6"/>
        <v>3.2158364181550082E-2</v>
      </c>
      <c r="E34" s="11">
        <v>31275570</v>
      </c>
      <c r="F34" s="21">
        <f t="shared" si="7"/>
        <v>1.6471086155355644E-2</v>
      </c>
      <c r="G34" s="11">
        <f t="shared" si="1"/>
        <v>1880178</v>
      </c>
      <c r="H34" s="21">
        <f t="shared" si="8"/>
        <v>6.0116506269909609E-2</v>
      </c>
      <c r="I34" s="91">
        <v>118000000</v>
      </c>
      <c r="J34" s="21">
        <f t="shared" si="9"/>
        <v>4.5507077625925964E-2</v>
      </c>
      <c r="K34" s="12">
        <f t="shared" si="4"/>
        <v>-84844252</v>
      </c>
      <c r="L34" s="21">
        <f t="shared" si="5"/>
        <v>0.2809809152542373</v>
      </c>
      <c r="M34" s="4"/>
      <c r="N34" s="29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</row>
    <row r="35" spans="1:66" s="3" customFormat="1" hidden="1" outlineLevel="1" x14ac:dyDescent="0.25">
      <c r="A35" s="28"/>
      <c r="B35" s="4" t="s">
        <v>28</v>
      </c>
      <c r="C35" s="11">
        <v>475200</v>
      </c>
      <c r="D35" s="21">
        <f t="shared" si="6"/>
        <v>4.6090513955747886E-4</v>
      </c>
      <c r="E35" s="11">
        <v>1230200</v>
      </c>
      <c r="F35" s="21">
        <f t="shared" si="7"/>
        <v>6.4787724694764998E-4</v>
      </c>
      <c r="G35" s="11">
        <f t="shared" si="1"/>
        <v>-755000</v>
      </c>
      <c r="H35" s="21">
        <f t="shared" si="8"/>
        <v>-0.61372134612258167</v>
      </c>
      <c r="I35" s="42">
        <v>1600000</v>
      </c>
      <c r="J35" s="21">
        <f t="shared" si="9"/>
        <v>6.1704512035153851E-4</v>
      </c>
      <c r="K35" s="12">
        <f t="shared" si="4"/>
        <v>-1124800</v>
      </c>
      <c r="L35" s="21">
        <f t="shared" si="5"/>
        <v>0.29699999999999999</v>
      </c>
      <c r="M35" s="4"/>
      <c r="N35" s="29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</row>
    <row r="36" spans="1:66" s="3" customFormat="1" hidden="1" outlineLevel="1" x14ac:dyDescent="0.25">
      <c r="A36" s="28"/>
      <c r="B36" s="4" t="s">
        <v>29</v>
      </c>
      <c r="C36" s="11">
        <v>1031647</v>
      </c>
      <c r="D36" s="21">
        <f t="shared" si="6"/>
        <v>1.0006132249769663E-3</v>
      </c>
      <c r="E36" s="11">
        <v>6970874</v>
      </c>
      <c r="F36" s="21">
        <f t="shared" si="7"/>
        <v>3.6711678230685685E-3</v>
      </c>
      <c r="G36" s="11">
        <f t="shared" si="1"/>
        <v>-5939227</v>
      </c>
      <c r="H36" s="21">
        <f t="shared" si="8"/>
        <v>-0.85200607556527341</v>
      </c>
      <c r="I36" s="42">
        <v>7000000</v>
      </c>
      <c r="J36" s="21">
        <f t="shared" si="9"/>
        <v>2.6995724015379812E-3</v>
      </c>
      <c r="K36" s="12">
        <f t="shared" si="4"/>
        <v>-5968353</v>
      </c>
      <c r="L36" s="21">
        <f t="shared" si="5"/>
        <v>0.14737814285714285</v>
      </c>
      <c r="M36" s="4"/>
      <c r="N36" s="29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</row>
    <row r="37" spans="1:66" s="3" customFormat="1" hidden="1" outlineLevel="1" x14ac:dyDescent="0.25">
      <c r="A37" s="28"/>
      <c r="B37" s="4" t="s">
        <v>30</v>
      </c>
      <c r="C37" s="11">
        <v>6490477</v>
      </c>
      <c r="D37" s="21">
        <f t="shared" si="6"/>
        <v>6.2952319180968157E-3</v>
      </c>
      <c r="E37" s="11">
        <v>24559231</v>
      </c>
      <c r="F37" s="21">
        <f t="shared" si="7"/>
        <v>1.2933967621062739E-2</v>
      </c>
      <c r="G37" s="11">
        <f t="shared" si="1"/>
        <v>-18068754</v>
      </c>
      <c r="H37" s="21">
        <f t="shared" si="8"/>
        <v>-0.73572148899939083</v>
      </c>
      <c r="I37" s="42">
        <v>24000000</v>
      </c>
      <c r="J37" s="21">
        <f t="shared" si="9"/>
        <v>9.2556768052730783E-3</v>
      </c>
      <c r="K37" s="12">
        <f t="shared" si="4"/>
        <v>-17509523</v>
      </c>
      <c r="L37" s="21">
        <f t="shared" si="5"/>
        <v>0.27043654166666664</v>
      </c>
      <c r="M37" s="4"/>
      <c r="N37" s="29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</row>
    <row r="38" spans="1:66" s="3" customFormat="1" hidden="1" outlineLevel="1" x14ac:dyDescent="0.25">
      <c r="A38" s="28"/>
      <c r="B38" s="4" t="s">
        <v>31</v>
      </c>
      <c r="C38" s="11">
        <v>763300</v>
      </c>
      <c r="D38" s="21">
        <f t="shared" si="6"/>
        <v>7.4033857959643009E-4</v>
      </c>
      <c r="E38" s="11">
        <v>937440</v>
      </c>
      <c r="F38" s="21">
        <f t="shared" si="7"/>
        <v>4.9369699754398064E-4</v>
      </c>
      <c r="G38" s="11">
        <f t="shared" si="1"/>
        <v>-174140</v>
      </c>
      <c r="H38" s="21">
        <f t="shared" si="8"/>
        <v>-0.18576122205154466</v>
      </c>
      <c r="I38" s="42">
        <v>1200000</v>
      </c>
      <c r="J38" s="21">
        <f t="shared" si="9"/>
        <v>4.6278384026365388E-4</v>
      </c>
      <c r="K38" s="12">
        <f t="shared" si="4"/>
        <v>-436700</v>
      </c>
      <c r="L38" s="21">
        <f t="shared" si="5"/>
        <v>0.63608333333333333</v>
      </c>
      <c r="M38" s="4"/>
      <c r="N38" s="29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</row>
    <row r="39" spans="1:66" s="3" customFormat="1" hidden="1" outlineLevel="1" x14ac:dyDescent="0.25">
      <c r="A39" s="28"/>
      <c r="B39" s="4" t="s">
        <v>32</v>
      </c>
      <c r="C39" s="11">
        <v>3596394</v>
      </c>
      <c r="D39" s="21">
        <f t="shared" si="6"/>
        <v>3.488208077596127E-3</v>
      </c>
      <c r="E39" s="11">
        <v>0</v>
      </c>
      <c r="F39" s="21">
        <f t="shared" si="7"/>
        <v>0</v>
      </c>
      <c r="G39" s="11">
        <f t="shared" si="1"/>
        <v>3596394</v>
      </c>
      <c r="H39" s="21">
        <f>IFERROR(E39/E39-1,0)</f>
        <v>0</v>
      </c>
      <c r="I39" s="42">
        <v>4800000</v>
      </c>
      <c r="J39" s="21">
        <f t="shared" si="9"/>
        <v>1.8511353610546155E-3</v>
      </c>
      <c r="K39" s="12">
        <f t="shared" si="4"/>
        <v>-1203606</v>
      </c>
      <c r="L39" s="21">
        <f t="shared" si="5"/>
        <v>0.74924875000000002</v>
      </c>
      <c r="M39" s="4"/>
      <c r="N39" s="29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</row>
    <row r="40" spans="1:66" s="3" customFormat="1" hidden="1" outlineLevel="1" x14ac:dyDescent="0.25">
      <c r="A40" s="28"/>
      <c r="B40" s="4" t="s">
        <v>33</v>
      </c>
      <c r="C40" s="11">
        <v>3384540</v>
      </c>
      <c r="D40" s="21">
        <f t="shared" si="6"/>
        <v>3.2827270223860891E-3</v>
      </c>
      <c r="E40" s="11">
        <f>1094769+2904128</f>
        <v>3998897</v>
      </c>
      <c r="F40" s="21">
        <f t="shared" si="7"/>
        <v>2.1059944555252941E-3</v>
      </c>
      <c r="G40" s="11">
        <f t="shared" si="1"/>
        <v>-614357</v>
      </c>
      <c r="H40" s="21">
        <f t="shared" si="8"/>
        <v>-0.15363161391753777</v>
      </c>
      <c r="I40" s="42">
        <v>5000000</v>
      </c>
      <c r="J40" s="21">
        <f t="shared" si="9"/>
        <v>1.9282660010985578E-3</v>
      </c>
      <c r="K40" s="12">
        <f t="shared" si="4"/>
        <v>-1615460</v>
      </c>
      <c r="L40" s="21">
        <f t="shared" si="5"/>
        <v>0.67690799999999995</v>
      </c>
      <c r="M40" s="4"/>
      <c r="N40" s="29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</row>
    <row r="41" spans="1:66" s="3" customFormat="1" hidden="1" outlineLevel="1" x14ac:dyDescent="0.25">
      <c r="A41" s="28"/>
      <c r="B41" s="4" t="s">
        <v>34</v>
      </c>
      <c r="C41" s="11">
        <v>2856204</v>
      </c>
      <c r="D41" s="21">
        <f t="shared" si="6"/>
        <v>2.7702843081326375E-3</v>
      </c>
      <c r="E41" s="11">
        <f>350000+35000+29295452</f>
        <v>29680452</v>
      </c>
      <c r="F41" s="21">
        <f t="shared" si="7"/>
        <v>1.5631027093092078E-2</v>
      </c>
      <c r="G41" s="11">
        <f t="shared" si="1"/>
        <v>-26824248</v>
      </c>
      <c r="H41" s="21">
        <f t="shared" si="8"/>
        <v>-0.90376817711536195</v>
      </c>
      <c r="I41" s="43">
        <v>31000000</v>
      </c>
      <c r="J41" s="21">
        <f t="shared" si="9"/>
        <v>1.1955249206811059E-2</v>
      </c>
      <c r="K41" s="12">
        <f t="shared" si="4"/>
        <v>-28143796</v>
      </c>
      <c r="L41" s="21">
        <f t="shared" si="5"/>
        <v>9.2135612903225805E-2</v>
      </c>
      <c r="M41" s="4"/>
      <c r="N41" s="29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</row>
    <row r="42" spans="1:66" s="3" customFormat="1" hidden="1" outlineLevel="1" x14ac:dyDescent="0.25">
      <c r="A42" s="28"/>
      <c r="B42" s="4" t="s">
        <v>35</v>
      </c>
      <c r="C42" s="11">
        <v>2240000</v>
      </c>
      <c r="D42" s="21">
        <f t="shared" si="6"/>
        <v>2.1726168194628631E-3</v>
      </c>
      <c r="E42" s="11">
        <f>3648430+4606000</f>
        <v>8254430</v>
      </c>
      <c r="F42" s="21">
        <f t="shared" si="7"/>
        <v>4.3471446785255169E-3</v>
      </c>
      <c r="G42" s="11">
        <f t="shared" si="1"/>
        <v>-6014430</v>
      </c>
      <c r="H42" s="21">
        <f t="shared" si="8"/>
        <v>-0.72863056564777939</v>
      </c>
      <c r="I42" s="42">
        <v>5000000</v>
      </c>
      <c r="J42" s="21">
        <f t="shared" si="9"/>
        <v>1.9282660010985578E-3</v>
      </c>
      <c r="K42" s="12">
        <f t="shared" si="4"/>
        <v>-2760000</v>
      </c>
      <c r="L42" s="21">
        <f t="shared" si="5"/>
        <v>0.44800000000000001</v>
      </c>
      <c r="M42" s="4"/>
      <c r="N42" s="29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</row>
    <row r="43" spans="1:66" s="3" customFormat="1" hidden="1" outlineLevel="1" x14ac:dyDescent="0.25">
      <c r="A43" s="28"/>
      <c r="B43" s="4" t="s">
        <v>36</v>
      </c>
      <c r="C43" s="11">
        <v>11839330</v>
      </c>
      <c r="D43" s="21">
        <f t="shared" si="6"/>
        <v>1.1483181914808599E-2</v>
      </c>
      <c r="E43" s="11">
        <v>12930128</v>
      </c>
      <c r="F43" s="21">
        <f t="shared" si="7"/>
        <v>6.8095722088446792E-3</v>
      </c>
      <c r="G43" s="11">
        <f t="shared" si="1"/>
        <v>-1090798</v>
      </c>
      <c r="H43" s="21">
        <f t="shared" si="8"/>
        <v>-8.4360959149050951E-2</v>
      </c>
      <c r="I43" s="42">
        <v>20000000</v>
      </c>
      <c r="J43" s="21">
        <f t="shared" si="9"/>
        <v>7.713064004394231E-3</v>
      </c>
      <c r="K43" s="12">
        <f t="shared" si="4"/>
        <v>-8160670</v>
      </c>
      <c r="L43" s="21">
        <f t="shared" si="5"/>
        <v>0.59196649999999995</v>
      </c>
      <c r="M43" s="4"/>
      <c r="N43" s="29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</row>
    <row r="44" spans="1:66" s="3" customFormat="1" hidden="1" outlineLevel="1" x14ac:dyDescent="0.25">
      <c r="A44" s="28"/>
      <c r="B44" s="4" t="s">
        <v>37</v>
      </c>
      <c r="C44" s="11">
        <v>230043688</v>
      </c>
      <c r="D44" s="21">
        <f t="shared" si="6"/>
        <v>0.22312356507145858</v>
      </c>
      <c r="E44" s="11">
        <v>380134792</v>
      </c>
      <c r="F44" s="21">
        <f t="shared" si="7"/>
        <v>0.20019564502518092</v>
      </c>
      <c r="G44" s="11">
        <f t="shared" si="1"/>
        <v>-150091104</v>
      </c>
      <c r="H44" s="21">
        <f t="shared" si="8"/>
        <v>-0.3948365347205578</v>
      </c>
      <c r="I44" s="42">
        <v>284000000</v>
      </c>
      <c r="J44" s="21">
        <f t="shared" si="9"/>
        <v>0.10952550886239809</v>
      </c>
      <c r="K44" s="12">
        <f t="shared" si="4"/>
        <v>-53956312</v>
      </c>
      <c r="L44" s="21">
        <f t="shared" si="5"/>
        <v>0.81001298591549298</v>
      </c>
      <c r="M44" s="4"/>
      <c r="N44" s="29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</row>
    <row r="45" spans="1:66" s="3" customFormat="1" hidden="1" outlineLevel="1" x14ac:dyDescent="0.25">
      <c r="A45" s="28"/>
      <c r="B45" s="4" t="s">
        <v>12</v>
      </c>
      <c r="C45" s="11">
        <v>9068956</v>
      </c>
      <c r="D45" s="21">
        <f t="shared" si="6"/>
        <v>8.7961456877538625E-3</v>
      </c>
      <c r="E45" s="11">
        <f>2724669+9906824+345696</f>
        <v>12977189</v>
      </c>
      <c r="F45" s="21">
        <f t="shared" si="7"/>
        <v>6.8343565944068664E-3</v>
      </c>
      <c r="G45" s="11">
        <f t="shared" si="1"/>
        <v>-3908233</v>
      </c>
      <c r="H45" s="21">
        <f t="shared" si="8"/>
        <v>-0.30116175390525635</v>
      </c>
      <c r="I45" s="91"/>
      <c r="J45" s="21">
        <f t="shared" si="9"/>
        <v>0</v>
      </c>
      <c r="K45" s="12">
        <f t="shared" si="4"/>
        <v>9068956</v>
      </c>
      <c r="L45" s="21">
        <f t="shared" si="5"/>
        <v>0</v>
      </c>
      <c r="M45" s="4"/>
      <c r="N45" s="29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</row>
    <row r="46" spans="1:66" s="3" customFormat="1" hidden="1" outlineLevel="1" x14ac:dyDescent="0.25">
      <c r="A46" s="28"/>
      <c r="B46" s="4" t="s">
        <v>48</v>
      </c>
      <c r="C46" s="11">
        <v>0</v>
      </c>
      <c r="D46" s="21">
        <f t="shared" si="6"/>
        <v>0</v>
      </c>
      <c r="E46" s="11">
        <v>6443850</v>
      </c>
      <c r="F46" s="21">
        <f t="shared" si="7"/>
        <v>3.3936138820871522E-3</v>
      </c>
      <c r="G46" s="11">
        <f t="shared" si="1"/>
        <v>-6443850</v>
      </c>
      <c r="H46" s="21">
        <f t="shared" si="8"/>
        <v>-1</v>
      </c>
      <c r="I46" s="42">
        <v>0</v>
      </c>
      <c r="J46" s="21">
        <f t="shared" si="9"/>
        <v>0</v>
      </c>
      <c r="K46" s="12">
        <f t="shared" si="4"/>
        <v>0</v>
      </c>
      <c r="L46" s="21">
        <f t="shared" si="5"/>
        <v>0</v>
      </c>
      <c r="M46" s="4"/>
      <c r="N46" s="29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</row>
    <row r="47" spans="1:66" s="3" customFormat="1" hidden="1" outlineLevel="1" x14ac:dyDescent="0.25">
      <c r="A47" s="28"/>
      <c r="B47" s="4"/>
      <c r="C47" s="11"/>
      <c r="D47" s="21"/>
      <c r="E47" s="11"/>
      <c r="F47" s="21"/>
      <c r="G47" s="11"/>
      <c r="H47" s="21"/>
      <c r="I47" s="42"/>
      <c r="J47" s="21"/>
      <c r="K47" s="12"/>
      <c r="L47" s="21"/>
      <c r="M47" s="4"/>
      <c r="N47" s="29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</row>
    <row r="48" spans="1:66" s="3" customFormat="1" hidden="1" outlineLevel="1" x14ac:dyDescent="0.25">
      <c r="A48" s="28"/>
      <c r="B48" s="8" t="s">
        <v>38</v>
      </c>
      <c r="C48" s="11"/>
      <c r="D48" s="21"/>
      <c r="E48" s="11"/>
      <c r="F48" s="21"/>
      <c r="G48" s="11"/>
      <c r="H48" s="21"/>
      <c r="I48" s="42"/>
      <c r="J48" s="21"/>
      <c r="K48" s="12">
        <f t="shared" si="4"/>
        <v>0</v>
      </c>
      <c r="L48" s="21">
        <f t="shared" si="5"/>
        <v>0</v>
      </c>
      <c r="M48" s="4"/>
      <c r="N48" s="29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</row>
    <row r="49" spans="1:66" s="3" customFormat="1" hidden="1" outlineLevel="1" x14ac:dyDescent="0.25">
      <c r="A49" s="28"/>
      <c r="B49" s="4" t="s">
        <v>39</v>
      </c>
      <c r="C49" s="11">
        <v>10194634</v>
      </c>
      <c r="D49" s="21">
        <f>C49/C$19</f>
        <v>9.8879612931553427E-3</v>
      </c>
      <c r="E49" s="11">
        <v>38831202</v>
      </c>
      <c r="F49" s="21">
        <f>E49/E$19</f>
        <v>2.0450213174628581E-2</v>
      </c>
      <c r="G49" s="11">
        <f t="shared" si="1"/>
        <v>-28636568</v>
      </c>
      <c r="H49" s="21">
        <f t="shared" si="8"/>
        <v>-0.73746282692974585</v>
      </c>
      <c r="I49" s="42">
        <v>30000000</v>
      </c>
      <c r="J49" s="21">
        <f>I49/I$19</f>
        <v>1.1569596006591347E-2</v>
      </c>
      <c r="K49" s="12">
        <f t="shared" si="4"/>
        <v>-19805366</v>
      </c>
      <c r="L49" s="21">
        <f t="shared" si="5"/>
        <v>0.33982113333333336</v>
      </c>
      <c r="M49" s="4"/>
      <c r="N49" s="29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</row>
    <row r="50" spans="1:66" s="3" customFormat="1" hidden="1" outlineLevel="1" x14ac:dyDescent="0.25">
      <c r="A50" s="28"/>
      <c r="B50" s="4" t="s">
        <v>23</v>
      </c>
      <c r="C50" s="11">
        <v>756600</v>
      </c>
      <c r="D50" s="21">
        <f>C50/C$19</f>
        <v>7.33840127502501E-4</v>
      </c>
      <c r="E50" s="11">
        <v>623000</v>
      </c>
      <c r="F50" s="21">
        <f>E50/E$19</f>
        <v>3.2809910977758572E-4</v>
      </c>
      <c r="G50" s="11">
        <f t="shared" si="1"/>
        <v>133600</v>
      </c>
      <c r="H50" s="21">
        <f t="shared" si="8"/>
        <v>0.21444622792937396</v>
      </c>
      <c r="I50" s="42">
        <v>2000000</v>
      </c>
      <c r="J50" s="21">
        <f>I50/I$19</f>
        <v>7.7130640043942308E-4</v>
      </c>
      <c r="K50" s="12">
        <f t="shared" si="4"/>
        <v>-1243400</v>
      </c>
      <c r="L50" s="21">
        <f t="shared" si="5"/>
        <v>0.37830000000000003</v>
      </c>
      <c r="M50" s="4"/>
      <c r="N50" s="29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</row>
    <row r="51" spans="1:66" s="3" customFormat="1" hidden="1" outlineLevel="1" x14ac:dyDescent="0.25">
      <c r="A51" s="28"/>
      <c r="B51" s="4" t="s">
        <v>40</v>
      </c>
      <c r="C51" s="11">
        <v>14766137</v>
      </c>
      <c r="D51" s="21">
        <f>C51/C$19</f>
        <v>1.4321945359237904E-2</v>
      </c>
      <c r="E51" s="11">
        <f>8985600+18306168</f>
        <v>27291768</v>
      </c>
      <c r="F51" s="21">
        <f>E51/E$19</f>
        <v>1.4373041388533549E-2</v>
      </c>
      <c r="G51" s="11">
        <f t="shared" si="1"/>
        <v>-12525631</v>
      </c>
      <c r="H51" s="21">
        <f t="shared" si="8"/>
        <v>-0.45895271423969308</v>
      </c>
      <c r="I51" s="42">
        <v>27000000</v>
      </c>
      <c r="J51" s="21">
        <f>I51/I$19</f>
        <v>1.0412636405932213E-2</v>
      </c>
      <c r="K51" s="12">
        <f t="shared" si="4"/>
        <v>-12233863</v>
      </c>
      <c r="L51" s="21">
        <f t="shared" si="5"/>
        <v>0.546893962962963</v>
      </c>
      <c r="M51" s="4"/>
      <c r="N51" s="29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</row>
    <row r="52" spans="1:66" s="3" customFormat="1" hidden="1" outlineLevel="1" x14ac:dyDescent="0.25">
      <c r="A52" s="28"/>
      <c r="B52" s="4" t="s">
        <v>37</v>
      </c>
      <c r="C52" s="11">
        <v>0</v>
      </c>
      <c r="D52" s="21">
        <f>C52/C$19</f>
        <v>0</v>
      </c>
      <c r="E52" s="11">
        <v>4873522</v>
      </c>
      <c r="F52" s="21">
        <f>E52/E$19</f>
        <v>2.5666103205160178E-3</v>
      </c>
      <c r="G52" s="11">
        <f t="shared" si="1"/>
        <v>-4873522</v>
      </c>
      <c r="H52" s="21">
        <f t="shared" si="8"/>
        <v>-1</v>
      </c>
      <c r="I52" s="42">
        <v>9000000</v>
      </c>
      <c r="J52" s="21">
        <f>I52/I$19</f>
        <v>3.4708788019774039E-3</v>
      </c>
      <c r="K52" s="12">
        <f t="shared" si="4"/>
        <v>-9000000</v>
      </c>
      <c r="L52" s="21">
        <f t="shared" si="5"/>
        <v>0</v>
      </c>
      <c r="M52" s="4"/>
      <c r="N52" s="29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</row>
    <row r="53" spans="1:66" s="3" customFormat="1" hidden="1" outlineLevel="1" x14ac:dyDescent="0.25">
      <c r="A53" s="28"/>
      <c r="B53" s="4"/>
      <c r="C53" s="11"/>
      <c r="D53" s="21"/>
      <c r="E53" s="11"/>
      <c r="F53" s="21"/>
      <c r="G53" s="11"/>
      <c r="H53" s="21"/>
      <c r="I53" s="42"/>
      <c r="J53" s="21"/>
      <c r="K53" s="12"/>
      <c r="L53" s="21"/>
      <c r="M53" s="4"/>
      <c r="N53" s="29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/>
    </row>
    <row r="54" spans="1:66" s="3" customFormat="1" hidden="1" outlineLevel="1" x14ac:dyDescent="0.25">
      <c r="A54" s="28"/>
      <c r="B54" s="8" t="s">
        <v>41</v>
      </c>
      <c r="C54" s="11"/>
      <c r="D54" s="21"/>
      <c r="E54" s="11"/>
      <c r="F54" s="21"/>
      <c r="G54" s="11"/>
      <c r="H54" s="21"/>
      <c r="I54" s="42"/>
      <c r="J54" s="21"/>
      <c r="K54" s="12">
        <f t="shared" si="4"/>
        <v>0</v>
      </c>
      <c r="L54" s="21">
        <f t="shared" si="5"/>
        <v>0</v>
      </c>
      <c r="M54" s="4"/>
      <c r="N54" s="29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</row>
    <row r="55" spans="1:66" s="3" customFormat="1" hidden="1" outlineLevel="1" x14ac:dyDescent="0.25">
      <c r="A55" s="28"/>
      <c r="B55" s="4" t="s">
        <v>42</v>
      </c>
      <c r="C55" s="11">
        <v>6365332.7999999998</v>
      </c>
      <c r="D55" s="21">
        <f t="shared" ref="D55:D60" si="10">C55/C$19</f>
        <v>6.1738522780172504E-3</v>
      </c>
      <c r="E55" s="11">
        <v>12893939.4</v>
      </c>
      <c r="F55" s="21">
        <f t="shared" ref="F55:F60" si="11">E55/E$19</f>
        <v>6.7905137057241377E-3</v>
      </c>
      <c r="G55" s="11">
        <f t="shared" si="1"/>
        <v>-6528606.6000000006</v>
      </c>
      <c r="H55" s="21">
        <f t="shared" si="8"/>
        <v>-0.50633141644825796</v>
      </c>
      <c r="I55" s="42">
        <v>14000000</v>
      </c>
      <c r="J55" s="21">
        <f t="shared" ref="J55:J60" si="12">I55/I$19</f>
        <v>5.3991448030759623E-3</v>
      </c>
      <c r="K55" s="12">
        <f t="shared" si="4"/>
        <v>-7634667.2000000002</v>
      </c>
      <c r="L55" s="21">
        <f t="shared" si="5"/>
        <v>0.45466662857142853</v>
      </c>
      <c r="M55" s="4"/>
      <c r="N55" s="29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</row>
    <row r="56" spans="1:66" s="3" customFormat="1" hidden="1" outlineLevel="1" x14ac:dyDescent="0.25">
      <c r="A56" s="28"/>
      <c r="B56" s="4" t="s">
        <v>43</v>
      </c>
      <c r="C56" s="11">
        <v>8360271</v>
      </c>
      <c r="D56" s="21">
        <f t="shared" si="10"/>
        <v>8.1087791919051827E-3</v>
      </c>
      <c r="E56" s="11">
        <v>70808332</v>
      </c>
      <c r="F56" s="21">
        <f t="shared" si="11"/>
        <v>3.7290771579511613E-2</v>
      </c>
      <c r="G56" s="11">
        <f t="shared" si="1"/>
        <v>-62448061</v>
      </c>
      <c r="H56" s="21">
        <f t="shared" si="8"/>
        <v>-0.88193097106142815</v>
      </c>
      <c r="I56" s="42">
        <v>56652000</v>
      </c>
      <c r="J56" s="21">
        <f t="shared" si="12"/>
        <v>2.1848025098847101E-2</v>
      </c>
      <c r="K56" s="12">
        <f t="shared" si="4"/>
        <v>-48291729</v>
      </c>
      <c r="L56" s="21">
        <f t="shared" si="5"/>
        <v>0.1475723893242957</v>
      </c>
      <c r="M56" s="4"/>
      <c r="N56" s="29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</row>
    <row r="57" spans="1:66" s="3" customFormat="1" hidden="1" outlineLevel="1" x14ac:dyDescent="0.25">
      <c r="A57" s="28"/>
      <c r="B57" s="4" t="s">
        <v>67</v>
      </c>
      <c r="C57" s="11">
        <v>141499562</v>
      </c>
      <c r="D57" s="21">
        <f t="shared" si="10"/>
        <v>0.13724300372670903</v>
      </c>
      <c r="E57" s="11">
        <v>887556079</v>
      </c>
      <c r="F57" s="21">
        <f t="shared" si="11"/>
        <v>0.46742593803785643</v>
      </c>
      <c r="G57" s="11">
        <f t="shared" si="1"/>
        <v>-746056517</v>
      </c>
      <c r="H57" s="21">
        <f t="shared" si="8"/>
        <v>-0.84057394755334669</v>
      </c>
      <c r="I57" s="42">
        <v>822356000</v>
      </c>
      <c r="J57" s="21">
        <f t="shared" si="12"/>
        <v>0.31714422311988111</v>
      </c>
      <c r="K57" s="12">
        <f t="shared" si="4"/>
        <v>-680856438</v>
      </c>
      <c r="L57" s="21">
        <f t="shared" si="5"/>
        <v>0.17206606627786505</v>
      </c>
      <c r="M57" s="4"/>
      <c r="N57" s="29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</row>
    <row r="58" spans="1:66" s="3" customFormat="1" hidden="1" outlineLevel="1" x14ac:dyDescent="0.25">
      <c r="A58" s="28"/>
      <c r="B58" s="4" t="s">
        <v>49</v>
      </c>
      <c r="C58" s="11">
        <v>0</v>
      </c>
      <c r="D58" s="21">
        <f t="shared" si="10"/>
        <v>0</v>
      </c>
      <c r="E58" s="11">
        <v>20000000</v>
      </c>
      <c r="F58" s="21">
        <f t="shared" si="11"/>
        <v>1.0532876718381564E-2</v>
      </c>
      <c r="G58" s="11">
        <f t="shared" si="1"/>
        <v>-20000000</v>
      </c>
      <c r="H58" s="21">
        <f t="shared" si="8"/>
        <v>-1</v>
      </c>
      <c r="I58" s="42">
        <v>0</v>
      </c>
      <c r="J58" s="21">
        <f t="shared" si="12"/>
        <v>0</v>
      </c>
      <c r="K58" s="12">
        <f t="shared" si="4"/>
        <v>0</v>
      </c>
      <c r="L58" s="21">
        <f t="shared" si="5"/>
        <v>0</v>
      </c>
      <c r="M58" s="4"/>
      <c r="N58" s="29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</row>
    <row r="59" spans="1:66" s="3" customFormat="1" hidden="1" outlineLevel="1" x14ac:dyDescent="0.25">
      <c r="A59" s="28"/>
      <c r="B59" s="4" t="s">
        <v>44</v>
      </c>
      <c r="C59" s="11">
        <v>12011002</v>
      </c>
      <c r="D59" s="21">
        <f t="shared" si="10"/>
        <v>1.1649689715983076E-2</v>
      </c>
      <c r="E59" s="11">
        <f>8022434+29000+3082800+172878+30000+2414076.4</f>
        <v>13751188.4</v>
      </c>
      <c r="F59" s="21">
        <f t="shared" si="11"/>
        <v>7.2419786074219318E-3</v>
      </c>
      <c r="G59" s="11">
        <f t="shared" si="1"/>
        <v>-1740186.4000000004</v>
      </c>
      <c r="H59" s="21">
        <f t="shared" si="8"/>
        <v>-0.12654807347414432</v>
      </c>
      <c r="I59" s="91"/>
      <c r="J59" s="21">
        <f t="shared" si="12"/>
        <v>0</v>
      </c>
      <c r="K59" s="12">
        <f t="shared" si="4"/>
        <v>12011002</v>
      </c>
      <c r="L59" s="21">
        <f t="shared" si="5"/>
        <v>0</v>
      </c>
      <c r="M59" s="4"/>
      <c r="N59" s="29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/>
    </row>
    <row r="60" spans="1:66" s="3" customFormat="1" hidden="1" outlineLevel="1" x14ac:dyDescent="0.25">
      <c r="A60" s="28"/>
      <c r="B60" s="17" t="s">
        <v>45</v>
      </c>
      <c r="C60" s="18">
        <f>SUM(C23:C59)</f>
        <v>1408531237.8</v>
      </c>
      <c r="D60" s="22">
        <f t="shared" si="10"/>
        <v>1.3661601151710383</v>
      </c>
      <c r="E60" s="18">
        <f>SUM(E23:E59)</f>
        <v>2528037699.8000002</v>
      </c>
      <c r="F60" s="22">
        <f t="shared" si="11"/>
        <v>1.3313754715707151</v>
      </c>
      <c r="G60" s="18">
        <f t="shared" si="1"/>
        <v>-1119506462.0000002</v>
      </c>
      <c r="H60" s="22">
        <f t="shared" si="8"/>
        <v>-0.44283614207516264</v>
      </c>
      <c r="I60" s="19">
        <f>SUM(I23:I59)</f>
        <v>2873124411</v>
      </c>
      <c r="J60" s="22">
        <f t="shared" si="12"/>
        <v>1.1080296237315239</v>
      </c>
      <c r="K60" s="19">
        <f t="shared" si="4"/>
        <v>-1464593173.2</v>
      </c>
      <c r="L60" s="22">
        <f t="shared" si="5"/>
        <v>0.49024373340998351</v>
      </c>
      <c r="M60" s="4"/>
      <c r="N60" s="29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/>
    </row>
    <row r="61" spans="1:66" s="3" customFormat="1" hidden="1" outlineLevel="1" x14ac:dyDescent="0.25">
      <c r="A61" s="28"/>
      <c r="B61" s="8"/>
      <c r="C61" s="13"/>
      <c r="D61" s="23"/>
      <c r="E61" s="13"/>
      <c r="F61" s="23"/>
      <c r="G61" s="13"/>
      <c r="H61" s="23"/>
      <c r="I61" s="14"/>
      <c r="J61" s="23"/>
      <c r="K61" s="14"/>
      <c r="L61" s="23"/>
      <c r="M61" s="4"/>
      <c r="N61" s="29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</row>
    <row r="62" spans="1:66" s="3" customFormat="1" hidden="1" outlineLevel="1" x14ac:dyDescent="0.25">
      <c r="A62" s="28"/>
      <c r="B62" s="17" t="s">
        <v>46</v>
      </c>
      <c r="C62" s="18">
        <f>+C19-C60</f>
        <v>-377516481.79999995</v>
      </c>
      <c r="D62" s="22">
        <f>C62/C$19</f>
        <v>-0.3661601151710383</v>
      </c>
      <c r="E62" s="18">
        <f>E19-E60</f>
        <v>-629221209.80000019</v>
      </c>
      <c r="F62" s="22">
        <f>E62/E$19</f>
        <v>-0.33137547157071517</v>
      </c>
      <c r="G62" s="18">
        <f t="shared" si="1"/>
        <v>251704728.00000024</v>
      </c>
      <c r="H62" s="22">
        <f t="shared" si="8"/>
        <v>-0.40002581616726707</v>
      </c>
      <c r="I62" s="19">
        <f>I19-I60</f>
        <v>-280121165</v>
      </c>
      <c r="J62" s="22">
        <f>I62/I$19</f>
        <v>-0.10802962373152386</v>
      </c>
      <c r="K62" s="19">
        <f t="shared" si="4"/>
        <v>-97395316.799999952</v>
      </c>
      <c r="L62" s="22">
        <f t="shared" si="5"/>
        <v>1.3476899605211907</v>
      </c>
      <c r="M62" s="4"/>
      <c r="N62" s="29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</row>
    <row r="63" spans="1:66" s="3" customFormat="1" hidden="1" outlineLevel="1" x14ac:dyDescent="0.25">
      <c r="A63" s="28"/>
      <c r="B63" s="8"/>
      <c r="C63" s="11"/>
      <c r="D63" s="21"/>
      <c r="E63" s="11"/>
      <c r="F63" s="21"/>
      <c r="G63" s="11"/>
      <c r="H63" s="21"/>
      <c r="I63" s="12"/>
      <c r="J63" s="21"/>
      <c r="K63" s="12"/>
      <c r="L63" s="21"/>
      <c r="M63" s="4"/>
      <c r="N63" s="29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  <c r="BG63" s="35"/>
      <c r="BH63" s="35"/>
      <c r="BI63" s="35"/>
      <c r="BJ63" s="35"/>
      <c r="BK63" s="35"/>
      <c r="BL63" s="35"/>
      <c r="BM63" s="35"/>
      <c r="BN63" s="35"/>
    </row>
    <row r="64" spans="1:66" s="3" customFormat="1" hidden="1" outlineLevel="1" x14ac:dyDescent="0.25">
      <c r="A64" s="28"/>
      <c r="B64" s="17" t="s">
        <v>47</v>
      </c>
      <c r="C64" s="18">
        <v>17082000</v>
      </c>
      <c r="D64" s="22">
        <f>C64/C$19</f>
        <v>1.656814308485028E-2</v>
      </c>
      <c r="E64" s="18">
        <v>44877000</v>
      </c>
      <c r="F64" s="22">
        <f>E64/E$19</f>
        <v>2.3634195424540472E-2</v>
      </c>
      <c r="G64" s="18">
        <f t="shared" si="1"/>
        <v>-27795000</v>
      </c>
      <c r="H64" s="22">
        <f t="shared" si="8"/>
        <v>-0.61935958285981685</v>
      </c>
      <c r="I64" s="19">
        <v>44877000</v>
      </c>
      <c r="J64" s="22">
        <f>I64/I$19</f>
        <v>1.7306958666259996E-2</v>
      </c>
      <c r="K64" s="19">
        <f t="shared" si="4"/>
        <v>-27795000</v>
      </c>
      <c r="L64" s="22">
        <f t="shared" si="5"/>
        <v>0.38064041714018315</v>
      </c>
      <c r="M64" s="4"/>
      <c r="N64" s="29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  <c r="BI64" s="35"/>
      <c r="BJ64" s="35"/>
      <c r="BK64" s="35"/>
      <c r="BL64" s="35"/>
      <c r="BM64" s="35"/>
      <c r="BN64" s="35"/>
    </row>
    <row r="65" spans="1:66" s="3" customFormat="1" hidden="1" outlineLevel="1" x14ac:dyDescent="0.25">
      <c r="A65" s="28"/>
      <c r="B65" s="8"/>
      <c r="C65" s="11"/>
      <c r="D65" s="21"/>
      <c r="E65" s="11"/>
      <c r="F65" s="21"/>
      <c r="G65" s="11"/>
      <c r="H65" s="21"/>
      <c r="I65" s="12"/>
      <c r="J65" s="21"/>
      <c r="K65" s="12"/>
      <c r="L65" s="21"/>
      <c r="M65" s="4"/>
      <c r="N65" s="29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  <c r="BG65" s="35"/>
      <c r="BH65" s="35"/>
      <c r="BI65" s="35"/>
      <c r="BJ65" s="35"/>
      <c r="BK65" s="35"/>
      <c r="BL65" s="35"/>
      <c r="BM65" s="35"/>
      <c r="BN65" s="35"/>
    </row>
    <row r="66" spans="1:66" s="3" customFormat="1" hidden="1" outlineLevel="1" x14ac:dyDescent="0.25">
      <c r="A66" s="28"/>
      <c r="B66" s="17" t="s">
        <v>56</v>
      </c>
      <c r="C66" s="18">
        <f>+C62-C64</f>
        <v>-394598481.79999995</v>
      </c>
      <c r="D66" s="22">
        <f>C66/C$19</f>
        <v>-0.38272825825588858</v>
      </c>
      <c r="E66" s="18">
        <f>+E62-E64</f>
        <v>-674098209.80000019</v>
      </c>
      <c r="F66" s="22">
        <f>E66/E$19</f>
        <v>-0.35500966699525566</v>
      </c>
      <c r="G66" s="18">
        <f t="shared" si="1"/>
        <v>279499728.00000024</v>
      </c>
      <c r="H66" s="22">
        <f t="shared" si="8"/>
        <v>-0.41462760757505301</v>
      </c>
      <c r="I66" s="19">
        <f>+I62-I64</f>
        <v>-324998165</v>
      </c>
      <c r="J66" s="22">
        <f>I66/I$19</f>
        <v>-0.12533658239778386</v>
      </c>
      <c r="K66" s="19">
        <f>+C66-I66</f>
        <v>-69600316.799999952</v>
      </c>
      <c r="L66" s="22">
        <f t="shared" si="5"/>
        <v>1.2141560300809697</v>
      </c>
      <c r="M66" s="8"/>
      <c r="N66" s="29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35"/>
      <c r="BJ66" s="35"/>
      <c r="BK66" s="35"/>
      <c r="BL66" s="35"/>
      <c r="BM66" s="35"/>
      <c r="BN66" s="35"/>
    </row>
    <row r="67" spans="1:66" s="3" customFormat="1" hidden="1" outlineLevel="1" x14ac:dyDescent="0.25">
      <c r="A67" s="28"/>
      <c r="B67" s="4"/>
      <c r="C67" s="4"/>
      <c r="D67" s="20"/>
      <c r="E67" s="4"/>
      <c r="F67" s="20"/>
      <c r="G67" s="4"/>
      <c r="H67" s="20"/>
      <c r="I67" s="9"/>
      <c r="J67" s="20"/>
      <c r="K67" s="4"/>
      <c r="L67" s="20"/>
      <c r="M67" s="4"/>
      <c r="N67" s="29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  <c r="BJ67" s="35"/>
      <c r="BK67" s="35"/>
      <c r="BL67" s="35"/>
      <c r="BM67" s="35"/>
      <c r="BN67" s="35"/>
    </row>
    <row r="68" spans="1:66" s="3" customFormat="1" hidden="1" outlineLevel="1" x14ac:dyDescent="0.25">
      <c r="A68" s="28"/>
      <c r="B68" s="4"/>
      <c r="C68" s="4"/>
      <c r="D68" s="20"/>
      <c r="E68" s="4"/>
      <c r="F68" s="20"/>
      <c r="G68" s="4"/>
      <c r="H68" s="20"/>
      <c r="I68" s="7"/>
      <c r="J68" s="20"/>
      <c r="K68" s="4"/>
      <c r="L68" s="20"/>
      <c r="M68" s="4"/>
      <c r="N68" s="29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  <c r="BJ68" s="35"/>
      <c r="BK68" s="35"/>
      <c r="BL68" s="35"/>
      <c r="BM68" s="35"/>
      <c r="BN68" s="35"/>
    </row>
    <row r="69" spans="1:66" s="3" customFormat="1" hidden="1" outlineLevel="1" x14ac:dyDescent="0.25">
      <c r="A69" s="28"/>
      <c r="B69" s="4"/>
      <c r="C69" s="4"/>
      <c r="D69" s="20"/>
      <c r="E69" s="4"/>
      <c r="F69" s="20"/>
      <c r="G69" s="4"/>
      <c r="H69" s="20"/>
      <c r="I69" s="7"/>
      <c r="J69" s="20"/>
      <c r="K69" s="4"/>
      <c r="L69" s="20"/>
      <c r="M69" s="4"/>
      <c r="N69" s="29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  <c r="BJ69" s="35"/>
      <c r="BK69" s="35"/>
      <c r="BL69" s="35"/>
      <c r="BM69" s="35"/>
      <c r="BN69" s="35"/>
    </row>
    <row r="70" spans="1:66" s="3" customFormat="1" ht="13.5" collapsed="1" thickBot="1" x14ac:dyDescent="0.3">
      <c r="A70" s="30"/>
      <c r="B70" s="31"/>
      <c r="C70" s="31"/>
      <c r="D70" s="32"/>
      <c r="E70" s="31"/>
      <c r="F70" s="32"/>
      <c r="G70" s="31"/>
      <c r="H70" s="32"/>
      <c r="I70" s="33"/>
      <c r="J70" s="32"/>
      <c r="K70" s="31"/>
      <c r="L70" s="32"/>
      <c r="M70" s="31"/>
      <c r="N70" s="34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35"/>
      <c r="BJ70" s="35"/>
      <c r="BK70" s="35"/>
      <c r="BL70" s="35"/>
      <c r="BM70" s="35"/>
      <c r="BN70" s="35"/>
    </row>
    <row r="72" spans="1:66" ht="13.5" thickBot="1" x14ac:dyDescent="0.3"/>
    <row r="73" spans="1:66" x14ac:dyDescent="0.25">
      <c r="A73" s="47"/>
      <c r="B73" s="48"/>
      <c r="C73" s="48"/>
      <c r="D73" s="49"/>
      <c r="E73" s="48"/>
      <c r="F73" s="49"/>
      <c r="G73" s="48"/>
      <c r="H73" s="49"/>
      <c r="I73" s="50"/>
      <c r="J73" s="49"/>
      <c r="K73" s="48"/>
      <c r="L73" s="49"/>
      <c r="M73" s="48"/>
      <c r="N73" s="51"/>
    </row>
    <row r="74" spans="1:66" ht="4.5" customHeight="1" x14ac:dyDescent="0.25">
      <c r="A74" s="52"/>
      <c r="B74" s="24"/>
      <c r="C74" s="24"/>
      <c r="D74" s="44"/>
      <c r="E74" s="24"/>
      <c r="F74" s="44"/>
      <c r="G74" s="24"/>
      <c r="H74" s="44"/>
      <c r="I74" s="45"/>
      <c r="J74" s="44"/>
      <c r="K74" s="24"/>
      <c r="L74" s="44"/>
      <c r="M74" s="24"/>
      <c r="N74" s="53"/>
    </row>
    <row r="75" spans="1:66" x14ac:dyDescent="0.25">
      <c r="A75" s="52"/>
      <c r="B75" s="100"/>
      <c r="C75" s="24"/>
      <c r="D75" s="44"/>
      <c r="E75" s="24"/>
      <c r="F75" s="44"/>
      <c r="G75" s="24"/>
      <c r="H75" s="44"/>
      <c r="I75" s="45"/>
      <c r="J75" s="44"/>
      <c r="K75" s="24"/>
      <c r="L75" s="44"/>
      <c r="M75" s="24"/>
      <c r="N75" s="53"/>
    </row>
    <row r="76" spans="1:66" ht="23.25" x14ac:dyDescent="0.25">
      <c r="A76" s="52"/>
      <c r="B76" s="59" t="s">
        <v>60</v>
      </c>
      <c r="C76" s="24"/>
      <c r="D76" s="44"/>
      <c r="E76" s="24"/>
      <c r="F76" s="44"/>
      <c r="G76" s="24"/>
      <c r="H76" s="44"/>
      <c r="I76" s="45"/>
      <c r="J76" s="44"/>
      <c r="K76" s="24"/>
      <c r="L76" s="44"/>
      <c r="M76" s="24"/>
      <c r="N76" s="53"/>
    </row>
    <row r="77" spans="1:66" x14ac:dyDescent="0.25">
      <c r="A77" s="52"/>
      <c r="B77" s="24"/>
      <c r="C77" s="24"/>
      <c r="D77" s="44"/>
      <c r="E77" s="24"/>
      <c r="F77" s="44"/>
      <c r="G77" s="24"/>
      <c r="H77" s="44"/>
      <c r="I77" s="45"/>
      <c r="J77" s="44"/>
      <c r="K77" s="24"/>
      <c r="L77" s="44"/>
      <c r="M77" s="24"/>
      <c r="N77" s="53"/>
    </row>
    <row r="78" spans="1:66" x14ac:dyDescent="0.25">
      <c r="A78" s="52"/>
      <c r="B78" s="24"/>
      <c r="C78" s="24"/>
      <c r="D78" s="44"/>
      <c r="E78" s="24"/>
      <c r="F78" s="44"/>
      <c r="G78" s="24"/>
      <c r="H78" s="44"/>
      <c r="I78" s="45"/>
      <c r="J78" s="44"/>
      <c r="K78" s="24"/>
      <c r="L78" s="44"/>
      <c r="M78" s="24"/>
      <c r="N78" s="53"/>
    </row>
    <row r="79" spans="1:66" ht="18" x14ac:dyDescent="0.25">
      <c r="A79" s="52"/>
      <c r="B79" s="24"/>
      <c r="C79" s="24"/>
      <c r="D79" s="44"/>
      <c r="E79" s="24"/>
      <c r="F79" s="44"/>
      <c r="G79" s="24"/>
      <c r="H79" s="44"/>
      <c r="I79" s="98"/>
      <c r="J79" s="44"/>
      <c r="K79" s="24"/>
      <c r="L79" s="44"/>
      <c r="M79" s="24"/>
      <c r="N79" s="53"/>
    </row>
    <row r="80" spans="1:66" x14ac:dyDescent="0.25">
      <c r="A80" s="52"/>
      <c r="B80" s="24"/>
      <c r="C80" s="24"/>
      <c r="D80" s="97"/>
      <c r="E80" s="24"/>
      <c r="F80" s="44"/>
      <c r="G80" s="24"/>
      <c r="H80" s="44"/>
      <c r="I80" s="45"/>
      <c r="J80" s="44"/>
      <c r="K80" s="24"/>
      <c r="L80" s="44"/>
      <c r="M80" s="24"/>
      <c r="N80" s="53"/>
    </row>
    <row r="81" spans="1:14" x14ac:dyDescent="0.25">
      <c r="A81" s="52"/>
      <c r="B81" s="24"/>
      <c r="C81" s="24"/>
      <c r="D81" s="44"/>
      <c r="E81" s="24"/>
      <c r="F81" s="44"/>
      <c r="G81" s="24"/>
      <c r="H81" s="44"/>
      <c r="I81" s="45"/>
      <c r="J81" s="44"/>
      <c r="K81" s="24"/>
      <c r="L81" s="44"/>
      <c r="M81" s="24"/>
      <c r="N81" s="53"/>
    </row>
    <row r="82" spans="1:14" x14ac:dyDescent="0.25">
      <c r="A82" s="52"/>
      <c r="B82" s="100"/>
      <c r="C82" s="24"/>
      <c r="D82" s="44"/>
      <c r="E82" s="24"/>
      <c r="F82" s="44"/>
      <c r="G82" s="24"/>
      <c r="H82" s="44"/>
      <c r="I82" s="45"/>
      <c r="J82" s="44"/>
      <c r="K82" s="24"/>
      <c r="L82" s="44"/>
      <c r="M82" s="24"/>
      <c r="N82" s="53"/>
    </row>
    <row r="83" spans="1:14" x14ac:dyDescent="0.25">
      <c r="A83" s="52"/>
      <c r="B83" s="24"/>
      <c r="C83" s="24"/>
      <c r="D83" s="44"/>
      <c r="E83" s="24"/>
      <c r="F83" s="44"/>
      <c r="G83" s="24"/>
      <c r="H83" s="44"/>
      <c r="I83" s="45"/>
      <c r="J83" s="44"/>
      <c r="K83" s="24"/>
      <c r="L83" s="44"/>
      <c r="M83" s="24"/>
      <c r="N83" s="53"/>
    </row>
    <row r="84" spans="1:14" x14ac:dyDescent="0.25">
      <c r="A84" s="52"/>
      <c r="B84" s="24"/>
      <c r="C84" s="24"/>
      <c r="D84" s="44"/>
      <c r="E84" s="24"/>
      <c r="F84" s="44"/>
      <c r="G84" s="24"/>
      <c r="H84" s="44"/>
      <c r="I84" s="45"/>
      <c r="J84" s="44"/>
      <c r="K84" s="24"/>
      <c r="L84" s="44"/>
      <c r="M84" s="24"/>
      <c r="N84" s="53"/>
    </row>
    <row r="85" spans="1:14" x14ac:dyDescent="0.25">
      <c r="A85" s="52"/>
      <c r="B85" s="24"/>
      <c r="C85" s="24"/>
      <c r="D85" s="44"/>
      <c r="E85" s="24"/>
      <c r="F85" s="44"/>
      <c r="G85" s="24"/>
      <c r="H85" s="44"/>
      <c r="I85" s="45"/>
      <c r="J85" s="44"/>
      <c r="K85" s="24"/>
      <c r="L85" s="44"/>
      <c r="M85" s="24"/>
      <c r="N85" s="53"/>
    </row>
    <row r="86" spans="1:14" x14ac:dyDescent="0.25">
      <c r="A86" s="52"/>
      <c r="B86" s="24"/>
      <c r="C86" s="24"/>
      <c r="D86" s="44"/>
      <c r="E86" s="24"/>
      <c r="F86" s="44"/>
      <c r="G86" s="24"/>
      <c r="H86" s="44"/>
      <c r="I86" s="45"/>
      <c r="J86" s="44"/>
      <c r="K86" s="24"/>
      <c r="L86" s="44"/>
      <c r="M86" s="24"/>
      <c r="N86" s="53"/>
    </row>
    <row r="87" spans="1:14" ht="18" x14ac:dyDescent="0.25">
      <c r="A87" s="52"/>
      <c r="B87" s="24"/>
      <c r="C87" s="24"/>
      <c r="D87" s="44"/>
      <c r="E87" s="24"/>
      <c r="F87" s="44"/>
      <c r="G87" s="24"/>
      <c r="H87" s="44"/>
      <c r="I87" s="46"/>
      <c r="J87" s="44"/>
      <c r="K87" s="24"/>
      <c r="L87" s="44"/>
      <c r="M87" s="24"/>
      <c r="N87" s="53"/>
    </row>
    <row r="88" spans="1:14" x14ac:dyDescent="0.25">
      <c r="A88" s="52"/>
      <c r="B88" s="24"/>
      <c r="C88" s="24"/>
      <c r="D88" s="44"/>
      <c r="E88" s="24"/>
      <c r="F88" s="44"/>
      <c r="G88" s="24"/>
      <c r="H88" s="44"/>
      <c r="I88" s="45"/>
      <c r="J88" s="44"/>
      <c r="K88" s="24"/>
      <c r="L88" s="44"/>
      <c r="M88" s="24"/>
      <c r="N88" s="53"/>
    </row>
    <row r="89" spans="1:14" x14ac:dyDescent="0.25">
      <c r="A89" s="52"/>
      <c r="B89" s="24"/>
      <c r="C89" s="24"/>
      <c r="D89" s="44"/>
      <c r="E89" s="24"/>
      <c r="F89" s="44"/>
      <c r="G89" s="24"/>
      <c r="H89" s="44"/>
      <c r="I89" s="45"/>
      <c r="J89" s="44"/>
      <c r="K89" s="24"/>
      <c r="L89" s="44"/>
      <c r="M89" s="24"/>
      <c r="N89" s="53"/>
    </row>
    <row r="90" spans="1:14" x14ac:dyDescent="0.25">
      <c r="A90" s="52"/>
      <c r="B90" s="100"/>
      <c r="C90" s="24"/>
      <c r="D90" s="44"/>
      <c r="E90" s="24"/>
      <c r="F90" s="44"/>
      <c r="G90" s="24"/>
      <c r="H90" s="44"/>
      <c r="I90" s="45"/>
      <c r="J90" s="44"/>
      <c r="K90" s="24"/>
      <c r="L90" s="44"/>
      <c r="M90" s="24"/>
      <c r="N90" s="53"/>
    </row>
    <row r="91" spans="1:14" ht="15.75" x14ac:dyDescent="0.25">
      <c r="A91" s="52"/>
      <c r="B91" s="24"/>
      <c r="C91" s="24"/>
      <c r="D91" s="44"/>
      <c r="E91" s="24"/>
      <c r="F91" s="44"/>
      <c r="G91" s="24"/>
      <c r="H91" s="44"/>
      <c r="I91" s="184"/>
      <c r="J91" s="44"/>
      <c r="K91" s="24"/>
      <c r="L91" s="44"/>
      <c r="M91" s="24"/>
      <c r="N91" s="53"/>
    </row>
    <row r="92" spans="1:14" x14ac:dyDescent="0.25">
      <c r="A92" s="52"/>
      <c r="B92" s="24"/>
      <c r="C92" s="24"/>
      <c r="D92" s="44"/>
      <c r="E92" s="24"/>
      <c r="F92" s="44"/>
      <c r="G92" s="24"/>
      <c r="H92" s="44"/>
      <c r="I92" s="45"/>
      <c r="J92" s="44"/>
      <c r="K92" s="24"/>
      <c r="L92" s="44"/>
      <c r="M92" s="24"/>
      <c r="N92" s="53"/>
    </row>
    <row r="93" spans="1:14" x14ac:dyDescent="0.25">
      <c r="A93" s="52"/>
      <c r="B93" s="24"/>
      <c r="C93" s="24"/>
      <c r="D93" s="44"/>
      <c r="E93" s="24"/>
      <c r="F93" s="44"/>
      <c r="G93" s="24"/>
      <c r="H93" s="44"/>
      <c r="I93" s="45"/>
      <c r="J93" s="44"/>
      <c r="K93" s="24"/>
      <c r="L93" s="44"/>
      <c r="M93" s="24"/>
      <c r="N93" s="53"/>
    </row>
    <row r="94" spans="1:14" ht="18" x14ac:dyDescent="0.25">
      <c r="A94" s="52"/>
      <c r="B94" s="24"/>
      <c r="C94" s="24"/>
      <c r="D94" s="44"/>
      <c r="E94" s="24"/>
      <c r="F94" s="44"/>
      <c r="G94" s="24"/>
      <c r="H94" s="44"/>
      <c r="I94" s="46"/>
      <c r="J94" s="44"/>
      <c r="K94" s="24"/>
      <c r="L94" s="44"/>
      <c r="M94" s="24"/>
      <c r="N94" s="53"/>
    </row>
    <row r="95" spans="1:14" x14ac:dyDescent="0.25">
      <c r="A95" s="52"/>
      <c r="B95" s="24"/>
      <c r="C95" s="24"/>
      <c r="D95" s="44"/>
      <c r="E95" s="24"/>
      <c r="F95" s="44"/>
      <c r="G95" s="24"/>
      <c r="H95" s="44"/>
      <c r="I95" s="45"/>
      <c r="J95" s="44"/>
      <c r="K95" s="24"/>
      <c r="L95" s="44"/>
      <c r="M95" s="24"/>
      <c r="N95" s="53"/>
    </row>
    <row r="96" spans="1:14" x14ac:dyDescent="0.25">
      <c r="A96" s="52"/>
      <c r="B96" s="24"/>
      <c r="C96" s="24"/>
      <c r="D96" s="44"/>
      <c r="E96" s="24"/>
      <c r="F96" s="44"/>
      <c r="G96" s="24"/>
      <c r="H96" s="44"/>
      <c r="I96" s="45"/>
      <c r="J96" s="44"/>
      <c r="K96" s="24"/>
      <c r="L96" s="44"/>
      <c r="M96" s="24"/>
      <c r="N96" s="53"/>
    </row>
    <row r="97" spans="1:14" x14ac:dyDescent="0.25">
      <c r="A97" s="52"/>
      <c r="B97" s="100"/>
      <c r="C97" s="24"/>
      <c r="D97" s="44"/>
      <c r="E97" s="24"/>
      <c r="F97" s="44"/>
      <c r="G97" s="24"/>
      <c r="H97" s="44"/>
      <c r="I97" s="45"/>
      <c r="J97" s="44"/>
      <c r="K97" s="24"/>
      <c r="L97" s="44"/>
      <c r="M97" s="24"/>
      <c r="N97" s="53"/>
    </row>
    <row r="98" spans="1:14" x14ac:dyDescent="0.25">
      <c r="A98" s="52"/>
      <c r="B98" s="24"/>
      <c r="C98" s="24"/>
      <c r="D98" s="44"/>
      <c r="E98" s="24"/>
      <c r="F98" s="44"/>
      <c r="G98" s="24"/>
      <c r="H98" s="44"/>
      <c r="I98" s="45"/>
      <c r="J98" s="44"/>
      <c r="K98" s="24"/>
      <c r="L98" s="44"/>
      <c r="M98" s="24"/>
      <c r="N98" s="53"/>
    </row>
    <row r="99" spans="1:14" x14ac:dyDescent="0.25">
      <c r="A99" s="52"/>
      <c r="B99" s="24"/>
      <c r="C99" s="24"/>
      <c r="D99" s="44"/>
      <c r="E99" s="24"/>
      <c r="F99" s="44"/>
      <c r="G99" s="24"/>
      <c r="H99" s="44"/>
      <c r="I99" s="45"/>
      <c r="J99" s="44"/>
      <c r="K99" s="24"/>
      <c r="L99" s="44"/>
      <c r="M99" s="24"/>
      <c r="N99" s="53"/>
    </row>
    <row r="100" spans="1:14" x14ac:dyDescent="0.25">
      <c r="A100" s="52"/>
      <c r="B100" s="24"/>
      <c r="C100" s="24"/>
      <c r="D100" s="44"/>
      <c r="E100" s="24"/>
      <c r="F100" s="44"/>
      <c r="G100" s="24"/>
      <c r="H100" s="44"/>
      <c r="I100" s="45"/>
      <c r="J100" s="44"/>
      <c r="K100" s="24"/>
      <c r="L100" s="44"/>
      <c r="M100" s="24"/>
      <c r="N100" s="53"/>
    </row>
    <row r="101" spans="1:14" x14ac:dyDescent="0.25">
      <c r="A101" s="52"/>
      <c r="B101" s="24"/>
      <c r="C101" s="24"/>
      <c r="D101" s="44"/>
      <c r="E101" s="24"/>
      <c r="F101" s="44"/>
      <c r="G101" s="24"/>
      <c r="H101" s="44"/>
      <c r="I101" s="45"/>
      <c r="J101" s="44"/>
      <c r="K101" s="24"/>
      <c r="L101" s="44"/>
      <c r="M101" s="24"/>
      <c r="N101" s="53"/>
    </row>
    <row r="102" spans="1:14" x14ac:dyDescent="0.25">
      <c r="A102" s="52"/>
      <c r="B102" s="24"/>
      <c r="C102" s="24"/>
      <c r="D102" s="44"/>
      <c r="E102" s="24"/>
      <c r="F102" s="44"/>
      <c r="G102" s="24"/>
      <c r="H102" s="44"/>
      <c r="I102" s="45"/>
      <c r="J102" s="44"/>
      <c r="K102" s="24"/>
      <c r="L102" s="44"/>
      <c r="M102" s="24"/>
      <c r="N102" s="53"/>
    </row>
    <row r="103" spans="1:14" x14ac:dyDescent="0.25">
      <c r="A103" s="52"/>
      <c r="B103" s="24"/>
      <c r="C103" s="24"/>
      <c r="D103" s="44"/>
      <c r="E103" s="24"/>
      <c r="F103" s="44"/>
      <c r="G103" s="24"/>
      <c r="H103" s="44"/>
      <c r="I103" s="45"/>
      <c r="J103" s="44"/>
      <c r="K103" s="24"/>
      <c r="L103" s="44"/>
      <c r="M103" s="24"/>
      <c r="N103" s="53"/>
    </row>
    <row r="104" spans="1:14" x14ac:dyDescent="0.25">
      <c r="A104" s="52"/>
      <c r="B104" s="24"/>
      <c r="C104" s="24"/>
      <c r="D104" s="44"/>
      <c r="E104" s="24"/>
      <c r="F104" s="44"/>
      <c r="G104" s="24"/>
      <c r="H104" s="44"/>
      <c r="I104" s="45"/>
      <c r="J104" s="44"/>
      <c r="K104" s="24"/>
      <c r="L104" s="44"/>
      <c r="M104" s="24"/>
      <c r="N104" s="53"/>
    </row>
    <row r="105" spans="1:14" x14ac:dyDescent="0.25">
      <c r="A105" s="52"/>
      <c r="B105" s="24"/>
      <c r="C105" s="24"/>
      <c r="D105" s="44"/>
      <c r="E105" s="24"/>
      <c r="F105" s="44"/>
      <c r="G105" s="24"/>
      <c r="H105" s="44"/>
      <c r="I105" s="45"/>
      <c r="J105" s="44"/>
      <c r="K105" s="24"/>
      <c r="L105" s="44"/>
      <c r="M105" s="24"/>
      <c r="N105" s="53"/>
    </row>
    <row r="106" spans="1:14" x14ac:dyDescent="0.25">
      <c r="A106" s="52"/>
      <c r="B106" s="24"/>
      <c r="C106" s="24"/>
      <c r="D106" s="44"/>
      <c r="E106" s="24"/>
      <c r="F106" s="44"/>
      <c r="G106" s="24"/>
      <c r="H106" s="44"/>
      <c r="I106" s="45"/>
      <c r="J106" s="44"/>
      <c r="K106" s="24"/>
      <c r="L106" s="44"/>
      <c r="M106" s="24"/>
      <c r="N106" s="53"/>
    </row>
    <row r="107" spans="1:14" x14ac:dyDescent="0.25">
      <c r="A107" s="52"/>
      <c r="B107" s="24"/>
      <c r="C107" s="24"/>
      <c r="D107" s="44"/>
      <c r="E107" s="24"/>
      <c r="F107" s="44"/>
      <c r="G107" s="24"/>
      <c r="H107" s="44"/>
      <c r="I107" s="45"/>
      <c r="J107" s="44"/>
      <c r="K107" s="24"/>
      <c r="L107" s="44"/>
      <c r="M107" s="24"/>
      <c r="N107" s="53"/>
    </row>
    <row r="108" spans="1:14" x14ac:dyDescent="0.25">
      <c r="A108" s="52"/>
      <c r="B108" s="24"/>
      <c r="C108" s="24"/>
      <c r="D108" s="44"/>
      <c r="E108" s="24"/>
      <c r="F108" s="44"/>
      <c r="G108" s="24"/>
      <c r="H108" s="44"/>
      <c r="I108" s="45"/>
      <c r="J108" s="44"/>
      <c r="K108" s="24"/>
      <c r="L108" s="44"/>
      <c r="M108" s="24"/>
      <c r="N108" s="53"/>
    </row>
    <row r="109" spans="1:14" x14ac:dyDescent="0.25">
      <c r="A109" s="52"/>
      <c r="B109" s="24"/>
      <c r="C109" s="24"/>
      <c r="D109" s="44"/>
      <c r="E109" s="24"/>
      <c r="F109" s="44"/>
      <c r="G109" s="24"/>
      <c r="H109" s="44"/>
      <c r="I109" s="45"/>
      <c r="J109" s="44"/>
      <c r="K109" s="24"/>
      <c r="L109" s="44"/>
      <c r="M109" s="24"/>
      <c r="N109" s="53"/>
    </row>
    <row r="110" spans="1:14" x14ac:dyDescent="0.25">
      <c r="A110" s="52"/>
      <c r="B110" s="24"/>
      <c r="C110" s="24"/>
      <c r="D110" s="44"/>
      <c r="E110" s="24"/>
      <c r="F110" s="44"/>
      <c r="G110" s="24"/>
      <c r="H110" s="44"/>
      <c r="I110" s="45"/>
      <c r="J110" s="44"/>
      <c r="K110" s="24"/>
      <c r="L110" s="44"/>
      <c r="M110" s="24"/>
      <c r="N110" s="53"/>
    </row>
    <row r="111" spans="1:14" x14ac:dyDescent="0.25">
      <c r="A111" s="52"/>
      <c r="B111" s="24"/>
      <c r="C111" s="24"/>
      <c r="D111" s="44"/>
      <c r="E111" s="24"/>
      <c r="F111" s="44"/>
      <c r="G111" s="24"/>
      <c r="H111" s="44"/>
      <c r="I111" s="45"/>
      <c r="J111" s="44"/>
      <c r="K111" s="24"/>
      <c r="L111" s="44"/>
      <c r="M111" s="24"/>
      <c r="N111" s="53"/>
    </row>
    <row r="112" spans="1:14" x14ac:dyDescent="0.25">
      <c r="A112" s="52"/>
      <c r="B112" s="24"/>
      <c r="C112" s="24"/>
      <c r="D112" s="44"/>
      <c r="E112" s="24"/>
      <c r="F112" s="44"/>
      <c r="G112" s="24"/>
      <c r="H112" s="44"/>
      <c r="I112" s="45"/>
      <c r="J112" s="44"/>
      <c r="K112" s="24"/>
      <c r="L112" s="44"/>
      <c r="M112" s="24"/>
      <c r="N112" s="53"/>
    </row>
    <row r="113" spans="1:14" x14ac:dyDescent="0.25">
      <c r="A113" s="52"/>
      <c r="B113" s="24"/>
      <c r="C113" s="24"/>
      <c r="D113" s="44"/>
      <c r="E113" s="24"/>
      <c r="F113" s="44"/>
      <c r="G113" s="24"/>
      <c r="H113" s="44"/>
      <c r="I113" s="45"/>
      <c r="J113" s="44"/>
      <c r="K113" s="24"/>
      <c r="L113" s="44"/>
      <c r="M113" s="24"/>
      <c r="N113" s="53"/>
    </row>
    <row r="114" spans="1:14" x14ac:dyDescent="0.25">
      <c r="A114" s="52"/>
      <c r="B114" s="24"/>
      <c r="C114" s="24"/>
      <c r="D114" s="44"/>
      <c r="E114" s="24"/>
      <c r="F114" s="44"/>
      <c r="G114" s="24"/>
      <c r="H114" s="44"/>
      <c r="I114" s="45"/>
      <c r="J114" s="44"/>
      <c r="K114" s="24"/>
      <c r="L114" s="44"/>
      <c r="M114" s="24"/>
      <c r="N114" s="53"/>
    </row>
    <row r="115" spans="1:14" ht="13.5" thickBot="1" x14ac:dyDescent="0.3">
      <c r="A115" s="54"/>
      <c r="B115" s="55"/>
      <c r="C115" s="55"/>
      <c r="D115" s="56"/>
      <c r="E115" s="55"/>
      <c r="F115" s="56"/>
      <c r="G115" s="55"/>
      <c r="H115" s="56"/>
      <c r="I115" s="57"/>
      <c r="J115" s="56"/>
      <c r="K115" s="55"/>
      <c r="L115" s="56"/>
      <c r="M115" s="55"/>
      <c r="N115" s="58"/>
    </row>
    <row r="117" spans="1:14" ht="13.5" thickBot="1" x14ac:dyDescent="0.3"/>
    <row r="118" spans="1:14" x14ac:dyDescent="0.25">
      <c r="A118" s="47"/>
      <c r="B118" s="48"/>
      <c r="C118" s="48"/>
      <c r="D118" s="49"/>
      <c r="E118" s="48"/>
      <c r="F118" s="49"/>
      <c r="G118" s="48"/>
      <c r="H118" s="49"/>
      <c r="I118" s="50"/>
      <c r="J118" s="49"/>
      <c r="K118" s="48"/>
      <c r="L118" s="49"/>
      <c r="M118" s="48"/>
      <c r="N118" s="51"/>
    </row>
    <row r="119" spans="1:14" x14ac:dyDescent="0.25">
      <c r="A119" s="52"/>
      <c r="B119" s="100"/>
      <c r="C119" s="24"/>
      <c r="D119" s="44"/>
      <c r="E119" s="24"/>
      <c r="F119" s="44"/>
      <c r="G119" s="24"/>
      <c r="H119" s="44"/>
      <c r="I119" s="45"/>
      <c r="J119" s="44"/>
      <c r="K119" s="24"/>
      <c r="L119" s="44"/>
      <c r="M119" s="24"/>
      <c r="N119" s="53"/>
    </row>
    <row r="120" spans="1:14" ht="17.25" customHeight="1" x14ac:dyDescent="0.25">
      <c r="A120" s="52"/>
      <c r="B120" s="59" t="s">
        <v>81</v>
      </c>
      <c r="C120" s="24"/>
      <c r="D120" s="44"/>
      <c r="E120" s="24"/>
      <c r="F120" s="44"/>
      <c r="G120" s="24"/>
      <c r="H120" s="44"/>
      <c r="I120" s="45"/>
      <c r="J120" s="44"/>
      <c r="K120" s="24"/>
      <c r="L120" s="44"/>
      <c r="M120" s="24"/>
      <c r="N120" s="53"/>
    </row>
    <row r="121" spans="1:14" x14ac:dyDescent="0.25">
      <c r="A121" s="52"/>
      <c r="B121" s="24"/>
      <c r="C121" s="24"/>
      <c r="D121" s="44"/>
      <c r="E121" s="24"/>
      <c r="F121" s="44"/>
      <c r="G121" s="24"/>
      <c r="H121" s="44"/>
      <c r="I121" s="45"/>
      <c r="J121" s="44"/>
      <c r="K121" s="24"/>
      <c r="L121" s="44"/>
      <c r="M121" s="24"/>
      <c r="N121" s="53"/>
    </row>
    <row r="122" spans="1:14" x14ac:dyDescent="0.25">
      <c r="A122" s="52"/>
      <c r="B122" s="24"/>
      <c r="C122" s="24"/>
      <c r="D122" s="44"/>
      <c r="E122" s="24"/>
      <c r="F122" s="44"/>
      <c r="G122" s="24"/>
      <c r="H122" s="44"/>
      <c r="I122" s="45"/>
      <c r="J122" s="44"/>
      <c r="K122" s="24"/>
      <c r="L122" s="44"/>
      <c r="M122" s="24"/>
      <c r="N122" s="53"/>
    </row>
    <row r="123" spans="1:14" x14ac:dyDescent="0.25">
      <c r="A123" s="52"/>
      <c r="B123" s="24"/>
      <c r="C123" s="24"/>
      <c r="D123" s="44"/>
      <c r="E123" s="24"/>
      <c r="F123" s="44"/>
      <c r="G123" s="24"/>
      <c r="H123" s="44"/>
      <c r="I123" s="45"/>
      <c r="J123" s="44"/>
      <c r="K123" s="24"/>
      <c r="L123" s="44"/>
      <c r="M123" s="24"/>
      <c r="N123" s="53"/>
    </row>
    <row r="124" spans="1:14" x14ac:dyDescent="0.25">
      <c r="A124" s="52"/>
      <c r="B124" s="24"/>
      <c r="C124" s="24"/>
      <c r="D124" s="44"/>
      <c r="E124" s="24"/>
      <c r="F124" s="44"/>
      <c r="G124" s="24"/>
      <c r="H124" s="44"/>
      <c r="I124" s="45"/>
      <c r="J124" s="44"/>
      <c r="K124" s="24"/>
      <c r="L124" s="44"/>
      <c r="M124" s="24"/>
      <c r="N124" s="53"/>
    </row>
    <row r="125" spans="1:14" ht="18" x14ac:dyDescent="0.25">
      <c r="A125" s="52"/>
      <c r="B125" s="46"/>
      <c r="C125" s="24"/>
      <c r="D125" s="44"/>
      <c r="E125" s="24"/>
      <c r="F125" s="44"/>
      <c r="G125" s="24"/>
      <c r="H125" s="44"/>
      <c r="I125" s="45"/>
      <c r="J125" s="44"/>
      <c r="K125" s="24"/>
      <c r="L125" s="44"/>
      <c r="M125" s="24"/>
      <c r="N125" s="53"/>
    </row>
    <row r="126" spans="1:14" x14ac:dyDescent="0.25">
      <c r="A126" s="52"/>
      <c r="B126" s="24"/>
      <c r="C126" s="24"/>
      <c r="D126" s="44"/>
      <c r="E126" s="24"/>
      <c r="F126" s="44"/>
      <c r="G126" s="24"/>
      <c r="H126" s="44"/>
      <c r="I126" s="45"/>
      <c r="J126" s="44"/>
      <c r="K126" s="24"/>
      <c r="L126" s="44"/>
      <c r="M126" s="24"/>
      <c r="N126" s="53"/>
    </row>
    <row r="127" spans="1:14" x14ac:dyDescent="0.25">
      <c r="A127" s="52"/>
      <c r="B127" s="24"/>
      <c r="C127" s="24"/>
      <c r="D127" s="44"/>
      <c r="E127" s="24"/>
      <c r="F127" s="44"/>
      <c r="G127" s="24"/>
      <c r="H127" s="44"/>
      <c r="I127" s="45"/>
      <c r="J127" s="44"/>
      <c r="K127" s="24"/>
      <c r="L127" s="44"/>
      <c r="M127" s="24"/>
      <c r="N127" s="53"/>
    </row>
    <row r="128" spans="1:14" x14ac:dyDescent="0.25">
      <c r="A128" s="52"/>
      <c r="B128" s="216"/>
      <c r="C128" s="24"/>
      <c r="D128" s="44"/>
      <c r="E128" s="24"/>
      <c r="F128" s="44"/>
      <c r="G128" s="24"/>
      <c r="H128" s="44"/>
      <c r="I128" s="45"/>
      <c r="J128" s="44"/>
      <c r="K128" s="24"/>
      <c r="L128" s="44"/>
      <c r="M128" s="24"/>
      <c r="N128" s="53"/>
    </row>
    <row r="129" spans="1:14" x14ac:dyDescent="0.25">
      <c r="A129" s="52"/>
      <c r="B129" s="216"/>
      <c r="C129" s="24"/>
      <c r="D129" s="44"/>
      <c r="E129" s="24"/>
      <c r="F129" s="44"/>
      <c r="G129" s="24"/>
      <c r="H129" s="44"/>
      <c r="I129" s="45"/>
      <c r="J129" s="44"/>
      <c r="K129" s="24"/>
      <c r="L129" s="44"/>
      <c r="M129" s="24"/>
      <c r="N129" s="53"/>
    </row>
    <row r="130" spans="1:14" x14ac:dyDescent="0.25">
      <c r="A130" s="52"/>
      <c r="B130" s="24"/>
      <c r="C130" s="24"/>
      <c r="D130" s="44"/>
      <c r="E130" s="24"/>
      <c r="F130" s="44"/>
      <c r="G130" s="24"/>
      <c r="H130" s="44"/>
      <c r="I130" s="45"/>
      <c r="J130" s="44"/>
      <c r="K130" s="24"/>
      <c r="L130" s="44"/>
      <c r="M130" s="24"/>
      <c r="N130" s="53"/>
    </row>
    <row r="131" spans="1:14" x14ac:dyDescent="0.25">
      <c r="A131" s="52"/>
      <c r="B131" s="24"/>
      <c r="C131" s="24"/>
      <c r="D131" s="44"/>
      <c r="E131" s="24"/>
      <c r="F131" s="44"/>
      <c r="G131" s="24"/>
      <c r="H131" s="44"/>
      <c r="I131" s="45"/>
      <c r="J131" s="44"/>
      <c r="K131" s="24"/>
      <c r="L131" s="44"/>
      <c r="M131" s="24"/>
      <c r="N131" s="53"/>
    </row>
    <row r="132" spans="1:14" x14ac:dyDescent="0.25">
      <c r="A132" s="52"/>
      <c r="B132" s="24"/>
      <c r="C132" s="24"/>
      <c r="D132" s="44"/>
      <c r="E132" s="24"/>
      <c r="F132" s="44"/>
      <c r="G132" s="24"/>
      <c r="H132" s="44"/>
      <c r="I132" s="45"/>
      <c r="J132" s="44"/>
      <c r="K132" s="24"/>
      <c r="L132" s="44"/>
      <c r="M132" s="24"/>
      <c r="N132" s="53"/>
    </row>
    <row r="133" spans="1:14" ht="18" x14ac:dyDescent="0.25">
      <c r="A133" s="52"/>
      <c r="B133" s="46"/>
      <c r="C133" s="24"/>
      <c r="D133" s="44"/>
      <c r="E133" s="24"/>
      <c r="F133" s="44"/>
      <c r="G133" s="24"/>
      <c r="H133" s="44"/>
      <c r="I133" s="45"/>
      <c r="J133" s="44"/>
      <c r="K133" s="24"/>
      <c r="L133" s="44"/>
      <c r="M133" s="24"/>
      <c r="N133" s="53"/>
    </row>
    <row r="134" spans="1:14" x14ac:dyDescent="0.25">
      <c r="A134" s="52"/>
      <c r="B134" s="24"/>
      <c r="C134" s="24"/>
      <c r="D134" s="44"/>
      <c r="E134" s="24"/>
      <c r="F134" s="44"/>
      <c r="G134" s="24"/>
      <c r="H134" s="44"/>
      <c r="I134" s="45"/>
      <c r="J134" s="44"/>
      <c r="K134" s="24"/>
      <c r="L134" s="44"/>
      <c r="M134" s="24"/>
      <c r="N134" s="53"/>
    </row>
    <row r="135" spans="1:14" x14ac:dyDescent="0.25">
      <c r="A135" s="52"/>
      <c r="B135" s="24"/>
      <c r="C135" s="24"/>
      <c r="D135" s="44"/>
      <c r="E135" s="24"/>
      <c r="F135" s="44"/>
      <c r="G135" s="24"/>
      <c r="H135" s="44"/>
      <c r="I135" s="45"/>
      <c r="J135" s="44"/>
      <c r="K135" s="24"/>
      <c r="L135" s="44"/>
      <c r="M135" s="24"/>
      <c r="N135" s="53"/>
    </row>
    <row r="136" spans="1:14" x14ac:dyDescent="0.25">
      <c r="A136" s="52"/>
      <c r="B136" s="24"/>
      <c r="C136" s="24"/>
      <c r="D136" s="44"/>
      <c r="E136" s="24"/>
      <c r="F136" s="44"/>
      <c r="G136" s="24"/>
      <c r="H136" s="44"/>
      <c r="I136" s="45"/>
      <c r="J136" s="44"/>
      <c r="K136" s="24"/>
      <c r="L136" s="44"/>
      <c r="M136" s="24"/>
      <c r="N136" s="53"/>
    </row>
    <row r="137" spans="1:14" x14ac:dyDescent="0.25">
      <c r="A137" s="52"/>
      <c r="B137" s="24"/>
      <c r="C137" s="24"/>
      <c r="D137" s="44"/>
      <c r="E137" s="24"/>
      <c r="F137" s="44"/>
      <c r="G137" s="24"/>
      <c r="H137" s="44"/>
      <c r="I137" s="45"/>
      <c r="J137" s="44"/>
      <c r="K137" s="24"/>
      <c r="L137" s="44"/>
      <c r="M137" s="24"/>
      <c r="N137" s="53"/>
    </row>
    <row r="138" spans="1:14" x14ac:dyDescent="0.25">
      <c r="A138" s="52"/>
      <c r="B138" s="24"/>
      <c r="C138" s="24"/>
      <c r="D138" s="44"/>
      <c r="E138" s="24"/>
      <c r="F138" s="44"/>
      <c r="G138" s="24"/>
      <c r="H138" s="44"/>
      <c r="I138" s="45"/>
      <c r="J138" s="44"/>
      <c r="K138" s="24"/>
      <c r="L138" s="44"/>
      <c r="M138" s="24"/>
      <c r="N138" s="53"/>
    </row>
    <row r="139" spans="1:14" x14ac:dyDescent="0.25">
      <c r="A139" s="52"/>
      <c r="B139" s="24"/>
      <c r="C139" s="24"/>
      <c r="D139" s="44"/>
      <c r="E139" s="24"/>
      <c r="F139" s="44"/>
      <c r="G139" s="24"/>
      <c r="H139" s="44"/>
      <c r="I139" s="45"/>
      <c r="J139" s="44"/>
      <c r="K139" s="24"/>
      <c r="L139" s="44"/>
      <c r="M139" s="24"/>
      <c r="N139" s="53"/>
    </row>
    <row r="140" spans="1:14" x14ac:dyDescent="0.25">
      <c r="A140" s="52"/>
      <c r="B140" s="24"/>
      <c r="C140" s="24"/>
      <c r="D140" s="44"/>
      <c r="E140" s="24"/>
      <c r="F140" s="44"/>
      <c r="G140" s="24"/>
      <c r="H140" s="44"/>
      <c r="I140" s="45"/>
      <c r="J140" s="44"/>
      <c r="K140" s="24"/>
      <c r="L140" s="44"/>
      <c r="M140" s="24"/>
      <c r="N140" s="53"/>
    </row>
    <row r="141" spans="1:14" x14ac:dyDescent="0.25">
      <c r="A141" s="52"/>
      <c r="B141" s="24"/>
      <c r="C141" s="24"/>
      <c r="D141" s="44"/>
      <c r="E141" s="24"/>
      <c r="F141" s="44"/>
      <c r="G141" s="24"/>
      <c r="H141" s="44"/>
      <c r="I141" s="45"/>
      <c r="J141" s="44"/>
      <c r="K141" s="24"/>
      <c r="L141" s="44"/>
      <c r="M141" s="24"/>
      <c r="N141" s="53"/>
    </row>
    <row r="142" spans="1:14" x14ac:dyDescent="0.25">
      <c r="A142" s="52"/>
      <c r="B142" s="24"/>
      <c r="C142" s="24"/>
      <c r="D142" s="44"/>
      <c r="E142" s="24"/>
      <c r="F142" s="44"/>
      <c r="G142" s="24"/>
      <c r="H142" s="44"/>
      <c r="I142" s="45"/>
      <c r="J142" s="44"/>
      <c r="K142" s="24"/>
      <c r="L142" s="44"/>
      <c r="M142" s="24"/>
      <c r="N142" s="53"/>
    </row>
    <row r="143" spans="1:14" x14ac:dyDescent="0.25">
      <c r="A143" s="52"/>
      <c r="B143" s="24"/>
      <c r="C143" s="24"/>
      <c r="D143" s="44"/>
      <c r="E143" s="24"/>
      <c r="F143" s="44"/>
      <c r="G143" s="24"/>
      <c r="H143" s="44"/>
      <c r="I143" s="45"/>
      <c r="J143" s="44"/>
      <c r="K143" s="24"/>
      <c r="L143" s="44"/>
      <c r="M143" s="24"/>
      <c r="N143" s="53"/>
    </row>
    <row r="144" spans="1:14" x14ac:dyDescent="0.25">
      <c r="A144" s="52"/>
      <c r="B144" s="24"/>
      <c r="C144" s="24"/>
      <c r="D144" s="44"/>
      <c r="E144" s="24"/>
      <c r="F144" s="44"/>
      <c r="G144" s="24"/>
      <c r="H144" s="44"/>
      <c r="I144" s="45"/>
      <c r="J144" s="44"/>
      <c r="K144" s="24"/>
      <c r="L144" s="44"/>
      <c r="M144" s="24"/>
      <c r="N144" s="53"/>
    </row>
    <row r="145" spans="1:14" x14ac:dyDescent="0.25">
      <c r="A145" s="52"/>
      <c r="B145" s="24"/>
      <c r="C145" s="24"/>
      <c r="D145" s="44"/>
      <c r="E145" s="24"/>
      <c r="F145" s="44"/>
      <c r="G145" s="24"/>
      <c r="H145" s="44"/>
      <c r="I145" s="45"/>
      <c r="J145" s="44"/>
      <c r="K145" s="24"/>
      <c r="L145" s="44"/>
      <c r="M145" s="24"/>
      <c r="N145" s="53"/>
    </row>
    <row r="146" spans="1:14" x14ac:dyDescent="0.25">
      <c r="A146" s="52"/>
      <c r="B146" s="24"/>
      <c r="C146" s="24"/>
      <c r="D146" s="44"/>
      <c r="E146" s="24"/>
      <c r="F146" s="44"/>
      <c r="G146" s="24"/>
      <c r="H146" s="44"/>
      <c r="I146" s="45"/>
      <c r="J146" s="44"/>
      <c r="K146" s="24"/>
      <c r="L146" s="44"/>
      <c r="M146" s="24"/>
      <c r="N146" s="53"/>
    </row>
    <row r="147" spans="1:14" x14ac:dyDescent="0.25">
      <c r="A147" s="52"/>
      <c r="B147" s="24"/>
      <c r="C147" s="24"/>
      <c r="D147" s="44"/>
      <c r="E147" s="24"/>
      <c r="F147" s="44"/>
      <c r="G147" s="24"/>
      <c r="H147" s="44"/>
      <c r="I147" s="45"/>
      <c r="J147" s="44"/>
      <c r="K147" s="24"/>
      <c r="L147" s="44"/>
      <c r="M147" s="24"/>
      <c r="N147" s="53"/>
    </row>
    <row r="148" spans="1:14" x14ac:dyDescent="0.25">
      <c r="A148" s="52"/>
      <c r="B148" s="24"/>
      <c r="C148" s="24"/>
      <c r="D148" s="44"/>
      <c r="E148" s="24"/>
      <c r="F148" s="44"/>
      <c r="G148" s="24"/>
      <c r="H148" s="44"/>
      <c r="I148" s="45"/>
      <c r="J148" s="44"/>
      <c r="K148" s="24"/>
      <c r="L148" s="44"/>
      <c r="M148" s="24"/>
      <c r="N148" s="53"/>
    </row>
    <row r="149" spans="1:14" x14ac:dyDescent="0.25">
      <c r="A149" s="52"/>
      <c r="B149" s="24"/>
      <c r="C149" s="24"/>
      <c r="D149" s="44"/>
      <c r="E149" s="24"/>
      <c r="F149" s="44"/>
      <c r="G149" s="24"/>
      <c r="H149" s="44"/>
      <c r="I149" s="45"/>
      <c r="J149" s="44"/>
      <c r="K149" s="24"/>
      <c r="L149" s="44"/>
      <c r="M149" s="24"/>
      <c r="N149" s="53"/>
    </row>
    <row r="150" spans="1:14" x14ac:dyDescent="0.25">
      <c r="A150" s="52"/>
      <c r="B150" s="24"/>
      <c r="C150" s="24"/>
      <c r="D150" s="44"/>
      <c r="E150" s="24"/>
      <c r="F150" s="44"/>
      <c r="G150" s="24"/>
      <c r="H150" s="44"/>
      <c r="I150" s="45"/>
      <c r="J150" s="44"/>
      <c r="K150" s="24"/>
      <c r="L150" s="44"/>
      <c r="M150" s="24"/>
      <c r="N150" s="53"/>
    </row>
    <row r="151" spans="1:14" x14ac:dyDescent="0.25">
      <c r="A151" s="52"/>
      <c r="B151" s="24"/>
      <c r="C151" s="24"/>
      <c r="D151" s="44"/>
      <c r="E151" s="24"/>
      <c r="F151" s="44"/>
      <c r="G151" s="24"/>
      <c r="H151" s="44"/>
      <c r="I151" s="45"/>
      <c r="J151" s="44"/>
      <c r="K151" s="24"/>
      <c r="L151" s="44"/>
      <c r="M151" s="24"/>
      <c r="N151" s="53"/>
    </row>
    <row r="152" spans="1:14" x14ac:dyDescent="0.25">
      <c r="A152" s="52"/>
      <c r="B152" s="24"/>
      <c r="C152" s="24"/>
      <c r="D152" s="44"/>
      <c r="E152" s="24"/>
      <c r="F152" s="44"/>
      <c r="G152" s="24"/>
      <c r="H152" s="44"/>
      <c r="I152" s="45"/>
      <c r="J152" s="44"/>
      <c r="K152" s="24"/>
      <c r="L152" s="44"/>
      <c r="M152" s="24"/>
      <c r="N152" s="53"/>
    </row>
    <row r="153" spans="1:14" x14ac:dyDescent="0.25">
      <c r="A153" s="52"/>
      <c r="B153" s="24"/>
      <c r="C153" s="24"/>
      <c r="D153" s="44"/>
      <c r="E153" s="24"/>
      <c r="F153" s="44"/>
      <c r="G153" s="24"/>
      <c r="H153" s="44"/>
      <c r="I153" s="45"/>
      <c r="J153" s="44"/>
      <c r="K153" s="24"/>
      <c r="L153" s="44"/>
      <c r="M153" s="24"/>
      <c r="N153" s="53"/>
    </row>
    <row r="154" spans="1:14" x14ac:dyDescent="0.25">
      <c r="A154" s="52"/>
      <c r="B154" s="24"/>
      <c r="C154" s="24"/>
      <c r="D154" s="44"/>
      <c r="E154" s="24"/>
      <c r="F154" s="44"/>
      <c r="G154" s="24"/>
      <c r="H154" s="44"/>
      <c r="I154" s="45"/>
      <c r="J154" s="44"/>
      <c r="K154" s="24"/>
      <c r="L154" s="44"/>
      <c r="M154" s="24"/>
      <c r="N154" s="53"/>
    </row>
    <row r="155" spans="1:14" x14ac:dyDescent="0.25">
      <c r="A155" s="52"/>
      <c r="B155" s="24"/>
      <c r="C155" s="24"/>
      <c r="D155" s="44"/>
      <c r="E155" s="24"/>
      <c r="F155" s="44"/>
      <c r="G155" s="24"/>
      <c r="H155" s="44"/>
      <c r="I155" s="45"/>
      <c r="J155" s="44"/>
      <c r="K155" s="24"/>
      <c r="L155" s="44"/>
      <c r="M155" s="24"/>
      <c r="N155" s="53"/>
    </row>
    <row r="156" spans="1:14" x14ac:dyDescent="0.25">
      <c r="A156" s="52"/>
      <c r="B156" s="24"/>
      <c r="C156" s="24"/>
      <c r="D156" s="44"/>
      <c r="E156" s="24"/>
      <c r="F156" s="44"/>
      <c r="G156" s="24"/>
      <c r="H156" s="44"/>
      <c r="I156" s="45"/>
      <c r="J156" s="44"/>
      <c r="K156" s="24"/>
      <c r="L156" s="44"/>
      <c r="M156" s="24"/>
      <c r="N156" s="53"/>
    </row>
    <row r="157" spans="1:14" x14ac:dyDescent="0.25">
      <c r="A157" s="52"/>
      <c r="B157" s="24"/>
      <c r="C157" s="24"/>
      <c r="D157" s="44"/>
      <c r="E157" s="24"/>
      <c r="F157" s="44"/>
      <c r="G157" s="24"/>
      <c r="H157" s="44"/>
      <c r="I157" s="45"/>
      <c r="J157" s="44"/>
      <c r="K157" s="24"/>
      <c r="L157" s="44"/>
      <c r="M157" s="24"/>
      <c r="N157" s="53"/>
    </row>
    <row r="158" spans="1:14" x14ac:dyDescent="0.25">
      <c r="A158" s="52"/>
      <c r="B158" s="24"/>
      <c r="C158" s="24"/>
      <c r="D158" s="44"/>
      <c r="E158" s="24"/>
      <c r="F158" s="44"/>
      <c r="G158" s="24"/>
      <c r="H158" s="44"/>
      <c r="I158" s="45"/>
      <c r="J158" s="44"/>
      <c r="K158" s="24"/>
      <c r="L158" s="44"/>
      <c r="M158" s="24"/>
      <c r="N158" s="53"/>
    </row>
    <row r="159" spans="1:14" x14ac:dyDescent="0.25">
      <c r="A159" s="52"/>
      <c r="B159" s="24"/>
      <c r="C159" s="24"/>
      <c r="D159" s="44"/>
      <c r="E159" s="24"/>
      <c r="F159" s="44"/>
      <c r="G159" s="24"/>
      <c r="H159" s="44"/>
      <c r="I159" s="45"/>
      <c r="J159" s="44"/>
      <c r="K159" s="24"/>
      <c r="L159" s="44"/>
      <c r="M159" s="24"/>
      <c r="N159" s="53"/>
    </row>
    <row r="160" spans="1:14" ht="13.5" thickBot="1" x14ac:dyDescent="0.3">
      <c r="A160" s="54"/>
      <c r="B160" s="55"/>
      <c r="C160" s="55"/>
      <c r="D160" s="56"/>
      <c r="E160" s="55"/>
      <c r="F160" s="56"/>
      <c r="G160" s="55"/>
      <c r="H160" s="56"/>
      <c r="I160" s="57"/>
      <c r="J160" s="56"/>
      <c r="K160" s="55"/>
      <c r="L160" s="56"/>
      <c r="M160" s="55"/>
      <c r="N160" s="58"/>
    </row>
  </sheetData>
  <mergeCells count="11">
    <mergeCell ref="K7:L7"/>
    <mergeCell ref="B3:L3"/>
    <mergeCell ref="B4:M4"/>
    <mergeCell ref="B5:L5"/>
    <mergeCell ref="C7:C8"/>
    <mergeCell ref="D7:D8"/>
    <mergeCell ref="E7:E8"/>
    <mergeCell ref="F7:F8"/>
    <mergeCell ref="G7:H7"/>
    <mergeCell ref="I7:I8"/>
    <mergeCell ref="J7:J8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BO149"/>
  <sheetViews>
    <sheetView showGridLines="0" topLeftCell="A113" zoomScale="80" zoomScaleNormal="80" workbookViewId="0">
      <selection activeCell="A150" sqref="A150"/>
    </sheetView>
  </sheetViews>
  <sheetFormatPr baseColWidth="10" defaultRowHeight="12.75" outlineLevelRow="1" x14ac:dyDescent="0.25"/>
  <cols>
    <col min="1" max="1" width="9" style="35" customWidth="1"/>
    <col min="2" max="2" width="6" style="35" customWidth="1"/>
    <col min="3" max="3" width="48.28515625" style="35" customWidth="1"/>
    <col min="4" max="4" width="16.42578125" style="35" customWidth="1"/>
    <col min="5" max="5" width="12.42578125" style="36" customWidth="1"/>
    <col min="6" max="6" width="16.42578125" style="35" customWidth="1"/>
    <col min="7" max="7" width="7.7109375" style="36" bestFit="1" customWidth="1"/>
    <col min="8" max="8" width="14.85546875" style="35" bestFit="1" customWidth="1"/>
    <col min="9" max="9" width="11.5703125" style="36" bestFit="1" customWidth="1"/>
    <col min="10" max="10" width="16.42578125" style="37" customWidth="1"/>
    <col min="11" max="11" width="12.42578125" style="36" customWidth="1"/>
    <col min="12" max="12" width="15" style="35" bestFit="1" customWidth="1"/>
    <col min="13" max="13" width="11.42578125" style="36"/>
    <col min="14" max="14" width="2.140625" style="35" customWidth="1"/>
    <col min="15" max="16384" width="11.42578125" style="35"/>
  </cols>
  <sheetData>
    <row r="1" spans="1:67" s="3" customFormat="1" x14ac:dyDescent="0.25">
      <c r="A1" s="35"/>
      <c r="B1" s="35"/>
      <c r="C1" s="35"/>
      <c r="D1" s="35"/>
      <c r="E1" s="36"/>
      <c r="F1" s="35"/>
      <c r="G1" s="36"/>
      <c r="H1" s="35"/>
      <c r="I1" s="36"/>
      <c r="J1" s="37"/>
      <c r="K1" s="36"/>
      <c r="L1" s="35"/>
      <c r="M1" s="36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</row>
    <row r="2" spans="1:67" ht="13.5" thickBot="1" x14ac:dyDescent="0.3"/>
    <row r="3" spans="1:67" s="3" customFormat="1" ht="15" x14ac:dyDescent="0.25">
      <c r="A3" s="35"/>
      <c r="B3" s="26"/>
      <c r="C3" s="38"/>
      <c r="D3" s="38"/>
      <c r="E3" s="39"/>
      <c r="F3" s="38"/>
      <c r="G3" s="39"/>
      <c r="H3" s="38"/>
      <c r="I3" s="39"/>
      <c r="J3" s="40"/>
      <c r="K3" s="39"/>
      <c r="L3" s="38"/>
      <c r="M3" s="39"/>
      <c r="N3" s="38"/>
      <c r="O3" s="27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</row>
    <row r="4" spans="1:67" s="3" customFormat="1" ht="15.75" x14ac:dyDescent="0.25">
      <c r="A4" s="35"/>
      <c r="B4" s="28"/>
      <c r="C4" s="249" t="s">
        <v>0</v>
      </c>
      <c r="D4" s="249"/>
      <c r="E4" s="249"/>
      <c r="F4" s="249"/>
      <c r="G4" s="249"/>
      <c r="H4" s="249"/>
      <c r="I4" s="249"/>
      <c r="J4" s="249"/>
      <c r="K4" s="249"/>
      <c r="L4" s="249"/>
      <c r="M4" s="249"/>
      <c r="N4" s="41"/>
      <c r="O4" s="29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</row>
    <row r="5" spans="1:67" s="3" customFormat="1" ht="15.75" x14ac:dyDescent="0.25">
      <c r="A5" s="35"/>
      <c r="B5" s="28"/>
      <c r="C5" s="250" t="s">
        <v>1</v>
      </c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9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</row>
    <row r="6" spans="1:67" s="3" customFormat="1" ht="15.75" x14ac:dyDescent="0.25">
      <c r="A6" s="35"/>
      <c r="B6" s="28"/>
      <c r="C6" s="250" t="s">
        <v>2</v>
      </c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41"/>
      <c r="O6" s="29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</row>
    <row r="7" spans="1:67" s="3" customFormat="1" ht="8.25" customHeight="1" x14ac:dyDescent="0.25">
      <c r="A7" s="35"/>
      <c r="B7" s="28"/>
      <c r="C7" s="6"/>
      <c r="D7" s="6"/>
      <c r="E7" s="20"/>
      <c r="F7" s="4"/>
      <c r="G7" s="20"/>
      <c r="H7" s="4"/>
      <c r="I7" s="20"/>
      <c r="J7" s="7"/>
      <c r="K7" s="20"/>
      <c r="L7" s="4"/>
      <c r="M7" s="20"/>
      <c r="N7" s="4"/>
      <c r="O7" s="29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</row>
    <row r="8" spans="1:67" s="3" customFormat="1" ht="15" customHeight="1" x14ac:dyDescent="0.25">
      <c r="A8" s="35"/>
      <c r="B8" s="28"/>
      <c r="C8" s="4"/>
      <c r="D8" s="251" t="s">
        <v>58</v>
      </c>
      <c r="E8" s="246" t="s">
        <v>50</v>
      </c>
      <c r="F8" s="253" t="s">
        <v>57</v>
      </c>
      <c r="G8" s="246" t="s">
        <v>50</v>
      </c>
      <c r="H8" s="246" t="s">
        <v>51</v>
      </c>
      <c r="I8" s="246"/>
      <c r="J8" s="244" t="s">
        <v>54</v>
      </c>
      <c r="K8" s="246" t="s">
        <v>50</v>
      </c>
      <c r="L8" s="246" t="s">
        <v>55</v>
      </c>
      <c r="M8" s="248"/>
      <c r="N8" s="4"/>
      <c r="O8" s="29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</row>
    <row r="9" spans="1:67" s="3" customFormat="1" x14ac:dyDescent="0.25">
      <c r="A9" s="35"/>
      <c r="B9" s="28"/>
      <c r="C9" s="5"/>
      <c r="D9" s="252"/>
      <c r="E9" s="247"/>
      <c r="F9" s="254"/>
      <c r="G9" s="247"/>
      <c r="H9" s="99" t="s">
        <v>52</v>
      </c>
      <c r="I9" s="99" t="s">
        <v>53</v>
      </c>
      <c r="J9" s="245"/>
      <c r="K9" s="247"/>
      <c r="L9" s="99" t="s">
        <v>52</v>
      </c>
      <c r="M9" s="16" t="s">
        <v>53</v>
      </c>
      <c r="N9" s="4"/>
      <c r="O9" s="29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</row>
    <row r="10" spans="1:67" s="3" customFormat="1" hidden="1" outlineLevel="1" x14ac:dyDescent="0.25">
      <c r="A10" s="35"/>
      <c r="B10" s="28"/>
      <c r="C10" s="8" t="s">
        <v>3</v>
      </c>
      <c r="D10" s="4"/>
      <c r="E10" s="20"/>
      <c r="F10" s="4"/>
      <c r="G10" s="20"/>
      <c r="H10" s="4"/>
      <c r="I10" s="20"/>
      <c r="J10" s="9"/>
      <c r="K10" s="20"/>
      <c r="L10" s="4"/>
      <c r="M10" s="20"/>
      <c r="N10" s="4"/>
      <c r="O10" s="29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</row>
    <row r="11" spans="1:67" s="3" customFormat="1" hidden="1" outlineLevel="1" x14ac:dyDescent="0.25">
      <c r="A11" s="35"/>
      <c r="B11" s="28"/>
      <c r="C11" s="4" t="s">
        <v>4</v>
      </c>
      <c r="D11" s="11">
        <v>565074850</v>
      </c>
      <c r="E11" s="21">
        <f>D11/D$20</f>
        <v>0.54807639435957789</v>
      </c>
      <c r="F11" s="11">
        <f>1246375074+17003120+5290100</f>
        <v>1268668294</v>
      </c>
      <c r="G11" s="21">
        <f>F11/F$20</f>
        <v>0.66813633686107288</v>
      </c>
      <c r="H11" s="11">
        <f>+D11-F11</f>
        <v>-703593444</v>
      </c>
      <c r="I11" s="21">
        <f>D11/F11-1</f>
        <v>-0.55459212414115866</v>
      </c>
      <c r="J11" s="42">
        <v>1544573000</v>
      </c>
      <c r="K11" s="21">
        <f>J11/J$20</f>
        <v>0.59566952042296051</v>
      </c>
      <c r="L11" s="12">
        <f>+D11-J11</f>
        <v>-979498150</v>
      </c>
      <c r="M11" s="21">
        <f>IFERROR(D11/J11,0)</f>
        <v>0.36584535013884095</v>
      </c>
      <c r="N11" s="4"/>
      <c r="O11" s="29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</row>
    <row r="12" spans="1:67" s="3" customFormat="1" hidden="1" outlineLevel="1" x14ac:dyDescent="0.25">
      <c r="A12" s="35"/>
      <c r="B12" s="28"/>
      <c r="C12" s="4" t="s">
        <v>5</v>
      </c>
      <c r="D12" s="11">
        <v>146814600</v>
      </c>
      <c r="E12" s="21">
        <f t="shared" ref="E12:G20" si="0">D12/D$20</f>
        <v>0.14239815593871094</v>
      </c>
      <c r="F12" s="11">
        <f>252348000+143000</f>
        <v>252491000</v>
      </c>
      <c r="G12" s="21">
        <f t="shared" si="0"/>
        <v>0.13297282877504399</v>
      </c>
      <c r="H12" s="11">
        <f t="shared" ref="H12:H67" si="1">+D12-F12</f>
        <v>-105676400</v>
      </c>
      <c r="I12" s="21">
        <f t="shared" ref="I12:I20" si="2">D12/F12-1</f>
        <v>-0.41853531413000855</v>
      </c>
      <c r="J12" s="42">
        <v>439093200</v>
      </c>
      <c r="K12" s="21">
        <f t="shared" ref="K12:K20" si="3">J12/J$20</f>
        <v>0.16933769777471386</v>
      </c>
      <c r="L12" s="12">
        <f t="shared" ref="L12:L65" si="4">+D12-J12</f>
        <v>-292278600</v>
      </c>
      <c r="M12" s="21">
        <f t="shared" ref="M12:M67" si="5">IFERROR(D12/J12,0)</f>
        <v>0.3343586281910082</v>
      </c>
      <c r="N12" s="4"/>
      <c r="O12" s="29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</row>
    <row r="13" spans="1:67" s="3" customFormat="1" hidden="1" outlineLevel="1" x14ac:dyDescent="0.25">
      <c r="A13" s="35"/>
      <c r="B13" s="28"/>
      <c r="C13" s="4" t="s">
        <v>6</v>
      </c>
      <c r="D13" s="11">
        <v>66625569</v>
      </c>
      <c r="E13" s="21">
        <f t="shared" si="0"/>
        <v>6.462135348914444E-2</v>
      </c>
      <c r="F13" s="11">
        <v>43537163</v>
      </c>
      <c r="G13" s="21">
        <f t="shared" si="0"/>
        <v>2.2928578527354162E-2</v>
      </c>
      <c r="H13" s="11">
        <f t="shared" si="1"/>
        <v>23088406</v>
      </c>
      <c r="I13" s="21">
        <f t="shared" si="2"/>
        <v>0.5303148944270899</v>
      </c>
      <c r="J13" s="42">
        <v>286337046</v>
      </c>
      <c r="K13" s="21">
        <f t="shared" si="3"/>
        <v>0.11042679813135876</v>
      </c>
      <c r="L13" s="12">
        <f t="shared" si="4"/>
        <v>-219711477</v>
      </c>
      <c r="M13" s="21">
        <f t="shared" si="5"/>
        <v>0.23268232291535201</v>
      </c>
      <c r="N13" s="4"/>
      <c r="O13" s="29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</row>
    <row r="14" spans="1:67" s="3" customFormat="1" hidden="1" outlineLevel="1" x14ac:dyDescent="0.25">
      <c r="A14" s="35"/>
      <c r="B14" s="28"/>
      <c r="C14" s="4" t="s">
        <v>7</v>
      </c>
      <c r="D14" s="11">
        <v>70018</v>
      </c>
      <c r="E14" s="21">
        <f t="shared" si="0"/>
        <v>6.7911734136228013E-5</v>
      </c>
      <c r="F14" s="11">
        <v>313504</v>
      </c>
      <c r="G14" s="21">
        <f t="shared" si="0"/>
        <v>1.6510494913597469E-4</v>
      </c>
      <c r="H14" s="11">
        <f t="shared" si="1"/>
        <v>-243486</v>
      </c>
      <c r="I14" s="21">
        <f t="shared" si="2"/>
        <v>-0.77665994692252727</v>
      </c>
      <c r="J14" s="42">
        <v>0</v>
      </c>
      <c r="K14" s="21">
        <f t="shared" si="3"/>
        <v>0</v>
      </c>
      <c r="L14" s="12">
        <f t="shared" si="4"/>
        <v>70018</v>
      </c>
      <c r="M14" s="21">
        <f t="shared" si="5"/>
        <v>0</v>
      </c>
      <c r="N14" s="4"/>
      <c r="O14" s="29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</row>
    <row r="15" spans="1:67" s="3" customFormat="1" hidden="1" outlineLevel="1" x14ac:dyDescent="0.25">
      <c r="A15" s="35"/>
      <c r="B15" s="28"/>
      <c r="C15" s="4" t="s">
        <v>8</v>
      </c>
      <c r="D15" s="11">
        <v>98829500</v>
      </c>
      <c r="E15" s="21">
        <f t="shared" si="0"/>
        <v>9.5856533017457612E-2</v>
      </c>
      <c r="F15" s="11">
        <v>205454900</v>
      </c>
      <c r="G15" s="21">
        <f t="shared" si="0"/>
        <v>0.10820155664437062</v>
      </c>
      <c r="H15" s="11">
        <f t="shared" si="1"/>
        <v>-106625400</v>
      </c>
      <c r="I15" s="21">
        <f t="shared" si="2"/>
        <v>-0.51897229026905656</v>
      </c>
      <c r="J15" s="42">
        <v>323000000</v>
      </c>
      <c r="K15" s="21">
        <f t="shared" si="3"/>
        <v>0.12456598367096683</v>
      </c>
      <c r="L15" s="12">
        <f t="shared" si="4"/>
        <v>-224170500</v>
      </c>
      <c r="M15" s="21">
        <f t="shared" si="5"/>
        <v>0.30597368421052634</v>
      </c>
      <c r="N15" s="4"/>
      <c r="O15" s="29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</row>
    <row r="16" spans="1:67" s="3" customFormat="1" hidden="1" outlineLevel="1" x14ac:dyDescent="0.25">
      <c r="A16" s="35"/>
      <c r="B16" s="28"/>
      <c r="C16" s="4" t="s">
        <v>9</v>
      </c>
      <c r="D16" s="11">
        <v>1042500</v>
      </c>
      <c r="E16" s="21">
        <f t="shared" si="0"/>
        <v>1.0111397474509086E-3</v>
      </c>
      <c r="F16" s="11">
        <v>2657700</v>
      </c>
      <c r="G16" s="21">
        <f t="shared" si="0"/>
        <v>1.3996613227221341E-3</v>
      </c>
      <c r="H16" s="11">
        <f t="shared" si="1"/>
        <v>-1615200</v>
      </c>
      <c r="I16" s="21">
        <f t="shared" si="2"/>
        <v>-0.6077435376453324</v>
      </c>
      <c r="J16" s="42">
        <v>0</v>
      </c>
      <c r="K16" s="21">
        <f t="shared" si="3"/>
        <v>0</v>
      </c>
      <c r="L16" s="12">
        <f t="shared" si="4"/>
        <v>1042500</v>
      </c>
      <c r="M16" s="21">
        <f t="shared" si="5"/>
        <v>0</v>
      </c>
      <c r="N16" s="4"/>
      <c r="O16" s="29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</row>
    <row r="17" spans="1:67" s="3" customFormat="1" hidden="1" outlineLevel="1" x14ac:dyDescent="0.25">
      <c r="A17" s="35"/>
      <c r="B17" s="28"/>
      <c r="C17" s="4" t="s">
        <v>10</v>
      </c>
      <c r="D17" s="11">
        <v>0</v>
      </c>
      <c r="E17" s="21">
        <f t="shared" si="0"/>
        <v>0</v>
      </c>
      <c r="F17" s="11">
        <v>69845500</v>
      </c>
      <c r="G17" s="21">
        <f t="shared" si="0"/>
        <v>3.6783702041685976E-2</v>
      </c>
      <c r="H17" s="11">
        <f t="shared" si="1"/>
        <v>-69845500</v>
      </c>
      <c r="I17" s="21">
        <f t="shared" si="2"/>
        <v>-1</v>
      </c>
      <c r="J17" s="42">
        <v>0</v>
      </c>
      <c r="K17" s="21">
        <f t="shared" si="3"/>
        <v>0</v>
      </c>
      <c r="L17" s="12">
        <f t="shared" si="4"/>
        <v>0</v>
      </c>
      <c r="M17" s="21">
        <f t="shared" si="5"/>
        <v>0</v>
      </c>
      <c r="N17" s="4"/>
      <c r="O17" s="29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</row>
    <row r="18" spans="1:67" s="3" customFormat="1" hidden="1" outlineLevel="1" x14ac:dyDescent="0.25">
      <c r="A18" s="35"/>
      <c r="B18" s="28"/>
      <c r="C18" s="4" t="s">
        <v>11</v>
      </c>
      <c r="D18" s="11">
        <v>51181000</v>
      </c>
      <c r="E18" s="21">
        <f t="shared" si="0"/>
        <v>4.9641384570057505E-2</v>
      </c>
      <c r="F18" s="11">
        <v>0</v>
      </c>
      <c r="G18" s="21">
        <f t="shared" si="0"/>
        <v>0</v>
      </c>
      <c r="H18" s="11">
        <f t="shared" si="1"/>
        <v>51181000</v>
      </c>
      <c r="I18" s="21">
        <f>IFERROR(F18/F18-1,0)</f>
        <v>0</v>
      </c>
      <c r="J18" s="42">
        <v>0</v>
      </c>
      <c r="K18" s="21">
        <f t="shared" si="3"/>
        <v>0</v>
      </c>
      <c r="L18" s="12">
        <f t="shared" si="4"/>
        <v>51181000</v>
      </c>
      <c r="M18" s="21">
        <f t="shared" si="5"/>
        <v>0</v>
      </c>
      <c r="N18" s="4"/>
      <c r="O18" s="29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</row>
    <row r="19" spans="1:67" s="3" customFormat="1" hidden="1" outlineLevel="1" x14ac:dyDescent="0.25">
      <c r="A19" s="35"/>
      <c r="B19" s="28"/>
      <c r="C19" s="4" t="s">
        <v>12</v>
      </c>
      <c r="D19" s="11">
        <v>101376719</v>
      </c>
      <c r="E19" s="21">
        <f t="shared" si="0"/>
        <v>9.8327127143464477E-2</v>
      </c>
      <c r="F19" s="11">
        <f>51749181+4099248</f>
        <v>55848429</v>
      </c>
      <c r="G19" s="21">
        <f t="shared" si="0"/>
        <v>2.941223087861429E-2</v>
      </c>
      <c r="H19" s="11">
        <f t="shared" si="1"/>
        <v>45528290</v>
      </c>
      <c r="I19" s="21">
        <f t="shared" si="2"/>
        <v>0.81521165080579072</v>
      </c>
      <c r="J19" s="91"/>
      <c r="K19" s="21">
        <f t="shared" si="3"/>
        <v>0</v>
      </c>
      <c r="L19" s="12">
        <f t="shared" si="4"/>
        <v>101376719</v>
      </c>
      <c r="M19" s="21">
        <f t="shared" si="5"/>
        <v>0</v>
      </c>
      <c r="N19" s="4"/>
      <c r="O19" s="29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</row>
    <row r="20" spans="1:67" s="3" customFormat="1" hidden="1" outlineLevel="1" x14ac:dyDescent="0.25">
      <c r="A20" s="35"/>
      <c r="B20" s="28"/>
      <c r="C20" s="17" t="s">
        <v>13</v>
      </c>
      <c r="D20" s="18">
        <f>SUM(D11:D19)</f>
        <v>1031014756</v>
      </c>
      <c r="E20" s="22">
        <f t="shared" si="0"/>
        <v>1</v>
      </c>
      <c r="F20" s="18">
        <f>SUM(F11:F19)</f>
        <v>1898816490</v>
      </c>
      <c r="G20" s="22">
        <f t="shared" si="0"/>
        <v>1</v>
      </c>
      <c r="H20" s="18">
        <f t="shared" si="1"/>
        <v>-867801734</v>
      </c>
      <c r="I20" s="22">
        <f t="shared" si="2"/>
        <v>-0.45702243401098752</v>
      </c>
      <c r="J20" s="19">
        <f>SUM(J11:J19)</f>
        <v>2593003246</v>
      </c>
      <c r="K20" s="22">
        <f t="shared" si="3"/>
        <v>1</v>
      </c>
      <c r="L20" s="19">
        <f>+D20-J20</f>
        <v>-1561988490</v>
      </c>
      <c r="M20" s="22">
        <f t="shared" si="5"/>
        <v>0.39761414012514507</v>
      </c>
      <c r="N20" s="4"/>
      <c r="O20" s="29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</row>
    <row r="21" spans="1:67" s="3" customFormat="1" collapsed="1" x14ac:dyDescent="0.25">
      <c r="A21" s="35"/>
      <c r="B21" s="28"/>
      <c r="C21" s="4"/>
      <c r="D21" s="11"/>
      <c r="E21" s="20"/>
      <c r="F21" s="11"/>
      <c r="G21" s="20"/>
      <c r="H21" s="11"/>
      <c r="I21" s="20"/>
      <c r="J21" s="42"/>
      <c r="K21" s="20"/>
      <c r="L21" s="12">
        <f t="shared" si="4"/>
        <v>0</v>
      </c>
      <c r="M21" s="21"/>
      <c r="N21" s="4"/>
      <c r="O21" s="29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</row>
    <row r="22" spans="1:67" s="3" customFormat="1" x14ac:dyDescent="0.25">
      <c r="A22" s="35"/>
      <c r="B22" s="28"/>
      <c r="C22" s="8" t="s">
        <v>14</v>
      </c>
      <c r="D22" s="11"/>
      <c r="E22" s="20"/>
      <c r="F22" s="11"/>
      <c r="G22" s="20"/>
      <c r="H22" s="11"/>
      <c r="I22" s="20"/>
      <c r="J22" s="42"/>
      <c r="K22" s="20"/>
      <c r="L22" s="12">
        <f t="shared" si="4"/>
        <v>0</v>
      </c>
      <c r="M22" s="21"/>
      <c r="N22" s="4"/>
      <c r="O22" s="29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</row>
    <row r="23" spans="1:67" s="3" customFormat="1" x14ac:dyDescent="0.25">
      <c r="A23" s="35"/>
      <c r="B23" s="28"/>
      <c r="C23" s="8" t="s">
        <v>15</v>
      </c>
      <c r="D23" s="11"/>
      <c r="E23" s="20"/>
      <c r="F23" s="11"/>
      <c r="G23" s="20"/>
      <c r="H23" s="11"/>
      <c r="I23" s="20"/>
      <c r="J23" s="42"/>
      <c r="K23" s="20"/>
      <c r="L23" s="12">
        <f t="shared" si="4"/>
        <v>0</v>
      </c>
      <c r="M23" s="21"/>
      <c r="N23" s="4"/>
      <c r="O23" s="29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</row>
    <row r="24" spans="1:67" s="3" customFormat="1" hidden="1" x14ac:dyDescent="0.25">
      <c r="A24" s="35"/>
      <c r="B24" s="28"/>
      <c r="C24" s="4" t="s">
        <v>16</v>
      </c>
      <c r="D24" s="11">
        <v>525632407</v>
      </c>
      <c r="E24" s="21">
        <f>D24/D$20</f>
        <v>0.50982045013524524</v>
      </c>
      <c r="F24" s="11">
        <v>648272495</v>
      </c>
      <c r="G24" s="21">
        <f>F24/F$20</f>
        <v>0.34140871348763147</v>
      </c>
      <c r="H24" s="11">
        <f t="shared" si="1"/>
        <v>-122640088</v>
      </c>
      <c r="I24" s="21">
        <f t="shared" ref="I24:I67" si="6">D24/F24-1</f>
        <v>-0.18917984172689606</v>
      </c>
      <c r="J24" s="42">
        <v>1145348184</v>
      </c>
      <c r="K24" s="21">
        <f>J24/J$20</f>
        <v>0.44170719252543506</v>
      </c>
      <c r="L24" s="12">
        <f t="shared" si="4"/>
        <v>-619715777</v>
      </c>
      <c r="M24" s="21">
        <f t="shared" si="5"/>
        <v>0.45892804855575692</v>
      </c>
      <c r="N24" s="4"/>
      <c r="O24" s="29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</row>
    <row r="25" spans="1:67" s="3" customFormat="1" x14ac:dyDescent="0.25">
      <c r="A25" s="35"/>
      <c r="B25" s="28"/>
      <c r="C25" s="4" t="s">
        <v>17</v>
      </c>
      <c r="D25" s="11">
        <v>22190865</v>
      </c>
      <c r="E25" s="21">
        <f t="shared" ref="E25:G67" si="7">D25/D$20</f>
        <v>2.1523324347066861E-2</v>
      </c>
      <c r="F25" s="11">
        <v>30762888</v>
      </c>
      <c r="G25" s="21">
        <f t="shared" si="7"/>
        <v>1.620108534026898E-2</v>
      </c>
      <c r="H25" s="11">
        <f t="shared" si="1"/>
        <v>-8572023</v>
      </c>
      <c r="I25" s="21">
        <f t="shared" si="6"/>
        <v>-0.27864818803748204</v>
      </c>
      <c r="J25" s="42">
        <v>22063000</v>
      </c>
      <c r="K25" s="21">
        <f t="shared" ref="K25:K47" si="8">J25/J$20</f>
        <v>8.5086665564474955E-3</v>
      </c>
      <c r="L25" s="12">
        <f t="shared" si="4"/>
        <v>127865</v>
      </c>
      <c r="M25" s="21">
        <f t="shared" si="5"/>
        <v>1.0057954493949146</v>
      </c>
      <c r="N25" s="4"/>
      <c r="O25" s="29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</row>
    <row r="26" spans="1:67" s="3" customFormat="1" x14ac:dyDescent="0.25">
      <c r="A26" s="35"/>
      <c r="B26" s="28"/>
      <c r="C26" s="4" t="s">
        <v>18</v>
      </c>
      <c r="D26" s="11">
        <v>22840040</v>
      </c>
      <c r="E26" s="21">
        <f t="shared" si="7"/>
        <v>2.2152971009466327E-2</v>
      </c>
      <c r="F26" s="11">
        <v>6779828</v>
      </c>
      <c r="G26" s="21">
        <f t="shared" si="7"/>
        <v>3.5705546247915723E-3</v>
      </c>
      <c r="H26" s="11">
        <f t="shared" si="1"/>
        <v>16060212</v>
      </c>
      <c r="I26" s="21">
        <f t="shared" si="6"/>
        <v>2.3688229258913354</v>
      </c>
      <c r="J26" s="42">
        <v>32063000</v>
      </c>
      <c r="K26" s="21">
        <f t="shared" si="8"/>
        <v>1.2365198558644612E-2</v>
      </c>
      <c r="L26" s="12">
        <f t="shared" si="4"/>
        <v>-9222960</v>
      </c>
      <c r="M26" s="21">
        <f t="shared" si="5"/>
        <v>0.71234881327386712</v>
      </c>
      <c r="N26" s="4"/>
      <c r="O26" s="29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</row>
    <row r="27" spans="1:67" s="3" customFormat="1" x14ac:dyDescent="0.25">
      <c r="A27" s="35"/>
      <c r="B27" s="28"/>
      <c r="C27" s="4" t="s">
        <v>19</v>
      </c>
      <c r="D27" s="11">
        <v>2193724</v>
      </c>
      <c r="E27" s="21">
        <f t="shared" si="7"/>
        <v>2.1277328837764958E-3</v>
      </c>
      <c r="F27" s="11">
        <v>7213286</v>
      </c>
      <c r="G27" s="21">
        <f t="shared" si="7"/>
        <v>3.798832608621384E-3</v>
      </c>
      <c r="H27" s="11">
        <f t="shared" si="1"/>
        <v>-5019562</v>
      </c>
      <c r="I27" s="21">
        <f t="shared" si="6"/>
        <v>-0.6958773019675083</v>
      </c>
      <c r="J27" s="42">
        <v>3181000</v>
      </c>
      <c r="K27" s="21">
        <f t="shared" si="8"/>
        <v>1.2267628298989026E-3</v>
      </c>
      <c r="L27" s="12">
        <f t="shared" si="4"/>
        <v>-987276</v>
      </c>
      <c r="M27" s="21">
        <f t="shared" si="5"/>
        <v>0.6896334486010689</v>
      </c>
      <c r="N27" s="4"/>
      <c r="O27" s="29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</row>
    <row r="28" spans="1:67" s="3" customFormat="1" x14ac:dyDescent="0.25">
      <c r="A28" s="35"/>
      <c r="B28" s="28"/>
      <c r="C28" s="4" t="s">
        <v>20</v>
      </c>
      <c r="D28" s="11">
        <v>3042553</v>
      </c>
      <c r="E28" s="21">
        <f t="shared" si="7"/>
        <v>2.9510275990657113E-3</v>
      </c>
      <c r="F28" s="11">
        <v>34271474</v>
      </c>
      <c r="G28" s="21">
        <f t="shared" si="7"/>
        <v>1.8048860529960953E-2</v>
      </c>
      <c r="H28" s="11">
        <f t="shared" si="1"/>
        <v>-31228921</v>
      </c>
      <c r="I28" s="21">
        <f t="shared" si="6"/>
        <v>-0.91122199762986555</v>
      </c>
      <c r="J28" s="42">
        <v>28000000</v>
      </c>
      <c r="K28" s="21">
        <f t="shared" si="8"/>
        <v>1.0798289606151925E-2</v>
      </c>
      <c r="L28" s="12">
        <f t="shared" si="4"/>
        <v>-24957447</v>
      </c>
      <c r="M28" s="21">
        <f t="shared" si="5"/>
        <v>0.10866260714285714</v>
      </c>
      <c r="N28" s="4"/>
      <c r="O28" s="29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</row>
    <row r="29" spans="1:67" s="3" customFormat="1" x14ac:dyDescent="0.25">
      <c r="A29" s="35"/>
      <c r="B29" s="28"/>
      <c r="C29" s="4" t="s">
        <v>21</v>
      </c>
      <c r="D29" s="11">
        <v>65207430</v>
      </c>
      <c r="E29" s="21">
        <f t="shared" si="7"/>
        <v>6.3245874630333612E-2</v>
      </c>
      <c r="F29" s="11">
        <f>91980734+33017</f>
        <v>92013751</v>
      </c>
      <c r="G29" s="21">
        <f t="shared" si="7"/>
        <v>4.8458474783942919E-2</v>
      </c>
      <c r="H29" s="11">
        <f t="shared" si="1"/>
        <v>-26806321</v>
      </c>
      <c r="I29" s="21">
        <f t="shared" si="6"/>
        <v>-0.29132951008594354</v>
      </c>
      <c r="J29" s="42">
        <v>52823227</v>
      </c>
      <c r="K29" s="21">
        <f t="shared" si="8"/>
        <v>2.0371446538482274E-2</v>
      </c>
      <c r="L29" s="12">
        <f t="shared" si="4"/>
        <v>12384203</v>
      </c>
      <c r="M29" s="21">
        <f t="shared" si="5"/>
        <v>1.2344461651311081</v>
      </c>
      <c r="N29" s="4"/>
      <c r="O29" s="29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</row>
    <row r="30" spans="1:67" s="3" customFormat="1" x14ac:dyDescent="0.25">
      <c r="A30" s="35"/>
      <c r="B30" s="28"/>
      <c r="C30" s="4" t="s">
        <v>22</v>
      </c>
      <c r="D30" s="11">
        <v>18150811</v>
      </c>
      <c r="E30" s="21">
        <f t="shared" si="7"/>
        <v>1.7604802350665871E-2</v>
      </c>
      <c r="F30" s="11">
        <v>34169184</v>
      </c>
      <c r="G30" s="21">
        <f t="shared" si="7"/>
        <v>1.7994990131984794E-2</v>
      </c>
      <c r="H30" s="11">
        <f t="shared" si="1"/>
        <v>-16018373</v>
      </c>
      <c r="I30" s="21">
        <f t="shared" si="6"/>
        <v>-0.46879588930189264</v>
      </c>
      <c r="J30" s="42">
        <v>10000000</v>
      </c>
      <c r="K30" s="21">
        <f t="shared" si="8"/>
        <v>3.8565320021971155E-3</v>
      </c>
      <c r="L30" s="12">
        <f t="shared" si="4"/>
        <v>8150811</v>
      </c>
      <c r="M30" s="21">
        <f t="shared" si="5"/>
        <v>1.8150811</v>
      </c>
      <c r="N30" s="4"/>
      <c r="O30" s="29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</row>
    <row r="31" spans="1:67" s="3" customFormat="1" x14ac:dyDescent="0.25">
      <c r="A31" s="35"/>
      <c r="B31" s="28"/>
      <c r="C31" s="4" t="s">
        <v>23</v>
      </c>
      <c r="D31" s="11">
        <v>15519920</v>
      </c>
      <c r="E31" s="21">
        <f t="shared" si="7"/>
        <v>1.5053053227106285E-2</v>
      </c>
      <c r="F31" s="11">
        <v>22474306</v>
      </c>
      <c r="G31" s="21">
        <f t="shared" si="7"/>
        <v>1.1835954721459156E-2</v>
      </c>
      <c r="H31" s="11">
        <f t="shared" si="1"/>
        <v>-6954386</v>
      </c>
      <c r="I31" s="21">
        <f t="shared" si="6"/>
        <v>-0.30943718573556844</v>
      </c>
      <c r="J31" s="42">
        <v>24000000</v>
      </c>
      <c r="K31" s="21">
        <f t="shared" si="8"/>
        <v>9.2556768052730783E-3</v>
      </c>
      <c r="L31" s="12">
        <f t="shared" si="4"/>
        <v>-8480080</v>
      </c>
      <c r="M31" s="21">
        <f t="shared" si="5"/>
        <v>0.64666333333333337</v>
      </c>
      <c r="N31" s="4"/>
      <c r="O31" s="29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</row>
    <row r="32" spans="1:67" s="3" customFormat="1" x14ac:dyDescent="0.25">
      <c r="A32" s="35"/>
      <c r="B32" s="28"/>
      <c r="C32" s="4" t="s">
        <v>24</v>
      </c>
      <c r="D32" s="11">
        <v>231900</v>
      </c>
      <c r="E32" s="21">
        <f t="shared" si="7"/>
        <v>2.2492403590778482E-4</v>
      </c>
      <c r="F32" s="11">
        <v>9860000</v>
      </c>
      <c r="G32" s="21">
        <f t="shared" si="7"/>
        <v>5.1927082221621115E-3</v>
      </c>
      <c r="H32" s="11">
        <f t="shared" si="1"/>
        <v>-9628100</v>
      </c>
      <c r="I32" s="21">
        <f t="shared" si="6"/>
        <v>-0.97648073022312376</v>
      </c>
      <c r="J32" s="42">
        <v>4300000</v>
      </c>
      <c r="K32" s="21">
        <f t="shared" si="8"/>
        <v>1.6583087609447597E-3</v>
      </c>
      <c r="L32" s="12">
        <f t="shared" si="4"/>
        <v>-4068100</v>
      </c>
      <c r="M32" s="21">
        <f t="shared" si="5"/>
        <v>5.3930232558139536E-2</v>
      </c>
      <c r="N32" s="4"/>
      <c r="O32" s="29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</row>
    <row r="33" spans="1:67" s="3" customFormat="1" x14ac:dyDescent="0.25">
      <c r="A33" s="35"/>
      <c r="B33" s="28"/>
      <c r="C33" s="4" t="s">
        <v>25</v>
      </c>
      <c r="D33" s="11">
        <v>2294297</v>
      </c>
      <c r="E33" s="21">
        <f t="shared" si="7"/>
        <v>2.2252804692157093E-3</v>
      </c>
      <c r="F33" s="11">
        <v>6383520</v>
      </c>
      <c r="G33" s="21">
        <f t="shared" si="7"/>
        <v>3.3618414594661539E-3</v>
      </c>
      <c r="H33" s="11">
        <f t="shared" si="1"/>
        <v>-4089223</v>
      </c>
      <c r="I33" s="21">
        <f t="shared" si="6"/>
        <v>-0.64059061458255007</v>
      </c>
      <c r="J33" s="42">
        <v>6063000</v>
      </c>
      <c r="K33" s="21">
        <f t="shared" si="8"/>
        <v>2.3382153529321113E-3</v>
      </c>
      <c r="L33" s="12">
        <f t="shared" si="4"/>
        <v>-3768703</v>
      </c>
      <c r="M33" s="21">
        <f t="shared" si="5"/>
        <v>0.37840953323437243</v>
      </c>
      <c r="N33" s="4"/>
      <c r="O33" s="29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</row>
    <row r="34" spans="1:67" s="3" customFormat="1" x14ac:dyDescent="0.25">
      <c r="A34" s="35"/>
      <c r="B34" s="28"/>
      <c r="C34" s="4" t="s">
        <v>26</v>
      </c>
      <c r="D34" s="11">
        <v>232328268</v>
      </c>
      <c r="E34" s="21">
        <f t="shared" si="7"/>
        <v>0.22533942084530165</v>
      </c>
      <c r="F34" s="11">
        <v>39814884</v>
      </c>
      <c r="G34" s="21">
        <f t="shared" si="7"/>
        <v>2.0968263236433131E-2</v>
      </c>
      <c r="H34" s="11">
        <f t="shared" si="1"/>
        <v>192513384</v>
      </c>
      <c r="I34" s="21">
        <f t="shared" si="6"/>
        <v>4.8352114751860134</v>
      </c>
      <c r="J34" s="42">
        <v>82675000</v>
      </c>
      <c r="K34" s="21">
        <f t="shared" si="8"/>
        <v>3.1883878328164653E-2</v>
      </c>
      <c r="L34" s="12">
        <f t="shared" si="4"/>
        <v>149653268</v>
      </c>
      <c r="M34" s="21">
        <f t="shared" si="5"/>
        <v>2.8101393166011492</v>
      </c>
      <c r="N34" s="4"/>
      <c r="O34" s="29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</row>
    <row r="35" spans="1:67" s="3" customFormat="1" x14ac:dyDescent="0.25">
      <c r="A35" s="35"/>
      <c r="B35" s="28"/>
      <c r="C35" s="4" t="s">
        <v>27</v>
      </c>
      <c r="D35" s="11">
        <v>33155748</v>
      </c>
      <c r="E35" s="21">
        <f t="shared" si="7"/>
        <v>3.2158364181550082E-2</v>
      </c>
      <c r="F35" s="11">
        <v>31275570</v>
      </c>
      <c r="G35" s="21">
        <f t="shared" si="7"/>
        <v>1.6471086155355644E-2</v>
      </c>
      <c r="H35" s="11">
        <f t="shared" si="1"/>
        <v>1880178</v>
      </c>
      <c r="I35" s="21">
        <f t="shared" si="6"/>
        <v>6.0116506269909609E-2</v>
      </c>
      <c r="J35" s="91">
        <v>118000000</v>
      </c>
      <c r="K35" s="21">
        <f t="shared" si="8"/>
        <v>4.5507077625925964E-2</v>
      </c>
      <c r="L35" s="12">
        <f t="shared" si="4"/>
        <v>-84844252</v>
      </c>
      <c r="M35" s="21">
        <f t="shared" si="5"/>
        <v>0.2809809152542373</v>
      </c>
      <c r="N35" s="4"/>
      <c r="O35" s="29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</row>
    <row r="36" spans="1:67" s="3" customFormat="1" x14ac:dyDescent="0.25">
      <c r="A36" s="35"/>
      <c r="B36" s="28"/>
      <c r="C36" s="4" t="s">
        <v>28</v>
      </c>
      <c r="D36" s="11">
        <v>475200</v>
      </c>
      <c r="E36" s="21">
        <f t="shared" si="7"/>
        <v>4.6090513955747886E-4</v>
      </c>
      <c r="F36" s="11">
        <v>1230200</v>
      </c>
      <c r="G36" s="21">
        <f t="shared" si="7"/>
        <v>6.4787724694764998E-4</v>
      </c>
      <c r="H36" s="11">
        <f t="shared" si="1"/>
        <v>-755000</v>
      </c>
      <c r="I36" s="21">
        <f t="shared" si="6"/>
        <v>-0.61372134612258167</v>
      </c>
      <c r="J36" s="42">
        <v>1600000</v>
      </c>
      <c r="K36" s="21">
        <f t="shared" si="8"/>
        <v>6.1704512035153851E-4</v>
      </c>
      <c r="L36" s="12">
        <f t="shared" si="4"/>
        <v>-1124800</v>
      </c>
      <c r="M36" s="21">
        <f t="shared" si="5"/>
        <v>0.29699999999999999</v>
      </c>
      <c r="N36" s="4"/>
      <c r="O36" s="29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</row>
    <row r="37" spans="1:67" s="3" customFormat="1" x14ac:dyDescent="0.25">
      <c r="A37" s="35"/>
      <c r="B37" s="28"/>
      <c r="C37" s="4" t="s">
        <v>29</v>
      </c>
      <c r="D37" s="11">
        <v>1031647</v>
      </c>
      <c r="E37" s="21">
        <f t="shared" si="7"/>
        <v>1.0006132249769663E-3</v>
      </c>
      <c r="F37" s="11">
        <v>6970874</v>
      </c>
      <c r="G37" s="21">
        <f t="shared" si="7"/>
        <v>3.6711678230685685E-3</v>
      </c>
      <c r="H37" s="11">
        <f t="shared" si="1"/>
        <v>-5939227</v>
      </c>
      <c r="I37" s="21">
        <f t="shared" si="6"/>
        <v>-0.85200607556527341</v>
      </c>
      <c r="J37" s="42">
        <v>7000000</v>
      </c>
      <c r="K37" s="21">
        <f t="shared" si="8"/>
        <v>2.6995724015379812E-3</v>
      </c>
      <c r="L37" s="12">
        <f t="shared" si="4"/>
        <v>-5968353</v>
      </c>
      <c r="M37" s="21">
        <f t="shared" si="5"/>
        <v>0.14737814285714285</v>
      </c>
      <c r="N37" s="4"/>
      <c r="O37" s="29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</row>
    <row r="38" spans="1:67" s="3" customFormat="1" x14ac:dyDescent="0.25">
      <c r="A38" s="35"/>
      <c r="B38" s="28"/>
      <c r="C38" s="4" t="s">
        <v>30</v>
      </c>
      <c r="D38" s="11">
        <v>6490477</v>
      </c>
      <c r="E38" s="21">
        <f t="shared" si="7"/>
        <v>6.2952319180968157E-3</v>
      </c>
      <c r="F38" s="11">
        <v>24559231</v>
      </c>
      <c r="G38" s="21">
        <f t="shared" si="7"/>
        <v>1.2933967621062739E-2</v>
      </c>
      <c r="H38" s="11">
        <f t="shared" si="1"/>
        <v>-18068754</v>
      </c>
      <c r="I38" s="21">
        <f t="shared" si="6"/>
        <v>-0.73572148899939083</v>
      </c>
      <c r="J38" s="42">
        <v>24000000</v>
      </c>
      <c r="K38" s="21">
        <f t="shared" si="8"/>
        <v>9.2556768052730783E-3</v>
      </c>
      <c r="L38" s="12">
        <f t="shared" si="4"/>
        <v>-17509523</v>
      </c>
      <c r="M38" s="21">
        <f t="shared" si="5"/>
        <v>0.27043654166666664</v>
      </c>
      <c r="N38" s="4"/>
      <c r="O38" s="29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</row>
    <row r="39" spans="1:67" s="3" customFormat="1" x14ac:dyDescent="0.25">
      <c r="A39" s="35"/>
      <c r="B39" s="28"/>
      <c r="C39" s="4" t="s">
        <v>31</v>
      </c>
      <c r="D39" s="11">
        <v>763300</v>
      </c>
      <c r="E39" s="21">
        <f t="shared" si="7"/>
        <v>7.4033857959643009E-4</v>
      </c>
      <c r="F39" s="11">
        <v>937440</v>
      </c>
      <c r="G39" s="21">
        <f t="shared" si="7"/>
        <v>4.9369699754398064E-4</v>
      </c>
      <c r="H39" s="11">
        <f t="shared" si="1"/>
        <v>-174140</v>
      </c>
      <c r="I39" s="21">
        <f t="shared" si="6"/>
        <v>-0.18576122205154466</v>
      </c>
      <c r="J39" s="42">
        <v>1200000</v>
      </c>
      <c r="K39" s="21">
        <f t="shared" si="8"/>
        <v>4.6278384026365388E-4</v>
      </c>
      <c r="L39" s="12">
        <f t="shared" si="4"/>
        <v>-436700</v>
      </c>
      <c r="M39" s="21">
        <f t="shared" si="5"/>
        <v>0.63608333333333333</v>
      </c>
      <c r="N39" s="4"/>
      <c r="O39" s="29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</row>
    <row r="40" spans="1:67" s="3" customFormat="1" x14ac:dyDescent="0.25">
      <c r="A40" s="35"/>
      <c r="B40" s="28"/>
      <c r="C40" s="4" t="s">
        <v>32</v>
      </c>
      <c r="D40" s="11">
        <v>3596394</v>
      </c>
      <c r="E40" s="21">
        <f t="shared" si="7"/>
        <v>3.488208077596127E-3</v>
      </c>
      <c r="F40" s="11">
        <v>0</v>
      </c>
      <c r="G40" s="21">
        <f t="shared" si="7"/>
        <v>0</v>
      </c>
      <c r="H40" s="11">
        <f t="shared" si="1"/>
        <v>3596394</v>
      </c>
      <c r="I40" s="21">
        <f>IFERROR(F40/F40-1,0)</f>
        <v>0</v>
      </c>
      <c r="J40" s="42">
        <v>4800000</v>
      </c>
      <c r="K40" s="21">
        <f t="shared" si="8"/>
        <v>1.8511353610546155E-3</v>
      </c>
      <c r="L40" s="12">
        <f t="shared" si="4"/>
        <v>-1203606</v>
      </c>
      <c r="M40" s="21">
        <f t="shared" si="5"/>
        <v>0.74924875000000002</v>
      </c>
      <c r="N40" s="4"/>
      <c r="O40" s="29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</row>
    <row r="41" spans="1:67" s="3" customFormat="1" x14ac:dyDescent="0.25">
      <c r="A41" s="35"/>
      <c r="B41" s="28"/>
      <c r="C41" s="4" t="s">
        <v>33</v>
      </c>
      <c r="D41" s="11">
        <v>3384540</v>
      </c>
      <c r="E41" s="21">
        <f t="shared" si="7"/>
        <v>3.2827270223860891E-3</v>
      </c>
      <c r="F41" s="11">
        <f>1094769+2904128</f>
        <v>3998897</v>
      </c>
      <c r="G41" s="21">
        <f t="shared" si="7"/>
        <v>2.1059944555252941E-3</v>
      </c>
      <c r="H41" s="11">
        <f t="shared" si="1"/>
        <v>-614357</v>
      </c>
      <c r="I41" s="21">
        <f t="shared" si="6"/>
        <v>-0.15363161391753777</v>
      </c>
      <c r="J41" s="42">
        <v>5000000</v>
      </c>
      <c r="K41" s="21">
        <f t="shared" si="8"/>
        <v>1.9282660010985578E-3</v>
      </c>
      <c r="L41" s="12">
        <f t="shared" si="4"/>
        <v>-1615460</v>
      </c>
      <c r="M41" s="21">
        <f t="shared" si="5"/>
        <v>0.67690799999999995</v>
      </c>
      <c r="N41" s="4"/>
      <c r="O41" s="29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</row>
    <row r="42" spans="1:67" s="3" customFormat="1" x14ac:dyDescent="0.25">
      <c r="A42" s="35"/>
      <c r="B42" s="28"/>
      <c r="C42" s="4" t="s">
        <v>34</v>
      </c>
      <c r="D42" s="11">
        <v>2856204</v>
      </c>
      <c r="E42" s="21">
        <f t="shared" si="7"/>
        <v>2.7702843081326375E-3</v>
      </c>
      <c r="F42" s="11">
        <f>350000+35000+29295452</f>
        <v>29680452</v>
      </c>
      <c r="G42" s="21">
        <f t="shared" si="7"/>
        <v>1.5631027093092078E-2</v>
      </c>
      <c r="H42" s="11">
        <f t="shared" si="1"/>
        <v>-26824248</v>
      </c>
      <c r="I42" s="21">
        <f t="shared" si="6"/>
        <v>-0.90376817711536195</v>
      </c>
      <c r="J42" s="43">
        <v>31000000</v>
      </c>
      <c r="K42" s="21">
        <f t="shared" si="8"/>
        <v>1.1955249206811059E-2</v>
      </c>
      <c r="L42" s="12">
        <f t="shared" si="4"/>
        <v>-28143796</v>
      </c>
      <c r="M42" s="21">
        <f t="shared" si="5"/>
        <v>9.2135612903225805E-2</v>
      </c>
      <c r="N42" s="4"/>
      <c r="O42" s="29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</row>
    <row r="43" spans="1:67" s="3" customFormat="1" x14ac:dyDescent="0.25">
      <c r="A43" s="35"/>
      <c r="B43" s="28"/>
      <c r="C43" s="4" t="s">
        <v>35</v>
      </c>
      <c r="D43" s="11">
        <v>2240000</v>
      </c>
      <c r="E43" s="21">
        <f t="shared" si="7"/>
        <v>2.1726168194628631E-3</v>
      </c>
      <c r="F43" s="11">
        <f>3648430+4606000</f>
        <v>8254430</v>
      </c>
      <c r="G43" s="21">
        <f t="shared" si="7"/>
        <v>4.3471446785255169E-3</v>
      </c>
      <c r="H43" s="11">
        <f t="shared" si="1"/>
        <v>-6014430</v>
      </c>
      <c r="I43" s="21">
        <f t="shared" si="6"/>
        <v>-0.72863056564777939</v>
      </c>
      <c r="J43" s="42">
        <v>5000000</v>
      </c>
      <c r="K43" s="21">
        <f t="shared" si="8"/>
        <v>1.9282660010985578E-3</v>
      </c>
      <c r="L43" s="12">
        <f t="shared" si="4"/>
        <v>-2760000</v>
      </c>
      <c r="M43" s="21">
        <f t="shared" si="5"/>
        <v>0.44800000000000001</v>
      </c>
      <c r="N43" s="4"/>
      <c r="O43" s="29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</row>
    <row r="44" spans="1:67" s="3" customFormat="1" x14ac:dyDescent="0.25">
      <c r="A44" s="35"/>
      <c r="B44" s="28"/>
      <c r="C44" s="4" t="s">
        <v>36</v>
      </c>
      <c r="D44" s="11">
        <v>11839330</v>
      </c>
      <c r="E44" s="21">
        <f t="shared" si="7"/>
        <v>1.1483181914808599E-2</v>
      </c>
      <c r="F44" s="11">
        <v>12930128</v>
      </c>
      <c r="G44" s="21">
        <f t="shared" si="7"/>
        <v>6.8095722088446792E-3</v>
      </c>
      <c r="H44" s="11">
        <f t="shared" si="1"/>
        <v>-1090798</v>
      </c>
      <c r="I44" s="21">
        <f t="shared" si="6"/>
        <v>-8.4360959149050951E-2</v>
      </c>
      <c r="J44" s="42">
        <v>20000000</v>
      </c>
      <c r="K44" s="21">
        <f t="shared" si="8"/>
        <v>7.713064004394231E-3</v>
      </c>
      <c r="L44" s="12">
        <f t="shared" si="4"/>
        <v>-8160670</v>
      </c>
      <c r="M44" s="21">
        <f t="shared" si="5"/>
        <v>0.59196649999999995</v>
      </c>
      <c r="N44" s="4"/>
      <c r="O44" s="29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</row>
    <row r="45" spans="1:67" s="3" customFormat="1" x14ac:dyDescent="0.25">
      <c r="A45" s="35"/>
      <c r="B45" s="28"/>
      <c r="C45" s="4" t="s">
        <v>37</v>
      </c>
      <c r="D45" s="11">
        <v>230043688</v>
      </c>
      <c r="E45" s="21">
        <f t="shared" si="7"/>
        <v>0.22312356507145858</v>
      </c>
      <c r="F45" s="11">
        <v>380134792</v>
      </c>
      <c r="G45" s="21">
        <f t="shared" si="7"/>
        <v>0.20019564502518092</v>
      </c>
      <c r="H45" s="11">
        <f t="shared" si="1"/>
        <v>-150091104</v>
      </c>
      <c r="I45" s="21">
        <f t="shared" si="6"/>
        <v>-0.3948365347205578</v>
      </c>
      <c r="J45" s="42">
        <v>284000000</v>
      </c>
      <c r="K45" s="21">
        <f t="shared" si="8"/>
        <v>0.10952550886239809</v>
      </c>
      <c r="L45" s="12">
        <f t="shared" si="4"/>
        <v>-53956312</v>
      </c>
      <c r="M45" s="21">
        <f t="shared" si="5"/>
        <v>0.81001298591549298</v>
      </c>
      <c r="N45" s="4"/>
      <c r="O45" s="29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</row>
    <row r="46" spans="1:67" s="3" customFormat="1" x14ac:dyDescent="0.25">
      <c r="A46" s="35"/>
      <c r="B46" s="28"/>
      <c r="C46" s="4" t="s">
        <v>12</v>
      </c>
      <c r="D46" s="11">
        <v>9068956</v>
      </c>
      <c r="E46" s="21">
        <f t="shared" si="7"/>
        <v>8.7961456877538625E-3</v>
      </c>
      <c r="F46" s="11">
        <f>2724669+9906824+345696</f>
        <v>12977189</v>
      </c>
      <c r="G46" s="21">
        <f t="shared" si="7"/>
        <v>6.8343565944068664E-3</v>
      </c>
      <c r="H46" s="11">
        <f t="shared" si="1"/>
        <v>-3908233</v>
      </c>
      <c r="I46" s="21">
        <f t="shared" si="6"/>
        <v>-0.30116175390525635</v>
      </c>
      <c r="J46" s="91"/>
      <c r="K46" s="21">
        <f t="shared" si="8"/>
        <v>0</v>
      </c>
      <c r="L46" s="12">
        <f t="shared" si="4"/>
        <v>9068956</v>
      </c>
      <c r="M46" s="21">
        <f t="shared" si="5"/>
        <v>0</v>
      </c>
      <c r="N46" s="4"/>
      <c r="O46" s="29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</row>
    <row r="47" spans="1:67" s="3" customFormat="1" x14ac:dyDescent="0.25">
      <c r="A47" s="35"/>
      <c r="B47" s="28"/>
      <c r="C47" s="4" t="s">
        <v>48</v>
      </c>
      <c r="D47" s="11">
        <v>0</v>
      </c>
      <c r="E47" s="21">
        <f t="shared" si="7"/>
        <v>0</v>
      </c>
      <c r="F47" s="11">
        <v>6443850</v>
      </c>
      <c r="G47" s="21">
        <f t="shared" si="7"/>
        <v>3.3936138820871522E-3</v>
      </c>
      <c r="H47" s="11">
        <f t="shared" si="1"/>
        <v>-6443850</v>
      </c>
      <c r="I47" s="21">
        <f t="shared" si="6"/>
        <v>-1</v>
      </c>
      <c r="J47" s="42">
        <v>0</v>
      </c>
      <c r="K47" s="21">
        <f t="shared" si="8"/>
        <v>0</v>
      </c>
      <c r="L47" s="12">
        <f t="shared" si="4"/>
        <v>0</v>
      </c>
      <c r="M47" s="21">
        <f t="shared" si="5"/>
        <v>0</v>
      </c>
      <c r="N47" s="4"/>
      <c r="O47" s="29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</row>
    <row r="48" spans="1:67" s="3" customFormat="1" ht="6" customHeight="1" x14ac:dyDescent="0.25">
      <c r="A48" s="35"/>
      <c r="B48" s="28"/>
      <c r="C48" s="4"/>
      <c r="D48" s="11"/>
      <c r="E48" s="21"/>
      <c r="F48" s="11"/>
      <c r="G48" s="21"/>
      <c r="H48" s="11"/>
      <c r="I48" s="21"/>
      <c r="J48" s="42"/>
      <c r="K48" s="21"/>
      <c r="L48" s="12"/>
      <c r="M48" s="21"/>
      <c r="N48" s="4"/>
      <c r="O48" s="29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</row>
    <row r="49" spans="1:67" s="3" customFormat="1" hidden="1" x14ac:dyDescent="0.25">
      <c r="A49" s="35"/>
      <c r="B49" s="28"/>
      <c r="C49" s="8" t="s">
        <v>38</v>
      </c>
      <c r="D49" s="11"/>
      <c r="E49" s="21"/>
      <c r="F49" s="11"/>
      <c r="G49" s="21"/>
      <c r="H49" s="11"/>
      <c r="I49" s="21"/>
      <c r="J49" s="42"/>
      <c r="K49" s="21"/>
      <c r="L49" s="12">
        <f t="shared" si="4"/>
        <v>0</v>
      </c>
      <c r="M49" s="21">
        <f t="shared" si="5"/>
        <v>0</v>
      </c>
      <c r="N49" s="4"/>
      <c r="O49" s="29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  <c r="BO49" s="35"/>
    </row>
    <row r="50" spans="1:67" s="3" customFormat="1" hidden="1" x14ac:dyDescent="0.25">
      <c r="A50" s="35"/>
      <c r="B50" s="28"/>
      <c r="C50" s="4" t="s">
        <v>39</v>
      </c>
      <c r="D50" s="11">
        <v>10194634</v>
      </c>
      <c r="E50" s="21">
        <f t="shared" si="7"/>
        <v>9.8879612931553427E-3</v>
      </c>
      <c r="F50" s="11">
        <v>38831202</v>
      </c>
      <c r="G50" s="21">
        <f t="shared" si="7"/>
        <v>2.0450213174628581E-2</v>
      </c>
      <c r="H50" s="11">
        <f t="shared" si="1"/>
        <v>-28636568</v>
      </c>
      <c r="I50" s="21">
        <f t="shared" si="6"/>
        <v>-0.73746282692974585</v>
      </c>
      <c r="J50" s="42">
        <v>30000000</v>
      </c>
      <c r="K50" s="21">
        <f t="shared" ref="K50:K53" si="9">J50/J$20</f>
        <v>1.1569596006591347E-2</v>
      </c>
      <c r="L50" s="12">
        <f t="shared" si="4"/>
        <v>-19805366</v>
      </c>
      <c r="M50" s="21">
        <f t="shared" si="5"/>
        <v>0.33982113333333336</v>
      </c>
      <c r="N50" s="4"/>
      <c r="O50" s="29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  <c r="BO50" s="35"/>
    </row>
    <row r="51" spans="1:67" s="3" customFormat="1" hidden="1" x14ac:dyDescent="0.25">
      <c r="A51" s="35"/>
      <c r="B51" s="28"/>
      <c r="C51" s="4" t="s">
        <v>23</v>
      </c>
      <c r="D51" s="11">
        <v>756600</v>
      </c>
      <c r="E51" s="21">
        <f t="shared" si="7"/>
        <v>7.33840127502501E-4</v>
      </c>
      <c r="F51" s="11">
        <v>623000</v>
      </c>
      <c r="G51" s="21">
        <f t="shared" si="7"/>
        <v>3.2809910977758572E-4</v>
      </c>
      <c r="H51" s="11">
        <f t="shared" si="1"/>
        <v>133600</v>
      </c>
      <c r="I51" s="21">
        <f t="shared" si="6"/>
        <v>0.21444622792937396</v>
      </c>
      <c r="J51" s="42">
        <v>2000000</v>
      </c>
      <c r="K51" s="21">
        <f t="shared" si="9"/>
        <v>7.7130640043942308E-4</v>
      </c>
      <c r="L51" s="12">
        <f t="shared" si="4"/>
        <v>-1243400</v>
      </c>
      <c r="M51" s="21">
        <f t="shared" si="5"/>
        <v>0.37830000000000003</v>
      </c>
      <c r="N51" s="4"/>
      <c r="O51" s="29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</row>
    <row r="52" spans="1:67" s="3" customFormat="1" hidden="1" x14ac:dyDescent="0.25">
      <c r="A52" s="35"/>
      <c r="B52" s="28"/>
      <c r="C52" s="4" t="s">
        <v>40</v>
      </c>
      <c r="D52" s="11">
        <v>14766137</v>
      </c>
      <c r="E52" s="21">
        <f t="shared" si="7"/>
        <v>1.4321945359237904E-2</v>
      </c>
      <c r="F52" s="11">
        <f>8985600+18306168</f>
        <v>27291768</v>
      </c>
      <c r="G52" s="21">
        <f t="shared" si="7"/>
        <v>1.4373041388533549E-2</v>
      </c>
      <c r="H52" s="11">
        <f t="shared" si="1"/>
        <v>-12525631</v>
      </c>
      <c r="I52" s="21">
        <f t="shared" si="6"/>
        <v>-0.45895271423969308</v>
      </c>
      <c r="J52" s="42">
        <v>27000000</v>
      </c>
      <c r="K52" s="21">
        <f t="shared" si="9"/>
        <v>1.0412636405932213E-2</v>
      </c>
      <c r="L52" s="12">
        <f t="shared" si="4"/>
        <v>-12233863</v>
      </c>
      <c r="M52" s="21">
        <f t="shared" si="5"/>
        <v>0.546893962962963</v>
      </c>
      <c r="N52" s="4"/>
      <c r="O52" s="29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  <c r="BO52" s="35"/>
    </row>
    <row r="53" spans="1:67" s="3" customFormat="1" hidden="1" x14ac:dyDescent="0.25">
      <c r="A53" s="35"/>
      <c r="B53" s="28"/>
      <c r="C53" s="4" t="s">
        <v>37</v>
      </c>
      <c r="D53" s="11">
        <v>0</v>
      </c>
      <c r="E53" s="21">
        <f t="shared" si="7"/>
        <v>0</v>
      </c>
      <c r="F53" s="11">
        <v>4873522</v>
      </c>
      <c r="G53" s="21">
        <f t="shared" si="7"/>
        <v>2.5666103205160178E-3</v>
      </c>
      <c r="H53" s="11">
        <f t="shared" si="1"/>
        <v>-4873522</v>
      </c>
      <c r="I53" s="21">
        <f t="shared" si="6"/>
        <v>-1</v>
      </c>
      <c r="J53" s="42">
        <v>9000000</v>
      </c>
      <c r="K53" s="21">
        <f t="shared" si="9"/>
        <v>3.4708788019774039E-3</v>
      </c>
      <c r="L53" s="12">
        <f t="shared" si="4"/>
        <v>-9000000</v>
      </c>
      <c r="M53" s="21">
        <f t="shared" si="5"/>
        <v>0</v>
      </c>
      <c r="N53" s="4"/>
      <c r="O53" s="29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/>
      <c r="BO53" s="35"/>
    </row>
    <row r="54" spans="1:67" s="3" customFormat="1" ht="1.5" customHeight="1" x14ac:dyDescent="0.25">
      <c r="A54" s="35"/>
      <c r="B54" s="28"/>
      <c r="C54" s="4"/>
      <c r="D54" s="11"/>
      <c r="E54" s="21"/>
      <c r="F54" s="11"/>
      <c r="G54" s="21"/>
      <c r="H54" s="11"/>
      <c r="I54" s="21"/>
      <c r="J54" s="42"/>
      <c r="K54" s="21"/>
      <c r="L54" s="12"/>
      <c r="M54" s="21"/>
      <c r="N54" s="4"/>
      <c r="O54" s="29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/>
    </row>
    <row r="55" spans="1:67" s="3" customFormat="1" hidden="1" x14ac:dyDescent="0.25">
      <c r="A55" s="35"/>
      <c r="B55" s="28"/>
      <c r="C55" s="8" t="s">
        <v>41</v>
      </c>
      <c r="D55" s="11"/>
      <c r="E55" s="21"/>
      <c r="F55" s="11"/>
      <c r="G55" s="21"/>
      <c r="H55" s="11"/>
      <c r="I55" s="21"/>
      <c r="J55" s="42"/>
      <c r="K55" s="21"/>
      <c r="L55" s="12">
        <f t="shared" si="4"/>
        <v>0</v>
      </c>
      <c r="M55" s="21">
        <f t="shared" si="5"/>
        <v>0</v>
      </c>
      <c r="N55" s="4"/>
      <c r="O55" s="29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</row>
    <row r="56" spans="1:67" s="3" customFormat="1" hidden="1" x14ac:dyDescent="0.25">
      <c r="A56" s="35"/>
      <c r="B56" s="28"/>
      <c r="C56" s="4" t="s">
        <v>42</v>
      </c>
      <c r="D56" s="11">
        <v>6365332.7999999998</v>
      </c>
      <c r="E56" s="21">
        <f t="shared" si="7"/>
        <v>6.1738522780172504E-3</v>
      </c>
      <c r="F56" s="11">
        <v>12893939.4</v>
      </c>
      <c r="G56" s="21">
        <f t="shared" si="7"/>
        <v>6.7905137057241377E-3</v>
      </c>
      <c r="H56" s="11">
        <f t="shared" si="1"/>
        <v>-6528606.6000000006</v>
      </c>
      <c r="I56" s="21">
        <f t="shared" si="6"/>
        <v>-0.50633141644825796</v>
      </c>
      <c r="J56" s="42">
        <v>14000000</v>
      </c>
      <c r="K56" s="21">
        <f t="shared" ref="K56:K61" si="10">J56/J$20</f>
        <v>5.3991448030759623E-3</v>
      </c>
      <c r="L56" s="12">
        <f t="shared" si="4"/>
        <v>-7634667.2000000002</v>
      </c>
      <c r="M56" s="21">
        <f t="shared" si="5"/>
        <v>0.45466662857142853</v>
      </c>
      <c r="N56" s="4"/>
      <c r="O56" s="29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</row>
    <row r="57" spans="1:67" s="3" customFormat="1" hidden="1" x14ac:dyDescent="0.25">
      <c r="A57" s="35"/>
      <c r="B57" s="28"/>
      <c r="C57" s="4" t="s">
        <v>43</v>
      </c>
      <c r="D57" s="11">
        <v>8360271</v>
      </c>
      <c r="E57" s="21">
        <f t="shared" si="7"/>
        <v>8.1087791919051827E-3</v>
      </c>
      <c r="F57" s="11">
        <v>70808332</v>
      </c>
      <c r="G57" s="21">
        <f t="shared" si="7"/>
        <v>3.7290771579511613E-2</v>
      </c>
      <c r="H57" s="11">
        <f t="shared" si="1"/>
        <v>-62448061</v>
      </c>
      <c r="I57" s="21">
        <f t="shared" si="6"/>
        <v>-0.88193097106142815</v>
      </c>
      <c r="J57" s="42">
        <v>56652000</v>
      </c>
      <c r="K57" s="21">
        <f t="shared" si="10"/>
        <v>2.1848025098847101E-2</v>
      </c>
      <c r="L57" s="12">
        <f t="shared" si="4"/>
        <v>-48291729</v>
      </c>
      <c r="M57" s="21">
        <f t="shared" si="5"/>
        <v>0.1475723893242957</v>
      </c>
      <c r="N57" s="4"/>
      <c r="O57" s="29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  <c r="BO57" s="35"/>
    </row>
    <row r="58" spans="1:67" s="3" customFormat="1" hidden="1" x14ac:dyDescent="0.25">
      <c r="A58" s="35"/>
      <c r="B58" s="28"/>
      <c r="C58" s="4" t="s">
        <v>67</v>
      </c>
      <c r="D58" s="11">
        <v>141499562</v>
      </c>
      <c r="E58" s="21">
        <f t="shared" si="7"/>
        <v>0.13724300372670903</v>
      </c>
      <c r="F58" s="11">
        <v>887556079</v>
      </c>
      <c r="G58" s="21">
        <f t="shared" si="7"/>
        <v>0.46742593803785643</v>
      </c>
      <c r="H58" s="11">
        <f t="shared" si="1"/>
        <v>-746056517</v>
      </c>
      <c r="I58" s="21">
        <f t="shared" si="6"/>
        <v>-0.84057394755334669</v>
      </c>
      <c r="J58" s="42">
        <v>822356000</v>
      </c>
      <c r="K58" s="21">
        <f t="shared" si="10"/>
        <v>0.31714422311988111</v>
      </c>
      <c r="L58" s="12">
        <f t="shared" si="4"/>
        <v>-680856438</v>
      </c>
      <c r="M58" s="21">
        <f t="shared" si="5"/>
        <v>0.17206606627786505</v>
      </c>
      <c r="N58" s="4"/>
      <c r="O58" s="29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</row>
    <row r="59" spans="1:67" s="3" customFormat="1" hidden="1" x14ac:dyDescent="0.25">
      <c r="A59" s="35"/>
      <c r="B59" s="28"/>
      <c r="C59" s="4" t="s">
        <v>49</v>
      </c>
      <c r="D59" s="11">
        <v>0</v>
      </c>
      <c r="E59" s="21">
        <f t="shared" si="7"/>
        <v>0</v>
      </c>
      <c r="F59" s="11">
        <v>20000000</v>
      </c>
      <c r="G59" s="21">
        <f t="shared" si="7"/>
        <v>1.0532876718381564E-2</v>
      </c>
      <c r="H59" s="11">
        <f t="shared" si="1"/>
        <v>-20000000</v>
      </c>
      <c r="I59" s="21">
        <f t="shared" si="6"/>
        <v>-1</v>
      </c>
      <c r="J59" s="42">
        <v>0</v>
      </c>
      <c r="K59" s="21">
        <f t="shared" si="10"/>
        <v>0</v>
      </c>
      <c r="L59" s="12">
        <f t="shared" si="4"/>
        <v>0</v>
      </c>
      <c r="M59" s="21">
        <f t="shared" si="5"/>
        <v>0</v>
      </c>
      <c r="N59" s="4"/>
      <c r="O59" s="29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/>
      <c r="BO59" s="35"/>
    </row>
    <row r="60" spans="1:67" s="3" customFormat="1" hidden="1" x14ac:dyDescent="0.25">
      <c r="A60" s="35"/>
      <c r="B60" s="28"/>
      <c r="C60" s="4" t="s">
        <v>44</v>
      </c>
      <c r="D60" s="11">
        <v>12011002</v>
      </c>
      <c r="E60" s="21">
        <f t="shared" si="7"/>
        <v>1.1649689715983076E-2</v>
      </c>
      <c r="F60" s="11">
        <f>8022434+29000+3082800+172878+30000+2414076.4</f>
        <v>13751188.4</v>
      </c>
      <c r="G60" s="21">
        <f t="shared" si="7"/>
        <v>7.2419786074219318E-3</v>
      </c>
      <c r="H60" s="11">
        <f t="shared" si="1"/>
        <v>-1740186.4000000004</v>
      </c>
      <c r="I60" s="21">
        <f t="shared" si="6"/>
        <v>-0.12654807347414432</v>
      </c>
      <c r="J60" s="91"/>
      <c r="K60" s="21">
        <f t="shared" si="10"/>
        <v>0</v>
      </c>
      <c r="L60" s="12">
        <f t="shared" si="4"/>
        <v>12011002</v>
      </c>
      <c r="M60" s="21">
        <f t="shared" si="5"/>
        <v>0</v>
      </c>
      <c r="N60" s="4"/>
      <c r="O60" s="29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/>
      <c r="BO60" s="35"/>
    </row>
    <row r="61" spans="1:67" s="3" customFormat="1" x14ac:dyDescent="0.25">
      <c r="A61" s="35"/>
      <c r="B61" s="28"/>
      <c r="C61" s="17" t="s">
        <v>45</v>
      </c>
      <c r="D61" s="18">
        <f>SUM(D24:D60)</f>
        <v>1408531237.8</v>
      </c>
      <c r="E61" s="22">
        <f t="shared" si="7"/>
        <v>1.3661601151710383</v>
      </c>
      <c r="F61" s="18">
        <f>SUM(F24:F60)</f>
        <v>2528037699.8000002</v>
      </c>
      <c r="G61" s="22">
        <f t="shared" si="7"/>
        <v>1.3313754715707151</v>
      </c>
      <c r="H61" s="18">
        <f t="shared" si="1"/>
        <v>-1119506462.0000002</v>
      </c>
      <c r="I61" s="22">
        <f t="shared" si="6"/>
        <v>-0.44283614207516264</v>
      </c>
      <c r="J61" s="19">
        <f>SUM(J24:J60)</f>
        <v>2873124411</v>
      </c>
      <c r="K61" s="22">
        <f t="shared" si="10"/>
        <v>1.1080296237315239</v>
      </c>
      <c r="L61" s="19">
        <f t="shared" si="4"/>
        <v>-1464593173.2</v>
      </c>
      <c r="M61" s="22">
        <f t="shared" si="5"/>
        <v>0.49024373340998351</v>
      </c>
      <c r="N61" s="4"/>
      <c r="O61" s="29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</row>
    <row r="62" spans="1:67" s="3" customFormat="1" x14ac:dyDescent="0.25">
      <c r="A62" s="35"/>
      <c r="B62" s="28"/>
      <c r="C62" s="8"/>
      <c r="D62" s="13"/>
      <c r="E62" s="23"/>
      <c r="F62" s="13"/>
      <c r="G62" s="23"/>
      <c r="H62" s="13"/>
      <c r="I62" s="23"/>
      <c r="J62" s="14"/>
      <c r="K62" s="23"/>
      <c r="L62" s="14"/>
      <c r="M62" s="23"/>
      <c r="N62" s="4"/>
      <c r="O62" s="29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</row>
    <row r="63" spans="1:67" s="3" customFormat="1" hidden="1" x14ac:dyDescent="0.25">
      <c r="A63" s="35"/>
      <c r="B63" s="28"/>
      <c r="C63" s="17" t="s">
        <v>46</v>
      </c>
      <c r="D63" s="18">
        <f>+D20-D61</f>
        <v>-377516481.79999995</v>
      </c>
      <c r="E63" s="22">
        <f t="shared" si="7"/>
        <v>-0.3661601151710383</v>
      </c>
      <c r="F63" s="18">
        <f>F20-F61</f>
        <v>-629221209.80000019</v>
      </c>
      <c r="G63" s="22">
        <f t="shared" si="7"/>
        <v>-0.33137547157071517</v>
      </c>
      <c r="H63" s="18">
        <f t="shared" si="1"/>
        <v>251704728.00000024</v>
      </c>
      <c r="I63" s="22">
        <f t="shared" si="6"/>
        <v>-0.40002581616726707</v>
      </c>
      <c r="J63" s="19">
        <f>J20-J61</f>
        <v>-280121165</v>
      </c>
      <c r="K63" s="22">
        <f t="shared" ref="K63" si="11">J63/J$20</f>
        <v>-0.10802962373152386</v>
      </c>
      <c r="L63" s="19">
        <f t="shared" si="4"/>
        <v>-97395316.799999952</v>
      </c>
      <c r="M63" s="22">
        <f t="shared" si="5"/>
        <v>1.3476899605211907</v>
      </c>
      <c r="N63" s="4"/>
      <c r="O63" s="29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  <c r="BG63" s="35"/>
      <c r="BH63" s="35"/>
      <c r="BI63" s="35"/>
      <c r="BJ63" s="35"/>
      <c r="BK63" s="35"/>
      <c r="BL63" s="35"/>
      <c r="BM63" s="35"/>
      <c r="BN63" s="35"/>
      <c r="BO63" s="35"/>
    </row>
    <row r="64" spans="1:67" s="3" customFormat="1" hidden="1" x14ac:dyDescent="0.25">
      <c r="A64" s="35"/>
      <c r="B64" s="28"/>
      <c r="C64" s="8"/>
      <c r="D64" s="11"/>
      <c r="E64" s="21"/>
      <c r="F64" s="11"/>
      <c r="G64" s="21"/>
      <c r="H64" s="11"/>
      <c r="I64" s="21"/>
      <c r="J64" s="12"/>
      <c r="K64" s="21"/>
      <c r="L64" s="12"/>
      <c r="M64" s="21"/>
      <c r="N64" s="4"/>
      <c r="O64" s="29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  <c r="BI64" s="35"/>
      <c r="BJ64" s="35"/>
      <c r="BK64" s="35"/>
      <c r="BL64" s="35"/>
      <c r="BM64" s="35"/>
      <c r="BN64" s="35"/>
      <c r="BO64" s="35"/>
    </row>
    <row r="65" spans="1:67" s="3" customFormat="1" hidden="1" x14ac:dyDescent="0.25">
      <c r="A65" s="35"/>
      <c r="B65" s="28"/>
      <c r="C65" s="17" t="s">
        <v>47</v>
      </c>
      <c r="D65" s="18">
        <v>17082000</v>
      </c>
      <c r="E65" s="22">
        <f t="shared" si="7"/>
        <v>1.656814308485028E-2</v>
      </c>
      <c r="F65" s="18">
        <v>44877000</v>
      </c>
      <c r="G65" s="22">
        <f t="shared" si="7"/>
        <v>2.3634195424540472E-2</v>
      </c>
      <c r="H65" s="18">
        <f t="shared" si="1"/>
        <v>-27795000</v>
      </c>
      <c r="I65" s="22">
        <f t="shared" si="6"/>
        <v>-0.61935958285981685</v>
      </c>
      <c r="J65" s="19">
        <v>44877000</v>
      </c>
      <c r="K65" s="22">
        <f t="shared" ref="K65" si="12">J65/J$20</f>
        <v>1.7306958666259996E-2</v>
      </c>
      <c r="L65" s="19">
        <f t="shared" si="4"/>
        <v>-27795000</v>
      </c>
      <c r="M65" s="22">
        <f t="shared" si="5"/>
        <v>0.38064041714018315</v>
      </c>
      <c r="N65" s="4"/>
      <c r="O65" s="29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  <c r="BG65" s="35"/>
      <c r="BH65" s="35"/>
      <c r="BI65" s="35"/>
      <c r="BJ65" s="35"/>
      <c r="BK65" s="35"/>
      <c r="BL65" s="35"/>
      <c r="BM65" s="35"/>
      <c r="BN65" s="35"/>
      <c r="BO65" s="35"/>
    </row>
    <row r="66" spans="1:67" s="3" customFormat="1" hidden="1" x14ac:dyDescent="0.25">
      <c r="A66" s="35"/>
      <c r="B66" s="28"/>
      <c r="C66" s="8"/>
      <c r="D66" s="11"/>
      <c r="E66" s="21"/>
      <c r="F66" s="11"/>
      <c r="G66" s="21"/>
      <c r="H66" s="11"/>
      <c r="I66" s="21"/>
      <c r="J66" s="12"/>
      <c r="K66" s="21"/>
      <c r="L66" s="12"/>
      <c r="M66" s="21"/>
      <c r="N66" s="4"/>
      <c r="O66" s="29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35"/>
      <c r="BJ66" s="35"/>
      <c r="BK66" s="35"/>
      <c r="BL66" s="35"/>
      <c r="BM66" s="35"/>
      <c r="BN66" s="35"/>
      <c r="BO66" s="35"/>
    </row>
    <row r="67" spans="1:67" s="3" customFormat="1" hidden="1" x14ac:dyDescent="0.25">
      <c r="A67" s="35"/>
      <c r="B67" s="28"/>
      <c r="C67" s="17" t="s">
        <v>56</v>
      </c>
      <c r="D67" s="18">
        <f>+D63-D65</f>
        <v>-394598481.79999995</v>
      </c>
      <c r="E67" s="22">
        <f t="shared" si="7"/>
        <v>-0.38272825825588858</v>
      </c>
      <c r="F67" s="18">
        <f>+F63-F65</f>
        <v>-674098209.80000019</v>
      </c>
      <c r="G67" s="22">
        <f t="shared" si="7"/>
        <v>-0.35500966699525566</v>
      </c>
      <c r="H67" s="18">
        <f t="shared" si="1"/>
        <v>279499728.00000024</v>
      </c>
      <c r="I67" s="22">
        <f t="shared" si="6"/>
        <v>-0.41462760757505301</v>
      </c>
      <c r="J67" s="19">
        <f>+J63-J65</f>
        <v>-324998165</v>
      </c>
      <c r="K67" s="22">
        <f t="shared" ref="K67" si="13">J67/J$20</f>
        <v>-0.12533658239778386</v>
      </c>
      <c r="L67" s="19">
        <f>+D67-J67</f>
        <v>-69600316.799999952</v>
      </c>
      <c r="M67" s="22">
        <f t="shared" si="5"/>
        <v>1.2141560300809697</v>
      </c>
      <c r="N67" s="8"/>
      <c r="O67" s="29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  <c r="BJ67" s="35"/>
      <c r="BK67" s="35"/>
      <c r="BL67" s="35"/>
      <c r="BM67" s="35"/>
      <c r="BN67" s="35"/>
      <c r="BO67" s="35"/>
    </row>
    <row r="68" spans="1:67" s="3" customFormat="1" x14ac:dyDescent="0.25">
      <c r="A68" s="35"/>
      <c r="B68" s="28"/>
      <c r="C68" s="4"/>
      <c r="D68" s="4"/>
      <c r="E68" s="20"/>
      <c r="F68" s="4"/>
      <c r="G68" s="20"/>
      <c r="H68" s="4"/>
      <c r="I68" s="20"/>
      <c r="J68" s="9"/>
      <c r="K68" s="20"/>
      <c r="L68" s="4"/>
      <c r="M68" s="20"/>
      <c r="N68" s="4"/>
      <c r="O68" s="29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  <c r="BJ68" s="35"/>
      <c r="BK68" s="35"/>
      <c r="BL68" s="35"/>
      <c r="BM68" s="35"/>
      <c r="BN68" s="35"/>
      <c r="BO68" s="35"/>
    </row>
    <row r="69" spans="1:67" s="3" customFormat="1" ht="6.75" customHeight="1" x14ac:dyDescent="0.25">
      <c r="A69" s="35"/>
      <c r="B69" s="28"/>
      <c r="C69" s="4"/>
      <c r="D69" s="4"/>
      <c r="E69" s="20"/>
      <c r="F69" s="4"/>
      <c r="G69" s="20"/>
      <c r="H69" s="4"/>
      <c r="I69" s="20"/>
      <c r="J69" s="7"/>
      <c r="K69" s="20"/>
      <c r="L69" s="4"/>
      <c r="M69" s="20"/>
      <c r="N69" s="4"/>
      <c r="O69" s="29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  <c r="BJ69" s="35"/>
      <c r="BK69" s="35"/>
      <c r="BL69" s="35"/>
      <c r="BM69" s="35"/>
      <c r="BN69" s="35"/>
      <c r="BO69" s="35"/>
    </row>
    <row r="70" spans="1:67" s="3" customFormat="1" x14ac:dyDescent="0.25">
      <c r="A70" s="35"/>
      <c r="B70" s="28"/>
      <c r="C70" s="4"/>
      <c r="D70" s="4"/>
      <c r="E70" s="20"/>
      <c r="F70" s="4"/>
      <c r="G70" s="20"/>
      <c r="H70" s="4"/>
      <c r="I70" s="20"/>
      <c r="J70" s="7"/>
      <c r="K70" s="20"/>
      <c r="L70" s="4"/>
      <c r="M70" s="20"/>
      <c r="N70" s="4"/>
      <c r="O70" s="29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35"/>
      <c r="BJ70" s="35"/>
      <c r="BK70" s="35"/>
      <c r="BL70" s="35"/>
      <c r="BM70" s="35"/>
      <c r="BN70" s="35"/>
      <c r="BO70" s="35"/>
    </row>
    <row r="71" spans="1:67" s="3" customFormat="1" ht="3" customHeight="1" thickBot="1" x14ac:dyDescent="0.3">
      <c r="A71" s="35"/>
      <c r="B71" s="30"/>
      <c r="C71" s="31"/>
      <c r="D71" s="31"/>
      <c r="E71" s="32"/>
      <c r="F71" s="31"/>
      <c r="G71" s="32"/>
      <c r="H71" s="31"/>
      <c r="I71" s="32"/>
      <c r="J71" s="33"/>
      <c r="K71" s="32"/>
      <c r="L71" s="31"/>
      <c r="M71" s="32"/>
      <c r="N71" s="31"/>
      <c r="O71" s="34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  <c r="BG71" s="35"/>
      <c r="BH71" s="35"/>
      <c r="BI71" s="35"/>
      <c r="BJ71" s="35"/>
      <c r="BK71" s="35"/>
      <c r="BL71" s="35"/>
      <c r="BM71" s="35"/>
      <c r="BN71" s="35"/>
      <c r="BO71" s="35"/>
    </row>
    <row r="73" spans="1:67" ht="9.75" customHeight="1" thickBot="1" x14ac:dyDescent="0.3"/>
    <row r="74" spans="1:67" x14ac:dyDescent="0.25">
      <c r="B74" s="47"/>
      <c r="C74" s="48"/>
      <c r="D74" s="48"/>
      <c r="E74" s="49"/>
      <c r="F74" s="48"/>
      <c r="G74" s="49"/>
      <c r="H74" s="48"/>
      <c r="I74" s="49"/>
      <c r="J74" s="50"/>
      <c r="K74" s="49"/>
      <c r="L74" s="48"/>
      <c r="M74" s="49"/>
      <c r="N74" s="48"/>
      <c r="O74" s="51"/>
    </row>
    <row r="75" spans="1:67" x14ac:dyDescent="0.25">
      <c r="B75" s="52"/>
      <c r="C75" s="24"/>
      <c r="D75" s="24"/>
      <c r="E75" s="44"/>
      <c r="F75" s="24"/>
      <c r="G75" s="44"/>
      <c r="H75" s="24"/>
      <c r="I75" s="44"/>
      <c r="J75" s="45"/>
      <c r="K75" s="44"/>
      <c r="L75" s="24"/>
      <c r="M75" s="44"/>
      <c r="N75" s="24"/>
      <c r="O75" s="53"/>
    </row>
    <row r="76" spans="1:67" x14ac:dyDescent="0.25">
      <c r="B76" s="52"/>
      <c r="C76" s="100"/>
      <c r="D76" s="24"/>
      <c r="E76" s="44"/>
      <c r="F76" s="24"/>
      <c r="G76" s="44"/>
      <c r="H76" s="24"/>
      <c r="I76" s="44"/>
      <c r="J76" s="45"/>
      <c r="K76" s="44"/>
      <c r="L76" s="24"/>
      <c r="M76" s="44"/>
      <c r="N76" s="24"/>
      <c r="O76" s="53"/>
    </row>
    <row r="77" spans="1:67" ht="23.25" x14ac:dyDescent="0.25">
      <c r="B77" s="52"/>
      <c r="C77" s="59" t="s">
        <v>73</v>
      </c>
      <c r="D77" s="24"/>
      <c r="E77" s="44"/>
      <c r="F77" s="24"/>
      <c r="G77" s="44"/>
      <c r="H77" s="24"/>
      <c r="I77" s="44"/>
      <c r="J77" s="45"/>
      <c r="K77" s="44"/>
      <c r="L77" s="24"/>
      <c r="M77" s="44"/>
      <c r="N77" s="24"/>
      <c r="O77" s="53"/>
    </row>
    <row r="78" spans="1:67" x14ac:dyDescent="0.25">
      <c r="B78" s="52"/>
      <c r="C78" s="24"/>
      <c r="D78" s="24"/>
      <c r="E78" s="44"/>
      <c r="F78" s="24"/>
      <c r="G78" s="44"/>
      <c r="H78" s="24"/>
      <c r="I78" s="44"/>
      <c r="J78" s="45"/>
      <c r="K78" s="44"/>
      <c r="L78" s="24"/>
      <c r="M78" s="44"/>
      <c r="N78" s="24"/>
      <c r="O78" s="53"/>
    </row>
    <row r="79" spans="1:67" x14ac:dyDescent="0.25">
      <c r="B79" s="52"/>
      <c r="C79" s="24"/>
      <c r="D79" s="24"/>
      <c r="E79" s="44"/>
      <c r="F79" s="24"/>
      <c r="G79" s="44"/>
      <c r="H79" s="24"/>
      <c r="I79" s="44"/>
      <c r="J79" s="45"/>
      <c r="K79" s="44"/>
      <c r="L79" s="24"/>
      <c r="M79" s="44"/>
      <c r="N79" s="24"/>
      <c r="O79" s="53"/>
    </row>
    <row r="80" spans="1:67" x14ac:dyDescent="0.25">
      <c r="B80" s="52"/>
      <c r="C80" s="24"/>
      <c r="D80" s="24"/>
      <c r="E80" s="44"/>
      <c r="F80" s="24"/>
      <c r="G80" s="44"/>
      <c r="H80" s="24"/>
      <c r="I80" s="44"/>
      <c r="J80" s="45"/>
      <c r="K80" s="44"/>
      <c r="L80" s="24"/>
      <c r="M80" s="44"/>
      <c r="N80" s="24"/>
      <c r="O80" s="53"/>
    </row>
    <row r="81" spans="2:15" x14ac:dyDescent="0.25">
      <c r="B81" s="52"/>
      <c r="C81" s="24"/>
      <c r="D81" s="24"/>
      <c r="E81" s="44"/>
      <c r="F81" s="24"/>
      <c r="G81" s="44"/>
      <c r="H81" s="24"/>
      <c r="I81" s="44"/>
      <c r="J81" s="45"/>
      <c r="K81" s="44"/>
      <c r="L81" s="24"/>
      <c r="M81" s="44"/>
      <c r="N81" s="24"/>
      <c r="O81" s="53"/>
    </row>
    <row r="82" spans="2:15" x14ac:dyDescent="0.25">
      <c r="B82" s="52"/>
      <c r="C82" s="24"/>
      <c r="D82" s="24"/>
      <c r="E82" s="44"/>
      <c r="F82" s="24"/>
      <c r="G82" s="44"/>
      <c r="H82" s="24"/>
      <c r="I82" s="44"/>
      <c r="J82" s="45"/>
      <c r="K82" s="44"/>
      <c r="L82" s="24"/>
      <c r="M82" s="44"/>
      <c r="N82" s="24"/>
      <c r="O82" s="53"/>
    </row>
    <row r="83" spans="2:15" ht="18" x14ac:dyDescent="0.25">
      <c r="B83" s="52"/>
      <c r="C83" s="46"/>
      <c r="D83" s="24"/>
      <c r="E83" s="44"/>
      <c r="F83" s="24"/>
      <c r="G83" s="44"/>
      <c r="H83" s="24"/>
      <c r="I83" s="44"/>
      <c r="J83" s="45"/>
      <c r="K83" s="44"/>
      <c r="L83" s="24"/>
      <c r="M83" s="44"/>
      <c r="N83" s="24"/>
      <c r="O83" s="53"/>
    </row>
    <row r="84" spans="2:15" x14ac:dyDescent="0.25">
      <c r="B84" s="52"/>
      <c r="C84" s="24"/>
      <c r="D84" s="24"/>
      <c r="E84" s="44"/>
      <c r="F84" s="24"/>
      <c r="G84" s="44"/>
      <c r="H84" s="24"/>
      <c r="I84" s="44"/>
      <c r="J84" s="45"/>
      <c r="K84" s="44"/>
      <c r="L84" s="24"/>
      <c r="M84" s="44"/>
      <c r="N84" s="24"/>
      <c r="O84" s="53"/>
    </row>
    <row r="85" spans="2:15" x14ac:dyDescent="0.25">
      <c r="B85" s="52"/>
      <c r="C85" s="24"/>
      <c r="D85" s="24"/>
      <c r="E85" s="44"/>
      <c r="F85" s="24"/>
      <c r="G85" s="44"/>
      <c r="H85" s="24"/>
      <c r="I85" s="44"/>
      <c r="J85" s="45"/>
      <c r="K85" s="44"/>
      <c r="L85" s="24"/>
      <c r="M85" s="44"/>
      <c r="N85" s="24"/>
      <c r="O85" s="53"/>
    </row>
    <row r="86" spans="2:15" x14ac:dyDescent="0.25">
      <c r="B86" s="52"/>
      <c r="C86" s="24"/>
      <c r="D86" s="24"/>
      <c r="E86" s="44"/>
      <c r="F86" s="24"/>
      <c r="G86" s="44"/>
      <c r="H86" s="24"/>
      <c r="I86" s="44"/>
      <c r="J86" s="45"/>
      <c r="K86" s="44"/>
      <c r="L86" s="24"/>
      <c r="M86" s="44"/>
      <c r="N86" s="24"/>
      <c r="O86" s="53"/>
    </row>
    <row r="87" spans="2:15" x14ac:dyDescent="0.25">
      <c r="B87" s="52"/>
      <c r="C87" s="24"/>
      <c r="D87" s="24"/>
      <c r="E87" s="44"/>
      <c r="F87" s="24"/>
      <c r="G87" s="44"/>
      <c r="H87" s="24"/>
      <c r="I87" s="44"/>
      <c r="J87" s="45"/>
      <c r="K87" s="44"/>
      <c r="L87" s="24"/>
      <c r="M87" s="44"/>
      <c r="N87" s="24"/>
      <c r="O87" s="53"/>
    </row>
    <row r="88" spans="2:15" x14ac:dyDescent="0.25">
      <c r="B88" s="52"/>
      <c r="C88" s="24"/>
      <c r="D88" s="24"/>
      <c r="E88" s="44"/>
      <c r="F88" s="24"/>
      <c r="G88" s="44"/>
      <c r="H88" s="24"/>
      <c r="I88" s="44"/>
      <c r="J88" s="45"/>
      <c r="K88" s="44"/>
      <c r="L88" s="24"/>
      <c r="M88" s="44"/>
      <c r="N88" s="24"/>
      <c r="O88" s="53"/>
    </row>
    <row r="89" spans="2:15" x14ac:dyDescent="0.25">
      <c r="B89" s="52"/>
      <c r="C89" s="24"/>
      <c r="D89" s="24"/>
      <c r="E89" s="44"/>
      <c r="F89" s="24"/>
      <c r="G89" s="44"/>
      <c r="H89" s="24"/>
      <c r="I89" s="44"/>
      <c r="J89" s="45"/>
      <c r="K89" s="44"/>
      <c r="L89" s="24"/>
      <c r="M89" s="44"/>
      <c r="N89" s="24"/>
      <c r="O89" s="53"/>
    </row>
    <row r="90" spans="2:15" x14ac:dyDescent="0.25">
      <c r="B90" s="52"/>
      <c r="C90" s="24"/>
      <c r="D90" s="24"/>
      <c r="E90" s="44"/>
      <c r="F90" s="24"/>
      <c r="G90" s="44"/>
      <c r="H90" s="24"/>
      <c r="I90" s="44"/>
      <c r="J90" s="45"/>
      <c r="K90" s="44"/>
      <c r="L90" s="24"/>
      <c r="M90" s="44"/>
      <c r="N90" s="24"/>
      <c r="O90" s="53"/>
    </row>
    <row r="91" spans="2:15" ht="18" x14ac:dyDescent="0.25">
      <c r="B91" s="52"/>
      <c r="C91" s="46"/>
      <c r="D91" s="24"/>
      <c r="E91" s="44"/>
      <c r="F91" s="24"/>
      <c r="G91" s="44"/>
      <c r="H91" s="24"/>
      <c r="I91" s="44"/>
      <c r="J91" s="45"/>
      <c r="K91" s="44"/>
      <c r="L91" s="24"/>
      <c r="M91" s="44"/>
      <c r="N91" s="24"/>
      <c r="O91" s="53"/>
    </row>
    <row r="92" spans="2:15" x14ac:dyDescent="0.25">
      <c r="B92" s="52"/>
      <c r="C92" s="24"/>
      <c r="D92" s="24"/>
      <c r="E92" s="44"/>
      <c r="F92" s="24"/>
      <c r="G92" s="44"/>
      <c r="H92" s="24"/>
      <c r="I92" s="44"/>
      <c r="J92" s="45"/>
      <c r="K92" s="44"/>
      <c r="L92" s="24"/>
      <c r="M92" s="44"/>
      <c r="N92" s="24"/>
      <c r="O92" s="53"/>
    </row>
    <row r="93" spans="2:15" x14ac:dyDescent="0.25">
      <c r="B93" s="52"/>
      <c r="C93" s="24"/>
      <c r="D93" s="24"/>
      <c r="E93" s="44"/>
      <c r="F93" s="24"/>
      <c r="G93" s="44"/>
      <c r="H93" s="24"/>
      <c r="I93" s="44"/>
      <c r="J93" s="45"/>
      <c r="K93" s="44"/>
      <c r="L93" s="24"/>
      <c r="M93" s="44"/>
      <c r="N93" s="24"/>
      <c r="O93" s="53"/>
    </row>
    <row r="94" spans="2:15" x14ac:dyDescent="0.25">
      <c r="B94" s="52"/>
      <c r="C94" s="24"/>
      <c r="D94" s="24"/>
      <c r="E94" s="44"/>
      <c r="F94" s="24"/>
      <c r="G94" s="44"/>
      <c r="H94" s="24"/>
      <c r="I94" s="44"/>
      <c r="J94" s="45"/>
      <c r="K94" s="44"/>
      <c r="L94" s="24"/>
      <c r="M94" s="44"/>
      <c r="N94" s="24"/>
      <c r="O94" s="53"/>
    </row>
    <row r="95" spans="2:15" x14ac:dyDescent="0.25">
      <c r="B95" s="52"/>
      <c r="C95" s="24"/>
      <c r="D95" s="24"/>
      <c r="E95" s="44"/>
      <c r="F95" s="24"/>
      <c r="G95" s="44"/>
      <c r="H95" s="24"/>
      <c r="I95" s="44"/>
      <c r="J95" s="45"/>
      <c r="K95" s="44"/>
      <c r="L95" s="24"/>
      <c r="M95" s="44"/>
      <c r="N95" s="24"/>
      <c r="O95" s="53"/>
    </row>
    <row r="96" spans="2:15" x14ac:dyDescent="0.25">
      <c r="B96" s="52"/>
      <c r="C96" s="24"/>
      <c r="D96" s="24"/>
      <c r="E96" s="44"/>
      <c r="F96" s="24"/>
      <c r="G96" s="44"/>
      <c r="H96" s="24"/>
      <c r="I96" s="44"/>
      <c r="J96" s="45"/>
      <c r="K96" s="44"/>
      <c r="L96" s="24"/>
      <c r="M96" s="44"/>
      <c r="N96" s="24"/>
      <c r="O96" s="53"/>
    </row>
    <row r="97" spans="2:15" x14ac:dyDescent="0.25">
      <c r="B97" s="52"/>
      <c r="C97" s="24"/>
      <c r="D97" s="24"/>
      <c r="E97" s="44"/>
      <c r="F97" s="24"/>
      <c r="G97" s="44"/>
      <c r="H97" s="24"/>
      <c r="I97" s="44"/>
      <c r="J97" s="45"/>
      <c r="K97" s="44"/>
      <c r="L97" s="24"/>
      <c r="M97" s="44"/>
      <c r="N97" s="24"/>
      <c r="O97" s="53"/>
    </row>
    <row r="98" spans="2:15" x14ac:dyDescent="0.25">
      <c r="B98" s="52"/>
      <c r="C98" s="24"/>
      <c r="D98" s="24"/>
      <c r="E98" s="44"/>
      <c r="F98" s="24"/>
      <c r="G98" s="44"/>
      <c r="H98" s="24"/>
      <c r="I98" s="44"/>
      <c r="J98" s="45"/>
      <c r="K98" s="44"/>
      <c r="L98" s="24"/>
      <c r="M98" s="44"/>
      <c r="N98" s="24"/>
      <c r="O98" s="53"/>
    </row>
    <row r="99" spans="2:15" x14ac:dyDescent="0.25">
      <c r="B99" s="52"/>
      <c r="C99" s="24"/>
      <c r="D99" s="24"/>
      <c r="E99" s="44"/>
      <c r="F99" s="24"/>
      <c r="G99" s="44"/>
      <c r="H99" s="24"/>
      <c r="I99" s="44"/>
      <c r="J99" s="45"/>
      <c r="K99" s="44"/>
      <c r="L99" s="24"/>
      <c r="M99" s="44"/>
      <c r="N99" s="24"/>
      <c r="O99" s="53"/>
    </row>
    <row r="100" spans="2:15" x14ac:dyDescent="0.25">
      <c r="B100" s="52"/>
      <c r="C100" s="24"/>
      <c r="D100" s="24"/>
      <c r="E100" s="44"/>
      <c r="F100" s="24"/>
      <c r="G100" s="44"/>
      <c r="H100" s="24"/>
      <c r="I100" s="44"/>
      <c r="J100" s="45"/>
      <c r="K100" s="44"/>
      <c r="L100" s="24"/>
      <c r="M100" s="44"/>
      <c r="N100" s="24"/>
      <c r="O100" s="53"/>
    </row>
    <row r="101" spans="2:15" x14ac:dyDescent="0.25">
      <c r="B101" s="52"/>
      <c r="C101" s="24"/>
      <c r="D101" s="24"/>
      <c r="E101" s="44"/>
      <c r="F101" s="24"/>
      <c r="G101" s="44"/>
      <c r="H101" s="24"/>
      <c r="I101" s="44"/>
      <c r="J101" s="45"/>
      <c r="K101" s="44"/>
      <c r="L101" s="24"/>
      <c r="M101" s="44"/>
      <c r="N101" s="24"/>
      <c r="O101" s="53"/>
    </row>
    <row r="102" spans="2:15" x14ac:dyDescent="0.25">
      <c r="B102" s="52"/>
      <c r="C102" s="24"/>
      <c r="D102" s="24"/>
      <c r="E102" s="44"/>
      <c r="F102" s="24"/>
      <c r="G102" s="44"/>
      <c r="H102" s="24"/>
      <c r="I102" s="44"/>
      <c r="J102" s="45"/>
      <c r="K102" s="44"/>
      <c r="L102" s="24"/>
      <c r="M102" s="44"/>
      <c r="N102" s="24"/>
      <c r="O102" s="53"/>
    </row>
    <row r="103" spans="2:15" x14ac:dyDescent="0.25">
      <c r="B103" s="52"/>
      <c r="C103" s="24"/>
      <c r="D103" s="24"/>
      <c r="E103" s="44"/>
      <c r="F103" s="24"/>
      <c r="G103" s="44"/>
      <c r="H103" s="24"/>
      <c r="I103" s="44"/>
      <c r="J103" s="45"/>
      <c r="K103" s="44"/>
      <c r="L103" s="24"/>
      <c r="M103" s="44"/>
      <c r="N103" s="24"/>
      <c r="O103" s="53"/>
    </row>
    <row r="104" spans="2:15" x14ac:dyDescent="0.25">
      <c r="B104" s="52"/>
      <c r="C104" s="24"/>
      <c r="D104" s="24"/>
      <c r="E104" s="44"/>
      <c r="F104" s="24"/>
      <c r="G104" s="44"/>
      <c r="H104" s="24"/>
      <c r="I104" s="44"/>
      <c r="J104" s="45"/>
      <c r="K104" s="44"/>
      <c r="L104" s="24"/>
      <c r="M104" s="44"/>
      <c r="N104" s="24"/>
      <c r="O104" s="53"/>
    </row>
    <row r="105" spans="2:15" x14ac:dyDescent="0.25">
      <c r="B105" s="52"/>
      <c r="C105" s="24"/>
      <c r="D105" s="24"/>
      <c r="E105" s="44"/>
      <c r="F105" s="24"/>
      <c r="G105" s="44"/>
      <c r="H105" s="24"/>
      <c r="I105" s="44"/>
      <c r="J105" s="45"/>
      <c r="K105" s="44"/>
      <c r="L105" s="24"/>
      <c r="M105" s="44"/>
      <c r="N105" s="24"/>
      <c r="O105" s="53"/>
    </row>
    <row r="106" spans="2:15" x14ac:dyDescent="0.25">
      <c r="B106" s="52"/>
      <c r="C106" s="24"/>
      <c r="D106" s="24"/>
      <c r="E106" s="44"/>
      <c r="F106" s="24"/>
      <c r="G106" s="44"/>
      <c r="H106" s="24"/>
      <c r="I106" s="44"/>
      <c r="J106" s="45"/>
      <c r="K106" s="44"/>
      <c r="L106" s="24"/>
      <c r="M106" s="44"/>
      <c r="N106" s="24"/>
      <c r="O106" s="53"/>
    </row>
    <row r="107" spans="2:15" x14ac:dyDescent="0.25">
      <c r="B107" s="52"/>
      <c r="C107" s="24"/>
      <c r="D107" s="24"/>
      <c r="E107" s="44"/>
      <c r="F107" s="24"/>
      <c r="G107" s="44"/>
      <c r="H107" s="24"/>
      <c r="I107" s="44"/>
      <c r="J107" s="45"/>
      <c r="K107" s="44"/>
      <c r="L107" s="24"/>
      <c r="M107" s="44"/>
      <c r="N107" s="24"/>
      <c r="O107" s="53"/>
    </row>
    <row r="108" spans="2:15" x14ac:dyDescent="0.25">
      <c r="B108" s="52"/>
      <c r="C108" s="216"/>
      <c r="D108" s="24"/>
      <c r="E108" s="44"/>
      <c r="F108" s="24"/>
      <c r="G108" s="44"/>
      <c r="H108" s="24"/>
      <c r="I108" s="44"/>
      <c r="J108" s="45"/>
      <c r="K108" s="44"/>
      <c r="L108" s="24"/>
      <c r="M108" s="44"/>
      <c r="N108" s="24"/>
      <c r="O108" s="53"/>
    </row>
    <row r="109" spans="2:15" x14ac:dyDescent="0.25">
      <c r="B109" s="52"/>
      <c r="C109" s="24"/>
      <c r="D109" s="24"/>
      <c r="E109" s="44"/>
      <c r="F109" s="24"/>
      <c r="G109" s="44"/>
      <c r="H109" s="24"/>
      <c r="I109" s="44"/>
      <c r="J109" s="45"/>
      <c r="K109" s="44"/>
      <c r="L109" s="24"/>
      <c r="M109" s="44"/>
      <c r="N109" s="24"/>
      <c r="O109" s="53"/>
    </row>
    <row r="110" spans="2:15" x14ac:dyDescent="0.25">
      <c r="B110" s="52"/>
      <c r="C110" s="24"/>
      <c r="D110" s="24"/>
      <c r="E110" s="44"/>
      <c r="F110" s="24"/>
      <c r="G110" s="44"/>
      <c r="H110" s="24"/>
      <c r="I110" s="44"/>
      <c r="J110" s="45"/>
      <c r="K110" s="44"/>
      <c r="L110" s="24"/>
      <c r="M110" s="44"/>
      <c r="N110" s="24"/>
      <c r="O110" s="53"/>
    </row>
    <row r="111" spans="2:15" x14ac:dyDescent="0.25">
      <c r="B111" s="52"/>
      <c r="C111" s="24"/>
      <c r="D111" s="24"/>
      <c r="E111" s="44"/>
      <c r="F111" s="24"/>
      <c r="G111" s="44"/>
      <c r="H111" s="24"/>
      <c r="I111" s="44"/>
      <c r="J111" s="45"/>
      <c r="K111" s="44"/>
      <c r="L111" s="24"/>
      <c r="M111" s="44"/>
      <c r="N111" s="24"/>
      <c r="O111" s="53"/>
    </row>
    <row r="112" spans="2:15" x14ac:dyDescent="0.25">
      <c r="B112" s="52"/>
      <c r="C112" s="24"/>
      <c r="D112" s="24"/>
      <c r="E112" s="44"/>
      <c r="F112" s="24"/>
      <c r="G112" s="44"/>
      <c r="H112" s="24"/>
      <c r="I112" s="44"/>
      <c r="J112" s="45"/>
      <c r="K112" s="44"/>
      <c r="L112" s="24"/>
      <c r="M112" s="44"/>
      <c r="N112" s="24"/>
      <c r="O112" s="53"/>
    </row>
    <row r="113" spans="2:15" x14ac:dyDescent="0.25">
      <c r="B113" s="52"/>
      <c r="C113" s="24"/>
      <c r="D113" s="24"/>
      <c r="E113" s="44"/>
      <c r="F113" s="24"/>
      <c r="G113" s="44"/>
      <c r="H113" s="24"/>
      <c r="I113" s="44"/>
      <c r="J113" s="45"/>
      <c r="K113" s="44"/>
      <c r="L113" s="24"/>
      <c r="M113" s="44"/>
      <c r="N113" s="24"/>
      <c r="O113" s="53"/>
    </row>
    <row r="114" spans="2:15" x14ac:dyDescent="0.25">
      <c r="B114" s="52"/>
      <c r="C114" s="24"/>
      <c r="D114" s="24"/>
      <c r="E114" s="44"/>
      <c r="F114" s="24"/>
      <c r="G114" s="44"/>
      <c r="H114" s="24"/>
      <c r="I114" s="44"/>
      <c r="J114" s="45"/>
      <c r="K114" s="44"/>
      <c r="L114" s="24"/>
      <c r="M114" s="44"/>
      <c r="N114" s="24"/>
      <c r="O114" s="53"/>
    </row>
    <row r="115" spans="2:15" x14ac:dyDescent="0.25">
      <c r="B115" s="52"/>
      <c r="C115" s="24"/>
      <c r="D115" s="24"/>
      <c r="E115" s="44"/>
      <c r="F115" s="24"/>
      <c r="G115" s="44"/>
      <c r="H115" s="24"/>
      <c r="I115" s="44"/>
      <c r="J115" s="45"/>
      <c r="K115" s="44"/>
      <c r="L115" s="24"/>
      <c r="M115" s="44"/>
      <c r="N115" s="24"/>
      <c r="O115" s="53"/>
    </row>
    <row r="116" spans="2:15" ht="13.5" thickBot="1" x14ac:dyDescent="0.3">
      <c r="B116" s="54"/>
      <c r="C116" s="55"/>
      <c r="D116" s="55"/>
      <c r="E116" s="56"/>
      <c r="F116" s="55"/>
      <c r="G116" s="56"/>
      <c r="H116" s="55"/>
      <c r="I116" s="56"/>
      <c r="J116" s="57"/>
      <c r="K116" s="56"/>
      <c r="L116" s="55"/>
      <c r="M116" s="56"/>
      <c r="N116" s="55"/>
      <c r="O116" s="58"/>
    </row>
    <row r="118" spans="2:15" ht="13.5" thickBot="1" x14ac:dyDescent="0.3"/>
    <row r="119" spans="2:15" x14ac:dyDescent="0.25">
      <c r="B119" s="47"/>
      <c r="C119" s="48"/>
      <c r="D119" s="48"/>
      <c r="E119" s="49"/>
      <c r="F119" s="48"/>
      <c r="G119" s="49"/>
      <c r="H119" s="48"/>
      <c r="I119" s="49"/>
      <c r="J119" s="50"/>
      <c r="K119" s="49"/>
      <c r="L119" s="48"/>
      <c r="M119" s="49"/>
      <c r="N119" s="48"/>
      <c r="O119" s="51"/>
    </row>
    <row r="120" spans="2:15" x14ac:dyDescent="0.25">
      <c r="B120" s="52"/>
      <c r="C120" s="24"/>
      <c r="D120" s="24"/>
      <c r="E120" s="44"/>
      <c r="F120" s="24"/>
      <c r="G120" s="44"/>
      <c r="H120" s="24"/>
      <c r="I120" s="44"/>
      <c r="J120" s="45"/>
      <c r="K120" s="44"/>
      <c r="L120" s="24"/>
      <c r="M120" s="44"/>
      <c r="N120" s="24"/>
      <c r="O120" s="53"/>
    </row>
    <row r="121" spans="2:15" x14ac:dyDescent="0.25">
      <c r="B121" s="52"/>
      <c r="C121" s="100"/>
      <c r="D121" s="24"/>
      <c r="E121" s="44"/>
      <c r="F121" s="24"/>
      <c r="G121" s="44"/>
      <c r="H121" s="24"/>
      <c r="I121" s="44"/>
      <c r="J121" s="45"/>
      <c r="K121" s="44"/>
      <c r="L121" s="24"/>
      <c r="M121" s="44"/>
      <c r="N121" s="24"/>
      <c r="O121" s="53"/>
    </row>
    <row r="122" spans="2:15" ht="23.25" x14ac:dyDescent="0.25">
      <c r="B122" s="52"/>
      <c r="C122" s="59" t="s">
        <v>81</v>
      </c>
      <c r="D122" s="24"/>
      <c r="E122" s="44"/>
      <c r="F122" s="24"/>
      <c r="G122" s="44"/>
      <c r="H122" s="24"/>
      <c r="I122" s="44"/>
      <c r="J122" s="45"/>
      <c r="K122" s="44"/>
      <c r="L122" s="24"/>
      <c r="M122" s="44"/>
      <c r="N122" s="24"/>
      <c r="O122" s="53"/>
    </row>
    <row r="123" spans="2:15" x14ac:dyDescent="0.25">
      <c r="B123" s="52"/>
      <c r="C123" s="24"/>
      <c r="D123" s="24"/>
      <c r="E123" s="44"/>
      <c r="F123" s="24"/>
      <c r="G123" s="44"/>
      <c r="H123" s="24"/>
      <c r="I123" s="44"/>
      <c r="J123" s="45"/>
      <c r="K123" s="44"/>
      <c r="L123" s="24"/>
      <c r="M123" s="44"/>
      <c r="N123" s="24"/>
      <c r="O123" s="53"/>
    </row>
    <row r="124" spans="2:15" x14ac:dyDescent="0.25">
      <c r="B124" s="52"/>
      <c r="C124" s="24"/>
      <c r="D124" s="24"/>
      <c r="E124" s="44"/>
      <c r="F124" s="24"/>
      <c r="G124" s="44"/>
      <c r="H124" s="24"/>
      <c r="I124" s="44"/>
      <c r="J124" s="45"/>
      <c r="K124" s="44"/>
      <c r="L124" s="24"/>
      <c r="M124" s="44"/>
      <c r="N124" s="24"/>
      <c r="O124" s="53"/>
    </row>
    <row r="125" spans="2:15" x14ac:dyDescent="0.25">
      <c r="B125" s="52"/>
      <c r="C125" s="24"/>
      <c r="D125" s="24"/>
      <c r="E125" s="44"/>
      <c r="F125" s="24"/>
      <c r="G125" s="44"/>
      <c r="H125" s="24"/>
      <c r="I125" s="44"/>
      <c r="J125" s="45"/>
      <c r="K125" s="44"/>
      <c r="L125" s="24"/>
      <c r="M125" s="44"/>
      <c r="N125" s="24"/>
      <c r="O125" s="53"/>
    </row>
    <row r="126" spans="2:15" x14ac:dyDescent="0.25">
      <c r="B126" s="52"/>
      <c r="C126" s="24"/>
      <c r="D126" s="24"/>
      <c r="E126" s="44"/>
      <c r="F126" s="24"/>
      <c r="G126" s="44"/>
      <c r="H126" s="24"/>
      <c r="I126" s="44"/>
      <c r="J126" s="45"/>
      <c r="K126" s="44"/>
      <c r="L126" s="24"/>
      <c r="M126" s="44"/>
      <c r="N126" s="24"/>
      <c r="O126" s="53"/>
    </row>
    <row r="127" spans="2:15" x14ac:dyDescent="0.25">
      <c r="B127" s="52"/>
      <c r="C127" s="24"/>
      <c r="D127" s="24"/>
      <c r="E127" s="44"/>
      <c r="F127" s="24"/>
      <c r="G127" s="44"/>
      <c r="H127" s="24"/>
      <c r="I127" s="44"/>
      <c r="J127" s="45"/>
      <c r="K127" s="44"/>
      <c r="L127" s="24"/>
      <c r="M127" s="44"/>
      <c r="N127" s="24"/>
      <c r="O127" s="53"/>
    </row>
    <row r="128" spans="2:15" ht="18" x14ac:dyDescent="0.25">
      <c r="B128" s="52"/>
      <c r="C128" s="46"/>
      <c r="D128" s="24"/>
      <c r="E128" s="44"/>
      <c r="F128" s="24"/>
      <c r="G128" s="44"/>
      <c r="H128" s="24"/>
      <c r="I128" s="44"/>
      <c r="J128" s="45"/>
      <c r="K128" s="44"/>
      <c r="L128" s="24"/>
      <c r="M128" s="44"/>
      <c r="N128" s="24"/>
      <c r="O128" s="53"/>
    </row>
    <row r="129" spans="2:15" x14ac:dyDescent="0.25">
      <c r="B129" s="52"/>
      <c r="C129" s="24"/>
      <c r="D129" s="24"/>
      <c r="E129" s="44"/>
      <c r="F129" s="24"/>
      <c r="G129" s="44"/>
      <c r="H129" s="24"/>
      <c r="I129" s="44"/>
      <c r="J129" s="45"/>
      <c r="K129" s="44"/>
      <c r="L129" s="24"/>
      <c r="M129" s="44"/>
      <c r="N129" s="24"/>
      <c r="O129" s="53"/>
    </row>
    <row r="130" spans="2:15" x14ac:dyDescent="0.25">
      <c r="B130" s="52"/>
      <c r="C130" s="24"/>
      <c r="D130" s="24"/>
      <c r="E130" s="44"/>
      <c r="F130" s="24"/>
      <c r="G130" s="44"/>
      <c r="H130" s="24"/>
      <c r="I130" s="44"/>
      <c r="J130" s="45"/>
      <c r="K130" s="44"/>
      <c r="L130" s="24"/>
      <c r="M130" s="44"/>
      <c r="N130" s="24"/>
      <c r="O130" s="53"/>
    </row>
    <row r="131" spans="2:15" x14ac:dyDescent="0.25">
      <c r="B131" s="52"/>
      <c r="C131" s="24"/>
      <c r="D131" s="24"/>
      <c r="E131" s="44"/>
      <c r="F131" s="24"/>
      <c r="G131" s="44"/>
      <c r="H131" s="24"/>
      <c r="I131" s="44"/>
      <c r="J131" s="45"/>
      <c r="K131" s="44"/>
      <c r="L131" s="24"/>
      <c r="M131" s="44"/>
      <c r="N131" s="24"/>
      <c r="O131" s="53"/>
    </row>
    <row r="132" spans="2:15" x14ac:dyDescent="0.25">
      <c r="B132" s="52"/>
      <c r="C132" s="24"/>
      <c r="D132" s="24"/>
      <c r="E132" s="44"/>
      <c r="F132" s="24"/>
      <c r="G132" s="44"/>
      <c r="H132" s="24"/>
      <c r="I132" s="44"/>
      <c r="J132" s="45"/>
      <c r="K132" s="44"/>
      <c r="L132" s="24"/>
      <c r="M132" s="44"/>
      <c r="N132" s="24"/>
      <c r="O132" s="53"/>
    </row>
    <row r="133" spans="2:15" x14ac:dyDescent="0.25">
      <c r="B133" s="52"/>
      <c r="C133" s="24"/>
      <c r="D133" s="24"/>
      <c r="E133" s="44"/>
      <c r="F133" s="24"/>
      <c r="G133" s="44"/>
      <c r="H133" s="24"/>
      <c r="I133" s="44"/>
      <c r="J133" s="45"/>
      <c r="K133" s="44"/>
      <c r="L133" s="24"/>
      <c r="M133" s="44"/>
      <c r="N133" s="24"/>
      <c r="O133" s="53"/>
    </row>
    <row r="134" spans="2:15" x14ac:dyDescent="0.25">
      <c r="B134" s="52"/>
      <c r="C134" s="24"/>
      <c r="D134" s="24"/>
      <c r="E134" s="44"/>
      <c r="F134" s="24"/>
      <c r="G134" s="44"/>
      <c r="H134" s="24"/>
      <c r="I134" s="44"/>
      <c r="J134" s="45"/>
      <c r="K134" s="44"/>
      <c r="L134" s="24"/>
      <c r="M134" s="44"/>
      <c r="N134" s="24"/>
      <c r="O134" s="53"/>
    </row>
    <row r="135" spans="2:15" x14ac:dyDescent="0.25">
      <c r="B135" s="52"/>
      <c r="C135" s="24"/>
      <c r="D135" s="24"/>
      <c r="E135" s="44"/>
      <c r="F135" s="24"/>
      <c r="G135" s="44"/>
      <c r="H135" s="24"/>
      <c r="I135" s="44"/>
      <c r="J135" s="45"/>
      <c r="K135" s="44"/>
      <c r="L135" s="24"/>
      <c r="M135" s="44"/>
      <c r="N135" s="24"/>
      <c r="O135" s="53"/>
    </row>
    <row r="136" spans="2:15" x14ac:dyDescent="0.25">
      <c r="B136" s="52"/>
      <c r="C136" s="24"/>
      <c r="D136" s="24"/>
      <c r="E136" s="44"/>
      <c r="F136" s="24"/>
      <c r="G136" s="44"/>
      <c r="H136" s="24"/>
      <c r="I136" s="44"/>
      <c r="J136" s="45"/>
      <c r="K136" s="44"/>
      <c r="L136" s="24"/>
      <c r="M136" s="44"/>
      <c r="N136" s="24"/>
      <c r="O136" s="53"/>
    </row>
    <row r="137" spans="2:15" x14ac:dyDescent="0.25">
      <c r="B137" s="52"/>
      <c r="C137" s="24"/>
      <c r="D137" s="24"/>
      <c r="E137" s="44"/>
      <c r="F137" s="24"/>
      <c r="G137" s="44"/>
      <c r="H137" s="24"/>
      <c r="I137" s="44"/>
      <c r="J137" s="45"/>
      <c r="K137" s="44"/>
      <c r="L137" s="24"/>
      <c r="M137" s="44"/>
      <c r="N137" s="24"/>
      <c r="O137" s="53"/>
    </row>
    <row r="138" spans="2:15" x14ac:dyDescent="0.25">
      <c r="B138" s="52"/>
      <c r="C138" s="24"/>
      <c r="D138" s="24"/>
      <c r="E138" s="44"/>
      <c r="F138" s="24"/>
      <c r="G138" s="44"/>
      <c r="H138" s="24"/>
      <c r="I138" s="44"/>
      <c r="J138" s="45"/>
      <c r="K138" s="44"/>
      <c r="L138" s="24"/>
      <c r="M138" s="44"/>
      <c r="N138" s="24"/>
      <c r="O138" s="53"/>
    </row>
    <row r="139" spans="2:15" x14ac:dyDescent="0.25">
      <c r="B139" s="52"/>
      <c r="C139" s="24"/>
      <c r="D139" s="24"/>
      <c r="E139" s="44"/>
      <c r="F139" s="24"/>
      <c r="G139" s="44"/>
      <c r="H139" s="24"/>
      <c r="I139" s="44"/>
      <c r="J139" s="45"/>
      <c r="K139" s="44"/>
      <c r="L139" s="24"/>
      <c r="M139" s="44"/>
      <c r="N139" s="24"/>
      <c r="O139" s="53"/>
    </row>
    <row r="140" spans="2:15" x14ac:dyDescent="0.25">
      <c r="B140" s="52"/>
      <c r="C140" s="24"/>
      <c r="D140" s="24"/>
      <c r="E140" s="44"/>
      <c r="F140" s="24"/>
      <c r="G140" s="44"/>
      <c r="H140" s="24"/>
      <c r="I140" s="44"/>
      <c r="J140" s="45"/>
      <c r="K140" s="44"/>
      <c r="L140" s="24"/>
      <c r="M140" s="44"/>
      <c r="N140" s="24"/>
      <c r="O140" s="53"/>
    </row>
    <row r="141" spans="2:15" x14ac:dyDescent="0.25">
      <c r="B141" s="52"/>
      <c r="C141" s="24"/>
      <c r="D141" s="24"/>
      <c r="E141" s="44"/>
      <c r="F141" s="24"/>
      <c r="G141" s="44"/>
      <c r="H141" s="24"/>
      <c r="I141" s="44"/>
      <c r="J141" s="45"/>
      <c r="K141" s="44"/>
      <c r="L141" s="24"/>
      <c r="M141" s="44"/>
      <c r="N141" s="24"/>
      <c r="O141" s="53"/>
    </row>
    <row r="142" spans="2:15" x14ac:dyDescent="0.25">
      <c r="B142" s="52"/>
      <c r="C142" s="24"/>
      <c r="D142" s="24"/>
      <c r="E142" s="44"/>
      <c r="F142" s="24"/>
      <c r="G142" s="44"/>
      <c r="H142" s="24"/>
      <c r="I142" s="44"/>
      <c r="J142" s="45"/>
      <c r="K142" s="44"/>
      <c r="L142" s="24"/>
      <c r="M142" s="44"/>
      <c r="N142" s="24"/>
      <c r="O142" s="53"/>
    </row>
    <row r="143" spans="2:15" x14ac:dyDescent="0.25">
      <c r="B143" s="52"/>
      <c r="C143" s="24"/>
      <c r="D143" s="24"/>
      <c r="E143" s="44"/>
      <c r="F143" s="24"/>
      <c r="G143" s="44"/>
      <c r="H143" s="24"/>
      <c r="I143" s="44"/>
      <c r="J143" s="45"/>
      <c r="K143" s="44"/>
      <c r="L143" s="24"/>
      <c r="M143" s="44"/>
      <c r="N143" s="24"/>
      <c r="O143" s="53"/>
    </row>
    <row r="144" spans="2:15" x14ac:dyDescent="0.25">
      <c r="B144" s="52"/>
      <c r="C144" s="24"/>
      <c r="D144" s="24"/>
      <c r="E144" s="44"/>
      <c r="F144" s="24"/>
      <c r="G144" s="44"/>
      <c r="H144" s="24"/>
      <c r="I144" s="44"/>
      <c r="J144" s="45"/>
      <c r="K144" s="44"/>
      <c r="L144" s="24"/>
      <c r="M144" s="44"/>
      <c r="N144" s="24"/>
      <c r="O144" s="53"/>
    </row>
    <row r="145" spans="1:67" x14ac:dyDescent="0.25">
      <c r="B145" s="52"/>
      <c r="C145" s="24"/>
      <c r="D145" s="24"/>
      <c r="E145" s="44"/>
      <c r="F145" s="24"/>
      <c r="G145" s="44"/>
      <c r="H145" s="24"/>
      <c r="I145" s="44"/>
      <c r="J145" s="45"/>
      <c r="K145" s="44"/>
      <c r="L145" s="24"/>
      <c r="M145" s="44"/>
      <c r="N145" s="24"/>
      <c r="O145" s="53"/>
    </row>
    <row r="146" spans="1:67" x14ac:dyDescent="0.25">
      <c r="B146" s="52"/>
      <c r="C146" s="24"/>
      <c r="D146" s="24"/>
      <c r="E146" s="44"/>
      <c r="F146" s="24"/>
      <c r="G146" s="44"/>
      <c r="H146" s="24"/>
      <c r="I146" s="44"/>
      <c r="J146" s="45"/>
      <c r="K146" s="44"/>
      <c r="L146" s="24"/>
      <c r="M146" s="44"/>
      <c r="N146" s="24"/>
      <c r="O146" s="53"/>
    </row>
    <row r="147" spans="1:67" x14ac:dyDescent="0.25">
      <c r="B147" s="52"/>
      <c r="C147" s="24"/>
      <c r="D147" s="24"/>
      <c r="E147" s="44"/>
      <c r="F147" s="24"/>
      <c r="G147" s="44"/>
      <c r="H147" s="24"/>
      <c r="I147" s="44"/>
      <c r="J147" s="45"/>
      <c r="K147" s="44"/>
      <c r="L147" s="24"/>
      <c r="M147" s="44"/>
      <c r="N147" s="24"/>
      <c r="O147" s="53"/>
    </row>
    <row r="148" spans="1:67" x14ac:dyDescent="0.25">
      <c r="B148" s="52"/>
      <c r="C148" s="24"/>
      <c r="D148" s="24"/>
      <c r="E148" s="44"/>
      <c r="F148" s="24"/>
      <c r="G148" s="44"/>
      <c r="H148" s="24"/>
      <c r="I148" s="44"/>
      <c r="J148" s="45"/>
      <c r="K148" s="44"/>
      <c r="L148" s="24"/>
      <c r="M148" s="44"/>
      <c r="N148" s="24"/>
      <c r="O148" s="53"/>
    </row>
    <row r="149" spans="1:67" s="3" customFormat="1" ht="13.5" thickBot="1" x14ac:dyDescent="0.3">
      <c r="A149" s="35"/>
      <c r="B149" s="54"/>
      <c r="C149" s="55"/>
      <c r="D149" s="55"/>
      <c r="E149" s="56"/>
      <c r="F149" s="55"/>
      <c r="G149" s="56"/>
      <c r="H149" s="55"/>
      <c r="I149" s="56"/>
      <c r="J149" s="57"/>
      <c r="K149" s="56"/>
      <c r="L149" s="55"/>
      <c r="M149" s="56"/>
      <c r="N149" s="55"/>
      <c r="O149" s="58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  <c r="BI149" s="35"/>
      <c r="BJ149" s="35"/>
      <c r="BK149" s="35"/>
      <c r="BL149" s="35"/>
      <c r="BM149" s="35"/>
      <c r="BN149" s="35"/>
      <c r="BO149" s="35"/>
    </row>
  </sheetData>
  <mergeCells count="11">
    <mergeCell ref="L8:M8"/>
    <mergeCell ref="C4:M4"/>
    <mergeCell ref="C5:N5"/>
    <mergeCell ref="C6:M6"/>
    <mergeCell ref="D8:D9"/>
    <mergeCell ref="E8:E9"/>
    <mergeCell ref="F8:F9"/>
    <mergeCell ref="G8:G9"/>
    <mergeCell ref="H8:I8"/>
    <mergeCell ref="J8:J9"/>
    <mergeCell ref="K8:K9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B1:N26"/>
  <sheetViews>
    <sheetView showGridLines="0" zoomScale="80" zoomScaleNormal="80" workbookViewId="0"/>
  </sheetViews>
  <sheetFormatPr baseColWidth="10" defaultRowHeight="12.75" x14ac:dyDescent="0.25"/>
  <cols>
    <col min="1" max="1" width="9" style="35" customWidth="1"/>
    <col min="2" max="2" width="14.42578125" style="35" customWidth="1"/>
    <col min="3" max="3" width="48.28515625" style="35" customWidth="1"/>
    <col min="4" max="4" width="21.140625" style="35" bestFit="1" customWidth="1"/>
    <col min="5" max="5" width="21.140625" style="36" bestFit="1" customWidth="1"/>
    <col min="6" max="6" width="7.85546875" style="35" customWidth="1"/>
    <col min="7" max="7" width="14.85546875" style="35" bestFit="1" customWidth="1"/>
    <col min="8" max="8" width="11.5703125" style="36" bestFit="1" customWidth="1"/>
    <col min="9" max="9" width="16.42578125" style="37" customWidth="1"/>
    <col min="10" max="10" width="12.42578125" style="36" customWidth="1"/>
    <col min="11" max="11" width="15" style="35" bestFit="1" customWidth="1"/>
    <col min="12" max="12" width="11.42578125" style="36"/>
    <col min="13" max="13" width="2.140625" style="35" customWidth="1"/>
    <col min="14" max="14" width="8.42578125" style="35" customWidth="1"/>
    <col min="15" max="16384" width="11.42578125" style="35"/>
  </cols>
  <sheetData>
    <row r="1" spans="2:14" ht="13.5" thickBot="1" x14ac:dyDescent="0.3"/>
    <row r="2" spans="2:14" x14ac:dyDescent="0.25">
      <c r="B2" s="47"/>
      <c r="C2" s="48"/>
      <c r="D2" s="48"/>
      <c r="E2" s="49"/>
      <c r="F2" s="48"/>
      <c r="G2" s="48"/>
      <c r="H2" s="49"/>
      <c r="I2" s="50"/>
      <c r="J2" s="49"/>
      <c r="K2" s="48"/>
      <c r="L2" s="49"/>
      <c r="M2" s="48"/>
      <c r="N2" s="51"/>
    </row>
    <row r="3" spans="2:14" x14ac:dyDescent="0.25">
      <c r="B3" s="52"/>
      <c r="C3" s="24"/>
      <c r="D3" s="24"/>
      <c r="E3" s="44"/>
      <c r="F3" s="24"/>
      <c r="G3" s="24"/>
      <c r="H3" s="44"/>
      <c r="I3" s="45"/>
      <c r="J3" s="44"/>
      <c r="K3" s="24"/>
      <c r="L3" s="44"/>
      <c r="M3" s="24"/>
      <c r="N3" s="53"/>
    </row>
    <row r="4" spans="2:14" x14ac:dyDescent="0.25">
      <c r="B4" s="52"/>
      <c r="C4" s="100"/>
      <c r="D4" s="24"/>
      <c r="E4" s="44"/>
      <c r="F4" s="24"/>
      <c r="G4" s="24"/>
      <c r="H4" s="44"/>
      <c r="I4" s="45"/>
      <c r="J4" s="44"/>
      <c r="K4" s="24"/>
      <c r="L4" s="44"/>
      <c r="M4" s="24"/>
      <c r="N4" s="53"/>
    </row>
    <row r="5" spans="2:14" ht="23.25" x14ac:dyDescent="0.25">
      <c r="B5" s="52"/>
      <c r="C5" s="102" t="s">
        <v>71</v>
      </c>
      <c r="D5" s="24"/>
      <c r="E5" s="44"/>
      <c r="F5" s="24"/>
      <c r="G5" s="24"/>
      <c r="H5" s="44"/>
      <c r="I5" s="45"/>
      <c r="J5" s="44"/>
      <c r="K5" s="24"/>
      <c r="L5" s="44"/>
      <c r="M5" s="24"/>
      <c r="N5" s="53"/>
    </row>
    <row r="6" spans="2:14" x14ac:dyDescent="0.25">
      <c r="B6" s="52"/>
      <c r="C6" s="24"/>
      <c r="D6" s="24"/>
      <c r="E6" s="44"/>
      <c r="F6" s="24"/>
      <c r="G6" s="24"/>
      <c r="H6" s="44"/>
      <c r="I6" s="45"/>
      <c r="J6" s="44"/>
      <c r="K6" s="24"/>
      <c r="L6" s="44"/>
      <c r="M6" s="24"/>
      <c r="N6" s="53"/>
    </row>
    <row r="7" spans="2:14" x14ac:dyDescent="0.25">
      <c r="B7" s="52"/>
      <c r="C7" s="24"/>
      <c r="D7" s="24"/>
      <c r="E7" s="44"/>
      <c r="F7" s="24"/>
      <c r="G7" s="24"/>
      <c r="H7" s="44"/>
      <c r="I7" s="45"/>
      <c r="J7" s="44"/>
      <c r="K7" s="24"/>
      <c r="L7" s="44"/>
      <c r="M7" s="24"/>
      <c r="N7" s="53"/>
    </row>
    <row r="8" spans="2:14" ht="23.25" x14ac:dyDescent="0.35">
      <c r="B8" s="52"/>
      <c r="C8" s="24"/>
      <c r="D8" s="212">
        <v>2020</v>
      </c>
      <c r="E8" s="212">
        <v>2019</v>
      </c>
      <c r="F8" s="24"/>
      <c r="G8" s="100"/>
      <c r="H8" s="101"/>
      <c r="I8" s="46"/>
      <c r="J8" s="101"/>
      <c r="K8" s="94"/>
      <c r="L8" s="44"/>
      <c r="M8" s="24"/>
      <c r="N8" s="53"/>
    </row>
    <row r="9" spans="2:14" x14ac:dyDescent="0.25">
      <c r="B9" s="52"/>
      <c r="C9" s="24"/>
      <c r="D9" s="24"/>
      <c r="E9" s="44"/>
      <c r="F9" s="24"/>
      <c r="G9" s="24"/>
      <c r="H9" s="44"/>
      <c r="I9" s="44"/>
      <c r="J9" s="44"/>
      <c r="K9" s="24"/>
      <c r="L9" s="44"/>
      <c r="M9" s="24"/>
      <c r="N9" s="53"/>
    </row>
    <row r="10" spans="2:14" ht="28.5" customHeight="1" x14ac:dyDescent="0.4">
      <c r="B10" s="52"/>
      <c r="C10" s="209" t="s">
        <v>139</v>
      </c>
      <c r="D10" s="199">
        <f>+'ESTADO DE RESULTADOS'!D19</f>
        <v>1031014756</v>
      </c>
      <c r="E10" s="199">
        <f>+'ESTADO DE RESULTADOS'!F19</f>
        <v>1898816490</v>
      </c>
      <c r="F10" s="185"/>
      <c r="G10" s="24"/>
      <c r="H10" s="44"/>
      <c r="I10" s="45"/>
      <c r="J10" s="44"/>
      <c r="K10" s="24"/>
      <c r="L10" s="44"/>
      <c r="M10" s="24"/>
      <c r="N10" s="53"/>
    </row>
    <row r="11" spans="2:14" ht="28.5" customHeight="1" x14ac:dyDescent="0.4">
      <c r="B11" s="52"/>
      <c r="C11" s="209" t="s">
        <v>140</v>
      </c>
      <c r="D11" s="199">
        <f>+'ESTADO DE RESULTADOS'!D49+'ESTADO DE RESULTADOS'!D50+'ESTADO DE RESULTADOS'!D51+'ESTADO DE RESULTADOS'!D52</f>
        <v>25717371</v>
      </c>
      <c r="E11" s="199">
        <f>+'ESTADO DE RESULTADOS'!F49+'ESTADO DE RESULTADOS'!F50+'ESTADO DE RESULTADOS'!F51+'ESTADO DE RESULTADOS'!F52</f>
        <v>71619492</v>
      </c>
      <c r="F11" s="185"/>
      <c r="G11" s="46"/>
      <c r="H11" s="44"/>
      <c r="I11" s="45"/>
      <c r="J11" s="95"/>
      <c r="K11" s="24"/>
      <c r="L11" s="44"/>
      <c r="M11" s="24"/>
      <c r="N11" s="53"/>
    </row>
    <row r="12" spans="2:14" ht="26.25" x14ac:dyDescent="0.4">
      <c r="B12" s="52"/>
      <c r="C12" s="209"/>
      <c r="D12" s="199"/>
      <c r="E12" s="199"/>
      <c r="F12" s="185"/>
      <c r="G12" s="46"/>
      <c r="H12" s="44"/>
      <c r="I12" s="45"/>
      <c r="J12" s="95"/>
      <c r="K12" s="24"/>
      <c r="L12" s="44"/>
      <c r="M12" s="24"/>
      <c r="N12" s="53"/>
    </row>
    <row r="13" spans="2:14" ht="21.75" customHeight="1" x14ac:dyDescent="0.4">
      <c r="B13" s="52"/>
      <c r="C13" s="209" t="s">
        <v>143</v>
      </c>
      <c r="D13" s="210">
        <f>+D10-D11</f>
        <v>1005297385</v>
      </c>
      <c r="E13" s="210">
        <f>+E10-E11</f>
        <v>1827196998</v>
      </c>
      <c r="F13" s="185"/>
      <c r="G13" s="24"/>
      <c r="H13" s="44"/>
      <c r="I13" s="45"/>
      <c r="J13" s="44"/>
      <c r="K13" s="24"/>
      <c r="L13" s="44"/>
      <c r="M13" s="24"/>
      <c r="N13" s="53"/>
    </row>
    <row r="14" spans="2:14" ht="28.5" customHeight="1" x14ac:dyDescent="0.4">
      <c r="B14" s="52"/>
      <c r="C14" s="209" t="s">
        <v>144</v>
      </c>
      <c r="D14" s="199">
        <v>688945292</v>
      </c>
      <c r="E14" s="199">
        <v>803136174</v>
      </c>
      <c r="F14" s="185"/>
      <c r="G14" s="44"/>
      <c r="H14" s="45"/>
      <c r="I14" s="45"/>
      <c r="J14" s="44"/>
      <c r="K14" s="24"/>
      <c r="L14" s="44"/>
      <c r="M14" s="24"/>
      <c r="N14" s="53"/>
    </row>
    <row r="15" spans="2:14" ht="28.5" customHeight="1" x14ac:dyDescent="0.4">
      <c r="B15" s="52"/>
      <c r="C15" s="209" t="s">
        <v>141</v>
      </c>
      <c r="D15" s="199">
        <f>+'ESTADO DE RESULTADOS'!D23</f>
        <v>525632407</v>
      </c>
      <c r="E15" s="199">
        <f>+'ESTADO DE RESULTADOS'!F23</f>
        <v>648272495</v>
      </c>
      <c r="F15" s="185"/>
      <c r="G15" s="24"/>
      <c r="H15" s="44"/>
      <c r="I15" s="45"/>
      <c r="J15" s="44"/>
      <c r="K15" s="24"/>
      <c r="L15" s="44"/>
      <c r="M15" s="24"/>
      <c r="N15" s="53"/>
    </row>
    <row r="16" spans="2:14" ht="26.25" x14ac:dyDescent="0.4">
      <c r="B16" s="52"/>
      <c r="C16" s="209" t="s">
        <v>145</v>
      </c>
      <c r="D16" s="199">
        <f>+'ESTADO DE RESULTADOS'!D34</f>
        <v>33155748</v>
      </c>
      <c r="E16" s="199">
        <f>+'ESTADO DE RESULTADOS'!F34</f>
        <v>31275570</v>
      </c>
      <c r="F16" s="185"/>
      <c r="G16" s="24"/>
      <c r="H16" s="44"/>
      <c r="I16" s="45"/>
      <c r="J16" s="44"/>
      <c r="K16" s="24"/>
      <c r="L16" s="44"/>
      <c r="M16" s="24"/>
      <c r="N16" s="53"/>
    </row>
    <row r="17" spans="2:14" ht="26.25" x14ac:dyDescent="0.4">
      <c r="B17" s="52"/>
      <c r="C17" s="209" t="s">
        <v>146</v>
      </c>
      <c r="D17" s="199">
        <f>+'ESTADO DE RESULTADOS'!D33</f>
        <v>232328268</v>
      </c>
      <c r="E17" s="199">
        <f>+'ESTADO DE RESULTADOS'!F33</f>
        <v>39814884</v>
      </c>
      <c r="F17" s="185"/>
      <c r="G17" s="24"/>
      <c r="H17" s="44"/>
      <c r="I17" s="45"/>
      <c r="J17" s="44"/>
      <c r="K17" s="24"/>
      <c r="L17" s="44"/>
      <c r="M17" s="24"/>
      <c r="N17" s="53"/>
    </row>
    <row r="18" spans="2:14" ht="26.25" x14ac:dyDescent="0.4">
      <c r="B18" s="52"/>
      <c r="C18" s="209"/>
      <c r="D18" s="199"/>
      <c r="E18" s="199"/>
      <c r="F18" s="185"/>
      <c r="G18" s="24"/>
      <c r="H18" s="44"/>
      <c r="I18" s="45"/>
      <c r="J18" s="44"/>
      <c r="K18" s="24"/>
      <c r="L18" s="44"/>
      <c r="M18" s="24"/>
      <c r="N18" s="53"/>
    </row>
    <row r="19" spans="2:14" ht="26.25" x14ac:dyDescent="0.4">
      <c r="B19" s="52"/>
      <c r="C19" s="209" t="s">
        <v>71</v>
      </c>
      <c r="D19" s="210">
        <f>+D13-D14-D15+D16+D17</f>
        <v>56203702</v>
      </c>
      <c r="E19" s="210">
        <f>+E13-E14-E15+E16+E17</f>
        <v>446878783</v>
      </c>
      <c r="F19" s="185"/>
      <c r="G19" s="24"/>
      <c r="H19" s="44"/>
      <c r="I19" s="45"/>
      <c r="J19" s="44"/>
      <c r="K19" s="24"/>
      <c r="L19" s="44"/>
      <c r="M19" s="24"/>
      <c r="N19" s="53"/>
    </row>
    <row r="20" spans="2:14" ht="10.5" customHeight="1" x14ac:dyDescent="0.4">
      <c r="B20" s="52"/>
      <c r="C20" s="209"/>
      <c r="D20" s="210"/>
      <c r="E20" s="210"/>
      <c r="F20" s="185"/>
      <c r="G20" s="24"/>
      <c r="H20" s="44"/>
      <c r="I20" s="45"/>
      <c r="J20" s="44"/>
      <c r="K20" s="24"/>
      <c r="L20" s="44"/>
      <c r="M20" s="24"/>
      <c r="N20" s="53"/>
    </row>
    <row r="21" spans="2:14" ht="26.25" x14ac:dyDescent="0.4">
      <c r="B21" s="52"/>
      <c r="C21" s="209" t="s">
        <v>128</v>
      </c>
      <c r="D21" s="211">
        <f>+D19/D10</f>
        <v>5.4512994768427935E-2</v>
      </c>
      <c r="E21" s="211">
        <f>+E19/E10</f>
        <v>0.23534595646996936</v>
      </c>
      <c r="F21" s="185"/>
      <c r="G21" s="24"/>
      <c r="H21" s="59"/>
      <c r="I21" s="45"/>
      <c r="J21" s="44"/>
      <c r="K21" s="24"/>
      <c r="L21" s="44"/>
      <c r="M21" s="24"/>
      <c r="N21" s="53"/>
    </row>
    <row r="22" spans="2:14" x14ac:dyDescent="0.25">
      <c r="B22" s="52"/>
      <c r="C22" s="24"/>
      <c r="D22" s="24"/>
      <c r="E22" s="44"/>
      <c r="F22" s="24"/>
      <c r="G22" s="24"/>
      <c r="H22" s="44"/>
      <c r="I22" s="45"/>
      <c r="J22" s="44"/>
      <c r="K22" s="24"/>
      <c r="L22" s="44"/>
      <c r="M22" s="24"/>
      <c r="N22" s="53"/>
    </row>
    <row r="23" spans="2:14" x14ac:dyDescent="0.25">
      <c r="B23" s="52"/>
      <c r="C23" s="24"/>
      <c r="D23" s="216"/>
      <c r="E23" s="44"/>
      <c r="F23" s="24"/>
      <c r="G23" s="24"/>
      <c r="H23" s="44"/>
      <c r="I23" s="45"/>
      <c r="J23" s="44"/>
      <c r="K23" s="24"/>
      <c r="L23" s="44"/>
      <c r="M23" s="24"/>
      <c r="N23" s="53"/>
    </row>
    <row r="24" spans="2:14" x14ac:dyDescent="0.25">
      <c r="B24" s="52"/>
      <c r="C24" s="24"/>
      <c r="D24" s="24"/>
      <c r="E24" s="44"/>
      <c r="F24" s="24"/>
      <c r="G24" s="24"/>
      <c r="H24" s="44"/>
      <c r="I24" s="45"/>
      <c r="J24" s="44"/>
      <c r="K24" s="24"/>
      <c r="L24" s="44"/>
      <c r="M24" s="24"/>
      <c r="N24" s="53"/>
    </row>
    <row r="25" spans="2:14" x14ac:dyDescent="0.25">
      <c r="B25" s="52"/>
      <c r="C25" s="24"/>
      <c r="D25" s="24"/>
      <c r="E25" s="44"/>
      <c r="F25" s="24"/>
      <c r="G25" s="24"/>
      <c r="H25" s="44"/>
      <c r="I25" s="45"/>
      <c r="J25" s="44"/>
      <c r="K25" s="24"/>
      <c r="L25" s="44"/>
      <c r="M25" s="24"/>
      <c r="N25" s="53"/>
    </row>
    <row r="26" spans="2:14" ht="13.5" thickBot="1" x14ac:dyDescent="0.3">
      <c r="B26" s="54"/>
      <c r="C26" s="55"/>
      <c r="D26" s="55"/>
      <c r="E26" s="56"/>
      <c r="F26" s="55"/>
      <c r="G26" s="55"/>
      <c r="H26" s="56"/>
      <c r="I26" s="57"/>
      <c r="J26" s="56"/>
      <c r="K26" s="55"/>
      <c r="L26" s="56"/>
      <c r="M26" s="55"/>
      <c r="N26" s="58"/>
    </row>
  </sheetData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R60"/>
  <sheetViews>
    <sheetView showGridLines="0" topLeftCell="A33" zoomScale="80" zoomScaleNormal="80" workbookViewId="0">
      <selection activeCell="A60" sqref="A60"/>
    </sheetView>
  </sheetViews>
  <sheetFormatPr baseColWidth="10" defaultColWidth="11.42578125" defaultRowHeight="15" x14ac:dyDescent="0.25"/>
  <cols>
    <col min="1" max="5" width="9" style="35" customWidth="1"/>
    <col min="6" max="6" width="43.5703125" style="137" customWidth="1"/>
    <col min="7" max="7" width="21.42578125" style="137" customWidth="1"/>
    <col min="8" max="8" width="22.85546875" style="138" customWidth="1"/>
    <col min="9" max="9" width="18" style="138" customWidth="1"/>
    <col min="10" max="10" width="24.7109375" style="138" bestFit="1" customWidth="1"/>
    <col min="11" max="11" width="18.140625" style="138" customWidth="1"/>
    <col min="12" max="12" width="13.42578125" style="137" customWidth="1"/>
    <col min="13" max="16384" width="11.42578125" style="137"/>
  </cols>
  <sheetData>
    <row r="1" spans="1:18" ht="15.75" thickBot="1" x14ac:dyDescent="0.3">
      <c r="F1" s="35"/>
      <c r="G1" s="35"/>
      <c r="H1" s="35"/>
      <c r="I1" s="35"/>
      <c r="J1" s="35"/>
      <c r="K1" s="36"/>
      <c r="L1" s="35"/>
      <c r="M1" s="145"/>
      <c r="N1" s="140"/>
      <c r="O1" s="145"/>
      <c r="P1" s="146"/>
      <c r="Q1" s="145"/>
      <c r="R1" s="140"/>
    </row>
    <row r="2" spans="1:18" x14ac:dyDescent="0.25">
      <c r="B2" s="47"/>
      <c r="C2" s="48"/>
      <c r="D2" s="48"/>
      <c r="E2" s="48"/>
      <c r="F2" s="139"/>
      <c r="G2" s="139"/>
      <c r="H2" s="38"/>
      <c r="I2" s="38"/>
      <c r="J2" s="38"/>
      <c r="K2" s="39"/>
      <c r="L2" s="150"/>
      <c r="M2" s="147"/>
      <c r="N2" s="148"/>
      <c r="O2" s="147"/>
      <c r="P2" s="149"/>
      <c r="Q2" s="147"/>
      <c r="R2" s="148"/>
    </row>
    <row r="3" spans="1:18" ht="15.75" x14ac:dyDescent="0.25">
      <c r="B3" s="52"/>
      <c r="C3" s="256" t="s">
        <v>0</v>
      </c>
      <c r="D3" s="256"/>
      <c r="E3" s="256"/>
      <c r="F3" s="256"/>
      <c r="G3" s="256"/>
      <c r="H3" s="256"/>
      <c r="I3" s="256"/>
      <c r="J3" s="256"/>
      <c r="K3" s="256"/>
      <c r="L3" s="151"/>
      <c r="M3" s="141"/>
      <c r="N3" s="141"/>
      <c r="O3" s="141"/>
      <c r="P3" s="141"/>
      <c r="Q3" s="141"/>
      <c r="R3" s="141"/>
    </row>
    <row r="4" spans="1:18" ht="15.75" x14ac:dyDescent="0.25">
      <c r="B4" s="52"/>
      <c r="C4" s="257" t="s">
        <v>1</v>
      </c>
      <c r="D4" s="257"/>
      <c r="E4" s="257"/>
      <c r="F4" s="257"/>
      <c r="G4" s="257"/>
      <c r="H4" s="257"/>
      <c r="I4" s="257"/>
      <c r="J4" s="257"/>
      <c r="K4" s="257"/>
      <c r="L4" s="152"/>
      <c r="M4" s="142"/>
      <c r="N4" s="142"/>
      <c r="O4" s="142"/>
      <c r="P4" s="142"/>
      <c r="Q4" s="142"/>
      <c r="R4" s="142"/>
    </row>
    <row r="5" spans="1:18" ht="15.75" x14ac:dyDescent="0.25">
      <c r="B5" s="52"/>
      <c r="C5" s="249" t="s">
        <v>125</v>
      </c>
      <c r="D5" s="249"/>
      <c r="E5" s="249"/>
      <c r="F5" s="249"/>
      <c r="G5" s="249"/>
      <c r="H5" s="249"/>
      <c r="I5" s="249"/>
      <c r="J5" s="249"/>
      <c r="K5" s="249"/>
      <c r="L5" s="153"/>
    </row>
    <row r="6" spans="1:18" ht="9" customHeight="1" x14ac:dyDescent="0.25">
      <c r="B6" s="52"/>
      <c r="C6" s="170"/>
      <c r="D6" s="170"/>
      <c r="E6" s="170"/>
      <c r="F6" s="170"/>
      <c r="G6" s="170"/>
      <c r="H6" s="170"/>
      <c r="I6" s="170"/>
      <c r="J6" s="170"/>
      <c r="K6" s="170"/>
      <c r="L6" s="154"/>
      <c r="M6" s="143"/>
      <c r="N6" s="143"/>
      <c r="O6" s="143"/>
      <c r="P6" s="143"/>
      <c r="Q6" s="144"/>
      <c r="R6" s="144"/>
    </row>
    <row r="7" spans="1:18" ht="18" x14ac:dyDescent="0.25">
      <c r="B7" s="52"/>
      <c r="C7" s="24"/>
      <c r="D7" s="24"/>
      <c r="E7" s="24"/>
      <c r="F7" s="255" t="s">
        <v>85</v>
      </c>
      <c r="G7" s="255"/>
      <c r="H7" s="255"/>
      <c r="I7" s="255"/>
      <c r="J7" s="255"/>
      <c r="K7" s="135"/>
      <c r="L7" s="153"/>
    </row>
    <row r="8" spans="1:18" x14ac:dyDescent="0.25">
      <c r="B8" s="52"/>
      <c r="C8" s="24"/>
      <c r="D8" s="24"/>
      <c r="E8" s="24"/>
      <c r="F8" s="136"/>
      <c r="G8" s="136"/>
      <c r="H8" s="135"/>
      <c r="I8" s="135"/>
      <c r="J8" s="135"/>
      <c r="K8" s="135"/>
      <c r="L8" s="153"/>
    </row>
    <row r="9" spans="1:18" x14ac:dyDescent="0.25">
      <c r="B9" s="52"/>
      <c r="C9" s="24"/>
      <c r="D9" s="24"/>
      <c r="E9" s="24"/>
      <c r="F9" s="155" t="s">
        <v>86</v>
      </c>
      <c r="G9" s="155"/>
      <c r="H9" s="124"/>
      <c r="I9" s="124"/>
      <c r="J9" s="124"/>
      <c r="K9" s="124"/>
      <c r="L9" s="156"/>
    </row>
    <row r="10" spans="1:18" s="138" customFormat="1" ht="20.100000000000001" customHeight="1" x14ac:dyDescent="0.2">
      <c r="A10" s="35"/>
      <c r="B10" s="52"/>
      <c r="C10" s="24"/>
      <c r="D10" s="24"/>
      <c r="E10" s="24"/>
      <c r="F10" s="128" t="s">
        <v>87</v>
      </c>
      <c r="G10" s="128"/>
      <c r="H10" s="124"/>
      <c r="I10" s="124"/>
      <c r="J10" s="157">
        <f>SUM(H11:H14)</f>
        <v>20265741.719999999</v>
      </c>
      <c r="K10" s="124"/>
      <c r="L10" s="156"/>
    </row>
    <row r="11" spans="1:18" s="138" customFormat="1" ht="15" customHeight="1" x14ac:dyDescent="0.2">
      <c r="A11" s="35"/>
      <c r="B11" s="52"/>
      <c r="C11" s="24"/>
      <c r="D11" s="24"/>
      <c r="E11" s="24"/>
      <c r="F11" s="128" t="s">
        <v>88</v>
      </c>
      <c r="G11" s="128"/>
      <c r="H11" s="124">
        <v>19266402</v>
      </c>
      <c r="I11" s="124"/>
      <c r="J11" s="157"/>
      <c r="K11" s="124"/>
      <c r="L11" s="156"/>
    </row>
    <row r="12" spans="1:18" s="138" customFormat="1" ht="12.75" customHeight="1" x14ac:dyDescent="0.2">
      <c r="A12" s="35"/>
      <c r="B12" s="52"/>
      <c r="C12" s="24"/>
      <c r="D12" s="24"/>
      <c r="E12" s="24"/>
      <c r="F12" s="128" t="s">
        <v>89</v>
      </c>
      <c r="G12" s="128"/>
      <c r="H12" s="124">
        <v>308934.2</v>
      </c>
      <c r="I12" s="124"/>
      <c r="J12" s="157"/>
      <c r="K12" s="124"/>
      <c r="L12" s="156"/>
    </row>
    <row r="13" spans="1:18" s="138" customFormat="1" ht="12.75" customHeight="1" x14ac:dyDescent="0.2">
      <c r="A13" s="35"/>
      <c r="B13" s="52"/>
      <c r="C13" s="24"/>
      <c r="D13" s="24"/>
      <c r="E13" s="24"/>
      <c r="F13" s="128" t="s">
        <v>90</v>
      </c>
      <c r="G13" s="128"/>
      <c r="H13" s="124">
        <v>674763.52</v>
      </c>
      <c r="I13" s="124"/>
      <c r="J13" s="157"/>
      <c r="K13" s="124"/>
      <c r="L13" s="156"/>
    </row>
    <row r="14" spans="1:18" s="138" customFormat="1" ht="12.75" customHeight="1" x14ac:dyDescent="0.2">
      <c r="A14" s="35"/>
      <c r="B14" s="52"/>
      <c r="C14" s="24"/>
      <c r="D14" s="24"/>
      <c r="E14" s="24"/>
      <c r="F14" s="128" t="s">
        <v>91</v>
      </c>
      <c r="G14" s="128"/>
      <c r="H14" s="123">
        <v>15642</v>
      </c>
      <c r="I14" s="124"/>
      <c r="J14" s="157"/>
      <c r="K14" s="124"/>
      <c r="L14" s="156"/>
    </row>
    <row r="15" spans="1:18" s="138" customFormat="1" ht="20.100000000000001" customHeight="1" x14ac:dyDescent="0.2">
      <c r="A15" s="35"/>
      <c r="B15" s="52"/>
      <c r="C15" s="24"/>
      <c r="D15" s="24"/>
      <c r="E15" s="24"/>
      <c r="F15" s="128" t="s">
        <v>92</v>
      </c>
      <c r="G15" s="128"/>
      <c r="H15" s="124"/>
      <c r="I15" s="124"/>
      <c r="J15" s="157">
        <f>SUM(H16:H20)</f>
        <v>104562828.34</v>
      </c>
      <c r="K15" s="124"/>
      <c r="L15" s="158"/>
    </row>
    <row r="16" spans="1:18" s="138" customFormat="1" ht="15" customHeight="1" x14ac:dyDescent="0.2">
      <c r="A16" s="35"/>
      <c r="B16" s="52"/>
      <c r="C16" s="24"/>
      <c r="D16" s="24"/>
      <c r="E16" s="24"/>
      <c r="F16" s="128" t="s">
        <v>93</v>
      </c>
      <c r="G16" s="128"/>
      <c r="H16" s="124">
        <v>0</v>
      </c>
      <c r="I16" s="124"/>
      <c r="J16" s="157"/>
      <c r="K16" s="124"/>
      <c r="L16" s="158"/>
    </row>
    <row r="17" spans="1:12" s="138" customFormat="1" ht="15" customHeight="1" x14ac:dyDescent="0.2">
      <c r="A17" s="35"/>
      <c r="B17" s="52"/>
      <c r="C17" s="24"/>
      <c r="D17" s="24"/>
      <c r="E17" s="24"/>
      <c r="F17" s="128" t="s">
        <v>94</v>
      </c>
      <c r="G17" s="128"/>
      <c r="H17" s="124">
        <v>19606690</v>
      </c>
      <c r="I17" s="124"/>
      <c r="J17" s="157"/>
      <c r="K17" s="124"/>
      <c r="L17" s="158"/>
    </row>
    <row r="18" spans="1:12" s="138" customFormat="1" ht="16.5" customHeight="1" x14ac:dyDescent="0.2">
      <c r="A18" s="35"/>
      <c r="B18" s="52"/>
      <c r="C18" s="24"/>
      <c r="D18" s="24"/>
      <c r="E18" s="24"/>
      <c r="F18" s="128" t="s">
        <v>95</v>
      </c>
      <c r="G18" s="128"/>
      <c r="H18" s="124">
        <v>31757133.34</v>
      </c>
      <c r="I18" s="124"/>
      <c r="J18" s="157"/>
      <c r="K18" s="124"/>
      <c r="L18" s="158"/>
    </row>
    <row r="19" spans="1:12" s="138" customFormat="1" ht="16.5" customHeight="1" x14ac:dyDescent="0.2">
      <c r="A19" s="35"/>
      <c r="B19" s="52"/>
      <c r="C19" s="24"/>
      <c r="D19" s="24"/>
      <c r="E19" s="24"/>
      <c r="F19" s="128" t="s">
        <v>96</v>
      </c>
      <c r="G19" s="128"/>
      <c r="H19" s="124">
        <v>53199005</v>
      </c>
      <c r="I19" s="124"/>
      <c r="J19" s="157"/>
      <c r="K19" s="124"/>
      <c r="L19" s="158"/>
    </row>
    <row r="20" spans="1:12" s="138" customFormat="1" ht="15.75" customHeight="1" x14ac:dyDescent="0.2">
      <c r="A20" s="35"/>
      <c r="B20" s="52"/>
      <c r="C20" s="24"/>
      <c r="D20" s="24"/>
      <c r="E20" s="24"/>
      <c r="F20" s="128" t="s">
        <v>97</v>
      </c>
      <c r="G20" s="128"/>
      <c r="H20" s="124">
        <v>0</v>
      </c>
      <c r="I20" s="124"/>
      <c r="J20" s="157"/>
      <c r="K20" s="124"/>
      <c r="L20" s="158"/>
    </row>
    <row r="21" spans="1:12" s="138" customFormat="1" ht="20.100000000000001" customHeight="1" x14ac:dyDescent="0.25">
      <c r="A21" s="35"/>
      <c r="B21" s="52"/>
      <c r="C21" s="24"/>
      <c r="D21" s="24"/>
      <c r="E21" s="24"/>
      <c r="F21" s="125" t="s">
        <v>98</v>
      </c>
      <c r="G21" s="125"/>
      <c r="H21" s="126"/>
      <c r="I21" s="126"/>
      <c r="J21" s="127">
        <f>SUM(J10:J20)</f>
        <v>124828570.06</v>
      </c>
      <c r="K21" s="124"/>
      <c r="L21" s="158"/>
    </row>
    <row r="22" spans="1:12" s="138" customFormat="1" ht="21" customHeight="1" x14ac:dyDescent="0.25">
      <c r="A22" s="35"/>
      <c r="B22" s="52"/>
      <c r="C22" s="24"/>
      <c r="D22" s="24"/>
      <c r="E22" s="24"/>
      <c r="F22" s="159" t="s">
        <v>99</v>
      </c>
      <c r="G22" s="159"/>
      <c r="H22" s="124"/>
      <c r="I22" s="124"/>
      <c r="J22" s="160"/>
      <c r="K22" s="124"/>
      <c r="L22" s="158"/>
    </row>
    <row r="23" spans="1:12" s="138" customFormat="1" ht="21" customHeight="1" x14ac:dyDescent="0.2">
      <c r="A23" s="35"/>
      <c r="B23" s="52"/>
      <c r="C23" s="24"/>
      <c r="D23" s="24"/>
      <c r="E23" s="24"/>
      <c r="F23" s="128"/>
      <c r="G23" s="128"/>
      <c r="H23" s="124"/>
      <c r="I23" s="124"/>
      <c r="J23" s="157"/>
      <c r="K23" s="124"/>
      <c r="L23" s="158"/>
    </row>
    <row r="24" spans="1:12" s="138" customFormat="1" ht="27.75" customHeight="1" x14ac:dyDescent="0.2">
      <c r="A24" s="35"/>
      <c r="B24" s="52"/>
      <c r="C24" s="24"/>
      <c r="D24" s="24"/>
      <c r="E24" s="24"/>
      <c r="F24" s="128" t="s">
        <v>100</v>
      </c>
      <c r="G24" s="128"/>
      <c r="H24" s="124"/>
      <c r="I24" s="124"/>
      <c r="J24" s="129">
        <v>21579118767.400002</v>
      </c>
      <c r="K24" s="124"/>
      <c r="L24" s="158"/>
    </row>
    <row r="25" spans="1:12" s="138" customFormat="1" ht="27.75" customHeight="1" x14ac:dyDescent="0.2">
      <c r="A25" s="35"/>
      <c r="B25" s="52"/>
      <c r="C25" s="24"/>
      <c r="D25" s="24"/>
      <c r="E25" s="24"/>
      <c r="F25" s="128" t="s">
        <v>101</v>
      </c>
      <c r="G25" s="128"/>
      <c r="H25" s="124"/>
      <c r="I25" s="124"/>
      <c r="J25" s="129">
        <v>169271277</v>
      </c>
      <c r="K25" s="124"/>
      <c r="L25" s="158"/>
    </row>
    <row r="26" spans="1:12" s="138" customFormat="1" ht="13.5" customHeight="1" x14ac:dyDescent="0.2">
      <c r="A26" s="35"/>
      <c r="B26" s="52"/>
      <c r="C26" s="24"/>
      <c r="D26" s="24"/>
      <c r="E26" s="24"/>
      <c r="F26" s="130"/>
      <c r="G26" s="130"/>
      <c r="H26" s="123"/>
      <c r="I26" s="123"/>
      <c r="J26" s="131"/>
      <c r="K26" s="124"/>
      <c r="L26" s="158"/>
    </row>
    <row r="27" spans="1:12" s="138" customFormat="1" ht="16.5" customHeight="1" x14ac:dyDescent="0.2">
      <c r="A27" s="35"/>
      <c r="B27" s="52"/>
      <c r="C27" s="24"/>
      <c r="D27" s="24"/>
      <c r="E27" s="24"/>
      <c r="F27" s="128"/>
      <c r="G27" s="128"/>
      <c r="H27" s="124"/>
      <c r="I27" s="124"/>
      <c r="J27" s="129"/>
      <c r="K27" s="124"/>
      <c r="L27" s="158"/>
    </row>
    <row r="28" spans="1:12" s="138" customFormat="1" ht="16.5" customHeight="1" x14ac:dyDescent="0.25">
      <c r="A28" s="35"/>
      <c r="B28" s="52"/>
      <c r="C28" s="24"/>
      <c r="D28" s="24"/>
      <c r="E28" s="24"/>
      <c r="F28" s="161" t="s">
        <v>102</v>
      </c>
      <c r="G28" s="161"/>
      <c r="H28" s="160"/>
      <c r="I28" s="160"/>
      <c r="J28" s="160">
        <f>+J24+J25+J26</f>
        <v>21748390044.400002</v>
      </c>
      <c r="K28" s="124"/>
      <c r="L28" s="156"/>
    </row>
    <row r="29" spans="1:12" s="138" customFormat="1" ht="13.5" customHeight="1" x14ac:dyDescent="0.25">
      <c r="A29" s="35"/>
      <c r="B29" s="52"/>
      <c r="C29" s="24"/>
      <c r="D29" s="24"/>
      <c r="E29" s="24"/>
      <c r="F29" s="128"/>
      <c r="G29" s="128"/>
      <c r="H29" s="162"/>
      <c r="I29" s="162"/>
      <c r="J29" s="162"/>
      <c r="K29" s="124"/>
      <c r="L29" s="158"/>
    </row>
    <row r="30" spans="1:12" s="138" customFormat="1" ht="25.5" customHeight="1" thickBot="1" x14ac:dyDescent="0.25">
      <c r="A30" s="35"/>
      <c r="B30" s="52"/>
      <c r="C30" s="24"/>
      <c r="D30" s="24"/>
      <c r="E30" s="24"/>
      <c r="F30" s="171" t="s">
        <v>103</v>
      </c>
      <c r="G30" s="171"/>
      <c r="H30" s="172"/>
      <c r="I30" s="172"/>
      <c r="J30" s="173">
        <f>+J21+J28</f>
        <v>21873218614.460003</v>
      </c>
      <c r="K30" s="157"/>
      <c r="L30" s="158"/>
    </row>
    <row r="31" spans="1:12" s="138" customFormat="1" ht="15.75" customHeight="1" x14ac:dyDescent="0.2">
      <c r="A31" s="35"/>
      <c r="B31" s="52"/>
      <c r="C31" s="24"/>
      <c r="D31" s="24"/>
      <c r="E31" s="24"/>
      <c r="F31" s="163"/>
      <c r="G31" s="163"/>
      <c r="H31" s="164"/>
      <c r="I31" s="164"/>
      <c r="J31" s="163"/>
      <c r="K31" s="157"/>
      <c r="L31" s="158"/>
    </row>
    <row r="32" spans="1:12" s="138" customFormat="1" ht="23.25" customHeight="1" x14ac:dyDescent="0.25">
      <c r="A32" s="35"/>
      <c r="B32" s="52"/>
      <c r="C32" s="24"/>
      <c r="D32" s="24"/>
      <c r="E32" s="24"/>
      <c r="F32" s="255" t="s">
        <v>104</v>
      </c>
      <c r="G32" s="255"/>
      <c r="H32" s="255"/>
      <c r="I32" s="255"/>
      <c r="J32" s="255"/>
      <c r="K32" s="124"/>
      <c r="L32" s="158"/>
    </row>
    <row r="33" spans="1:12" s="138" customFormat="1" ht="23.25" customHeight="1" x14ac:dyDescent="0.25">
      <c r="A33" s="35"/>
      <c r="B33" s="52"/>
      <c r="C33" s="24"/>
      <c r="D33" s="24"/>
      <c r="E33" s="24"/>
      <c r="F33" s="165" t="s">
        <v>86</v>
      </c>
      <c r="G33" s="165"/>
      <c r="H33" s="160"/>
      <c r="I33" s="160"/>
      <c r="J33" s="160"/>
      <c r="K33" s="124"/>
      <c r="L33" s="158"/>
    </row>
    <row r="34" spans="1:12" s="138" customFormat="1" ht="19.5" customHeight="1" x14ac:dyDescent="0.25">
      <c r="A34" s="35"/>
      <c r="B34" s="52"/>
      <c r="C34" s="24"/>
      <c r="D34" s="24"/>
      <c r="E34" s="24"/>
      <c r="F34" s="166" t="s">
        <v>105</v>
      </c>
      <c r="G34" s="166"/>
      <c r="H34" s="160"/>
      <c r="I34" s="160"/>
      <c r="J34" s="124">
        <v>2687653956.1999998</v>
      </c>
      <c r="K34" s="124"/>
      <c r="L34" s="158"/>
    </row>
    <row r="35" spans="1:12" s="138" customFormat="1" ht="19.5" customHeight="1" x14ac:dyDescent="0.25">
      <c r="A35" s="35"/>
      <c r="B35" s="52"/>
      <c r="C35" s="24"/>
      <c r="D35" s="24"/>
      <c r="E35" s="24"/>
      <c r="F35" s="166" t="s">
        <v>106</v>
      </c>
      <c r="G35" s="166"/>
      <c r="H35" s="160"/>
      <c r="I35" s="160"/>
      <c r="J35" s="124">
        <v>9038733</v>
      </c>
      <c r="K35" s="124"/>
      <c r="L35" s="158"/>
    </row>
    <row r="36" spans="1:12" s="138" customFormat="1" ht="14.25" customHeight="1" x14ac:dyDescent="0.2">
      <c r="A36" s="35"/>
      <c r="B36" s="52"/>
      <c r="C36" s="24"/>
      <c r="D36" s="24"/>
      <c r="E36" s="24"/>
      <c r="F36" s="128" t="s">
        <v>107</v>
      </c>
      <c r="G36" s="128"/>
      <c r="H36" s="124"/>
      <c r="I36" s="124"/>
      <c r="J36" s="157">
        <v>148175991</v>
      </c>
      <c r="K36" s="124"/>
      <c r="L36" s="158"/>
    </row>
    <row r="37" spans="1:12" s="138" customFormat="1" ht="14.25" customHeight="1" x14ac:dyDescent="0.2">
      <c r="A37" s="35"/>
      <c r="B37" s="52"/>
      <c r="C37" s="24"/>
      <c r="D37" s="24"/>
      <c r="E37" s="24"/>
      <c r="F37" s="128" t="s">
        <v>108</v>
      </c>
      <c r="G37" s="128"/>
      <c r="H37" s="124"/>
      <c r="I37" s="124"/>
      <c r="J37" s="157">
        <v>18707436</v>
      </c>
      <c r="K37" s="124"/>
      <c r="L37" s="158"/>
    </row>
    <row r="38" spans="1:12" s="138" customFormat="1" ht="13.5" customHeight="1" x14ac:dyDescent="0.2">
      <c r="A38" s="35"/>
      <c r="B38" s="52"/>
      <c r="C38" s="24"/>
      <c r="D38" s="24"/>
      <c r="E38" s="24"/>
      <c r="F38" s="128" t="s">
        <v>109</v>
      </c>
      <c r="G38" s="128"/>
      <c r="H38" s="124"/>
      <c r="I38" s="124"/>
      <c r="J38" s="157">
        <v>47703552</v>
      </c>
      <c r="K38" s="124"/>
      <c r="L38" s="158"/>
    </row>
    <row r="39" spans="1:12" s="138" customFormat="1" ht="15" customHeight="1" x14ac:dyDescent="0.2">
      <c r="A39" s="35"/>
      <c r="B39" s="52"/>
      <c r="C39" s="24"/>
      <c r="D39" s="24"/>
      <c r="E39" s="24"/>
      <c r="F39" s="128"/>
      <c r="G39" s="128"/>
      <c r="H39" s="124"/>
      <c r="I39" s="124"/>
      <c r="J39" s="157"/>
      <c r="K39" s="124"/>
      <c r="L39" s="158"/>
    </row>
    <row r="40" spans="1:12" s="138" customFormat="1" ht="20.100000000000001" customHeight="1" thickBot="1" x14ac:dyDescent="0.3">
      <c r="A40" s="35"/>
      <c r="B40" s="52"/>
      <c r="C40" s="24"/>
      <c r="D40" s="24"/>
      <c r="E40" s="24"/>
      <c r="F40" s="132" t="s">
        <v>110</v>
      </c>
      <c r="G40" s="132"/>
      <c r="H40" s="133"/>
      <c r="I40" s="133"/>
      <c r="J40" s="133">
        <f>SUM(J34:J39)</f>
        <v>2911279668.1999998</v>
      </c>
      <c r="K40" s="124"/>
      <c r="L40" s="158"/>
    </row>
    <row r="41" spans="1:12" s="138" customFormat="1" ht="20.100000000000001" customHeight="1" thickTop="1" x14ac:dyDescent="0.25">
      <c r="A41" s="35"/>
      <c r="B41" s="52"/>
      <c r="C41" s="24"/>
      <c r="D41" s="24"/>
      <c r="E41" s="24"/>
      <c r="F41" s="161" t="s">
        <v>99</v>
      </c>
      <c r="G41" s="161"/>
      <c r="H41" s="160"/>
      <c r="I41" s="160"/>
      <c r="J41" s="160"/>
      <c r="K41" s="124"/>
      <c r="L41" s="158"/>
    </row>
    <row r="42" spans="1:12" s="138" customFormat="1" ht="20.100000000000001" customHeight="1" x14ac:dyDescent="0.25">
      <c r="A42" s="35"/>
      <c r="B42" s="52"/>
      <c r="C42" s="24"/>
      <c r="D42" s="24"/>
      <c r="E42" s="24"/>
      <c r="F42" s="128" t="s">
        <v>111</v>
      </c>
      <c r="G42" s="128"/>
      <c r="H42" s="160"/>
      <c r="I42" s="160"/>
      <c r="J42" s="124">
        <v>1532399220.4000001</v>
      </c>
      <c r="K42" s="124"/>
      <c r="L42" s="158"/>
    </row>
    <row r="43" spans="1:12" s="138" customFormat="1" ht="20.100000000000001" customHeight="1" x14ac:dyDescent="0.25">
      <c r="A43" s="35"/>
      <c r="B43" s="52"/>
      <c r="C43" s="24"/>
      <c r="D43" s="24"/>
      <c r="E43" s="24"/>
      <c r="F43" s="130" t="s">
        <v>112</v>
      </c>
      <c r="G43" s="130"/>
      <c r="H43" s="134"/>
      <c r="I43" s="134"/>
      <c r="J43" s="123">
        <v>6824489504</v>
      </c>
      <c r="K43" s="124"/>
      <c r="L43" s="158"/>
    </row>
    <row r="44" spans="1:12" s="138" customFormat="1" ht="20.100000000000001" customHeight="1" x14ac:dyDescent="0.25">
      <c r="A44" s="35"/>
      <c r="B44" s="52"/>
      <c r="C44" s="24"/>
      <c r="D44" s="24"/>
      <c r="E44" s="24"/>
      <c r="F44" s="161" t="s">
        <v>113</v>
      </c>
      <c r="G44" s="161"/>
      <c r="H44" s="160"/>
      <c r="I44" s="160"/>
      <c r="J44" s="160">
        <f>+J42+J43</f>
        <v>8356888724.3999996</v>
      </c>
      <c r="K44" s="124"/>
      <c r="L44" s="158"/>
    </row>
    <row r="45" spans="1:12" s="138" customFormat="1" ht="12" customHeight="1" x14ac:dyDescent="0.2">
      <c r="A45" s="35"/>
      <c r="B45" s="52"/>
      <c r="C45" s="24"/>
      <c r="D45" s="24"/>
      <c r="E45" s="24"/>
      <c r="F45" s="128"/>
      <c r="G45" s="128"/>
      <c r="H45" s="124"/>
      <c r="I45" s="124"/>
      <c r="J45" s="157"/>
      <c r="K45" s="124"/>
      <c r="L45" s="158"/>
    </row>
    <row r="46" spans="1:12" s="138" customFormat="1" ht="1.5" customHeight="1" x14ac:dyDescent="0.25">
      <c r="A46" s="35"/>
      <c r="B46" s="52"/>
      <c r="C46" s="24"/>
      <c r="D46" s="24"/>
      <c r="E46" s="24"/>
      <c r="F46" s="161"/>
      <c r="G46" s="161"/>
      <c r="H46" s="160"/>
      <c r="I46" s="160"/>
      <c r="J46" s="160"/>
      <c r="K46" s="124"/>
      <c r="L46" s="158"/>
    </row>
    <row r="47" spans="1:12" s="138" customFormat="1" ht="19.5" customHeight="1" thickBot="1" x14ac:dyDescent="0.3">
      <c r="A47" s="35"/>
      <c r="B47" s="52"/>
      <c r="C47" s="24"/>
      <c r="D47" s="24"/>
      <c r="E47" s="24"/>
      <c r="F47" s="174" t="s">
        <v>114</v>
      </c>
      <c r="G47" s="174"/>
      <c r="H47" s="175"/>
      <c r="I47" s="175"/>
      <c r="J47" s="176">
        <f>+J40+J44</f>
        <v>11268168392.599998</v>
      </c>
      <c r="K47" s="124"/>
      <c r="L47" s="158"/>
    </row>
    <row r="48" spans="1:12" s="138" customFormat="1" ht="9.75" customHeight="1" thickTop="1" x14ac:dyDescent="0.25">
      <c r="A48" s="35"/>
      <c r="B48" s="52"/>
      <c r="C48" s="24"/>
      <c r="D48" s="24"/>
      <c r="E48" s="24"/>
      <c r="F48" s="161"/>
      <c r="G48" s="161"/>
      <c r="H48" s="160"/>
      <c r="I48" s="160"/>
      <c r="J48" s="160"/>
      <c r="K48" s="124"/>
      <c r="L48" s="158"/>
    </row>
    <row r="49" spans="1:12" s="138" customFormat="1" ht="20.100000000000001" customHeight="1" x14ac:dyDescent="0.25">
      <c r="A49" s="35"/>
      <c r="B49" s="52"/>
      <c r="C49" s="24"/>
      <c r="D49" s="24"/>
      <c r="E49" s="24"/>
      <c r="F49" s="162" t="s">
        <v>115</v>
      </c>
      <c r="G49" s="162"/>
      <c r="H49" s="124"/>
      <c r="I49" s="124"/>
      <c r="J49" s="124"/>
      <c r="K49" s="124"/>
      <c r="L49" s="158"/>
    </row>
    <row r="50" spans="1:12" s="138" customFormat="1" ht="29.25" customHeight="1" x14ac:dyDescent="0.25">
      <c r="A50" s="35"/>
      <c r="B50" s="52"/>
      <c r="C50" s="24"/>
      <c r="D50" s="24"/>
      <c r="E50" s="24"/>
      <c r="F50" s="128" t="s">
        <v>116</v>
      </c>
      <c r="G50" s="128"/>
      <c r="H50" s="124"/>
      <c r="I50" s="124"/>
      <c r="J50" s="124">
        <f>SUM(H51:H53)</f>
        <v>11995247998</v>
      </c>
      <c r="K50" s="124"/>
      <c r="L50" s="158"/>
    </row>
    <row r="51" spans="1:12" s="138" customFormat="1" ht="16.5" customHeight="1" x14ac:dyDescent="0.25">
      <c r="A51" s="35"/>
      <c r="B51" s="52"/>
      <c r="C51" s="24"/>
      <c r="D51" s="24"/>
      <c r="E51" s="24"/>
      <c r="F51" s="128" t="s">
        <v>117</v>
      </c>
      <c r="G51" s="128"/>
      <c r="H51" s="124">
        <v>12000000000</v>
      </c>
      <c r="I51" s="124"/>
      <c r="J51" s="124"/>
      <c r="K51" s="124"/>
      <c r="L51" s="158"/>
    </row>
    <row r="52" spans="1:12" s="138" customFormat="1" ht="15.75" customHeight="1" x14ac:dyDescent="0.25">
      <c r="A52" s="35"/>
      <c r="B52" s="52"/>
      <c r="C52" s="24"/>
      <c r="D52" s="24"/>
      <c r="E52" s="24"/>
      <c r="F52" s="128" t="s">
        <v>118</v>
      </c>
      <c r="G52" s="128"/>
      <c r="H52" s="124">
        <v>0</v>
      </c>
      <c r="I52" s="124"/>
      <c r="J52" s="124"/>
      <c r="K52" s="124"/>
      <c r="L52" s="158"/>
    </row>
    <row r="53" spans="1:12" s="138" customFormat="1" ht="22.5" customHeight="1" x14ac:dyDescent="0.25">
      <c r="A53" s="35"/>
      <c r="B53" s="52"/>
      <c r="C53" s="24"/>
      <c r="D53" s="24"/>
      <c r="E53" s="24"/>
      <c r="F53" s="128" t="s">
        <v>119</v>
      </c>
      <c r="G53" s="128"/>
      <c r="H53" s="123">
        <v>-4752002</v>
      </c>
      <c r="I53" s="124"/>
      <c r="J53" s="124"/>
      <c r="K53" s="124"/>
      <c r="L53" s="158"/>
    </row>
    <row r="54" spans="1:12" s="138" customFormat="1" ht="22.5" customHeight="1" x14ac:dyDescent="0.25">
      <c r="A54" s="35"/>
      <c r="B54" s="52"/>
      <c r="C54" s="24"/>
      <c r="D54" s="24"/>
      <c r="E54" s="24"/>
      <c r="F54" s="128" t="s">
        <v>120</v>
      </c>
      <c r="G54" s="128"/>
      <c r="H54" s="124"/>
      <c r="I54" s="124"/>
      <c r="J54" s="124">
        <f>SUM(H55:H56)</f>
        <v>-1390197776.1400001</v>
      </c>
      <c r="K54" s="124"/>
      <c r="L54" s="158"/>
    </row>
    <row r="55" spans="1:12" s="138" customFormat="1" ht="22.5" customHeight="1" x14ac:dyDescent="0.25">
      <c r="A55" s="35"/>
      <c r="B55" s="52"/>
      <c r="C55" s="24"/>
      <c r="D55" s="24"/>
      <c r="E55" s="24"/>
      <c r="F55" s="128" t="s">
        <v>121</v>
      </c>
      <c r="G55" s="128"/>
      <c r="H55" s="124">
        <v>-394598481.80000001</v>
      </c>
      <c r="I55" s="124"/>
      <c r="J55" s="124"/>
      <c r="K55" s="124"/>
      <c r="L55" s="158"/>
    </row>
    <row r="56" spans="1:12" s="138" customFormat="1" ht="22.5" customHeight="1" x14ac:dyDescent="0.25">
      <c r="A56" s="35"/>
      <c r="B56" s="52"/>
      <c r="C56" s="24"/>
      <c r="D56" s="24"/>
      <c r="E56" s="24"/>
      <c r="F56" s="128" t="s">
        <v>122</v>
      </c>
      <c r="G56" s="128"/>
      <c r="H56" s="124">
        <v>-995599294.34000003</v>
      </c>
      <c r="I56" s="124"/>
      <c r="J56" s="124"/>
      <c r="K56" s="124"/>
      <c r="L56" s="158"/>
    </row>
    <row r="57" spans="1:12" s="138" customFormat="1" ht="20.100000000000001" customHeight="1" thickBot="1" x14ac:dyDescent="0.3">
      <c r="A57" s="35"/>
      <c r="B57" s="52"/>
      <c r="C57" s="24"/>
      <c r="D57" s="24"/>
      <c r="E57" s="24"/>
      <c r="F57" s="174" t="s">
        <v>123</v>
      </c>
      <c r="G57" s="174"/>
      <c r="H57" s="175"/>
      <c r="I57" s="175"/>
      <c r="J57" s="176">
        <f>+J50+J54</f>
        <v>10605050221.860001</v>
      </c>
      <c r="K57" s="124"/>
      <c r="L57" s="158"/>
    </row>
    <row r="58" spans="1:12" s="138" customFormat="1" ht="9" customHeight="1" thickTop="1" x14ac:dyDescent="0.25">
      <c r="A58" s="35"/>
      <c r="B58" s="52"/>
      <c r="C58" s="24"/>
      <c r="D58" s="24"/>
      <c r="E58" s="24"/>
      <c r="F58" s="128"/>
      <c r="G58" s="128"/>
      <c r="H58" s="124"/>
      <c r="I58" s="124"/>
      <c r="J58" s="124"/>
      <c r="K58" s="124"/>
      <c r="L58" s="158"/>
    </row>
    <row r="59" spans="1:12" s="138" customFormat="1" ht="18.75" customHeight="1" thickBot="1" x14ac:dyDescent="0.3">
      <c r="A59" s="35"/>
      <c r="B59" s="52"/>
      <c r="C59" s="24"/>
      <c r="D59" s="24"/>
      <c r="E59" s="24"/>
      <c r="F59" s="177" t="s">
        <v>124</v>
      </c>
      <c r="G59" s="177"/>
      <c r="H59" s="172"/>
      <c r="I59" s="172"/>
      <c r="J59" s="173">
        <f>+J47+J57</f>
        <v>21873218614.459999</v>
      </c>
      <c r="K59" s="124"/>
      <c r="L59" s="156"/>
    </row>
    <row r="60" spans="1:12" ht="21" customHeight="1" thickBot="1" x14ac:dyDescent="0.3">
      <c r="B60" s="54"/>
      <c r="C60" s="55"/>
      <c r="D60" s="55"/>
      <c r="E60" s="55"/>
      <c r="F60" s="167"/>
      <c r="G60" s="167"/>
      <c r="H60" s="168"/>
      <c r="I60" s="168"/>
      <c r="J60" s="168"/>
      <c r="K60" s="168"/>
      <c r="L60" s="169"/>
    </row>
  </sheetData>
  <mergeCells count="5">
    <mergeCell ref="F7:J7"/>
    <mergeCell ref="C3:K3"/>
    <mergeCell ref="C4:K4"/>
    <mergeCell ref="C5:K5"/>
    <mergeCell ref="F32:J32"/>
  </mergeCells>
  <printOptions horizontalCentered="1"/>
  <pageMargins left="0.9055118110236221" right="0.78740157480314965" top="0.55118110236220474" bottom="0.6692913385826772" header="0.31496062992125984" footer="0.31496062992125984"/>
  <pageSetup scale="7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BM34"/>
  <sheetViews>
    <sheetView showGridLines="0" zoomScale="80" zoomScaleNormal="80" workbookViewId="0"/>
  </sheetViews>
  <sheetFormatPr baseColWidth="10" defaultRowHeight="12.75" x14ac:dyDescent="0.25"/>
  <cols>
    <col min="1" max="1" width="9" style="35" customWidth="1"/>
    <col min="2" max="2" width="13.7109375" style="35" customWidth="1"/>
    <col min="3" max="3" width="48.28515625" style="35" customWidth="1"/>
    <col min="4" max="4" width="16.42578125" style="35" customWidth="1"/>
    <col min="5" max="5" width="12.42578125" style="36" customWidth="1"/>
    <col min="6" max="7" width="7.42578125" style="35" customWidth="1"/>
    <col min="8" max="8" width="48.28515625" style="36" customWidth="1"/>
    <col min="9" max="9" width="16.42578125" style="37" customWidth="1"/>
    <col min="10" max="10" width="12.42578125" style="36" customWidth="1"/>
    <col min="11" max="11" width="15" style="35" bestFit="1" customWidth="1"/>
    <col min="12" max="12" width="2.140625" style="35" customWidth="1"/>
    <col min="13" max="16384" width="11.42578125" style="35"/>
  </cols>
  <sheetData>
    <row r="1" spans="1:65" s="3" customFormat="1" ht="13.5" thickBot="1" x14ac:dyDescent="0.3">
      <c r="A1" s="35"/>
      <c r="B1" s="35"/>
      <c r="C1" s="35"/>
      <c r="D1" s="35"/>
      <c r="E1" s="36"/>
      <c r="F1" s="35"/>
      <c r="G1" s="35"/>
      <c r="H1" s="36"/>
      <c r="I1" s="37"/>
      <c r="J1" s="36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</row>
    <row r="2" spans="1:65" ht="6.75" customHeight="1" x14ac:dyDescent="0.25">
      <c r="B2" s="47"/>
      <c r="C2" s="48"/>
      <c r="D2" s="48"/>
      <c r="E2" s="49"/>
      <c r="F2" s="48"/>
      <c r="G2" s="48"/>
      <c r="H2" s="49"/>
      <c r="I2" s="50"/>
      <c r="J2" s="49"/>
      <c r="K2" s="48"/>
      <c r="L2" s="48"/>
      <c r="M2" s="51"/>
    </row>
    <row r="3" spans="1:65" x14ac:dyDescent="0.25">
      <c r="B3" s="52"/>
      <c r="C3" s="100"/>
      <c r="D3" s="24"/>
      <c r="E3" s="44"/>
      <c r="F3" s="24"/>
      <c r="G3" s="24"/>
      <c r="H3" s="44"/>
      <c r="I3" s="45"/>
      <c r="J3" s="44"/>
      <c r="K3" s="24"/>
      <c r="L3" s="24"/>
      <c r="M3" s="53"/>
    </row>
    <row r="4" spans="1:65" ht="23.25" x14ac:dyDescent="0.25">
      <c r="B4" s="52"/>
      <c r="C4" s="102" t="s">
        <v>83</v>
      </c>
      <c r="D4" s="24"/>
      <c r="E4" s="44"/>
      <c r="F4" s="24"/>
      <c r="G4" s="24"/>
      <c r="H4" s="44"/>
      <c r="I4" s="45"/>
      <c r="J4" s="44"/>
      <c r="K4" s="24"/>
      <c r="L4" s="24"/>
      <c r="M4" s="53"/>
    </row>
    <row r="5" spans="1:65" x14ac:dyDescent="0.25">
      <c r="B5" s="52"/>
      <c r="C5" s="24"/>
      <c r="D5" s="24"/>
      <c r="E5" s="44"/>
      <c r="F5" s="24"/>
      <c r="G5" s="24"/>
      <c r="H5" s="44"/>
      <c r="I5" s="45"/>
      <c r="J5" s="44"/>
      <c r="K5" s="24"/>
      <c r="L5" s="24"/>
      <c r="M5" s="53"/>
    </row>
    <row r="6" spans="1:65" x14ac:dyDescent="0.25">
      <c r="B6" s="52"/>
      <c r="C6" s="24"/>
      <c r="D6" s="24"/>
      <c r="E6" s="44"/>
      <c r="F6" s="24"/>
      <c r="G6" s="24"/>
      <c r="H6" s="44"/>
      <c r="I6" s="45"/>
      <c r="J6" s="44"/>
      <c r="K6" s="24"/>
      <c r="L6" s="24"/>
      <c r="M6" s="53"/>
    </row>
    <row r="7" spans="1:65" x14ac:dyDescent="0.25">
      <c r="B7" s="52"/>
      <c r="C7" s="24"/>
      <c r="D7" s="24"/>
      <c r="E7" s="44"/>
      <c r="F7" s="24"/>
      <c r="G7" s="24"/>
      <c r="H7" s="44"/>
      <c r="I7" s="45"/>
      <c r="J7" s="44"/>
      <c r="K7" s="24"/>
      <c r="L7" s="24"/>
      <c r="M7" s="53"/>
    </row>
    <row r="8" spans="1:65" ht="13.5" thickBot="1" x14ac:dyDescent="0.3">
      <c r="B8" s="52"/>
      <c r="C8" s="24"/>
      <c r="D8" s="24"/>
      <c r="E8" s="44"/>
      <c r="F8" s="24"/>
      <c r="G8" s="24"/>
      <c r="H8" s="44"/>
      <c r="I8" s="45"/>
      <c r="J8" s="44"/>
      <c r="K8" s="24"/>
      <c r="L8" s="24"/>
      <c r="M8" s="53"/>
    </row>
    <row r="9" spans="1:65" ht="15" x14ac:dyDescent="0.25">
      <c r="B9" s="52"/>
      <c r="C9" s="225" t="s">
        <v>153</v>
      </c>
      <c r="D9" s="226" t="s">
        <v>154</v>
      </c>
      <c r="E9" s="227" t="s">
        <v>53</v>
      </c>
      <c r="F9" s="24"/>
      <c r="G9" s="24"/>
      <c r="H9" s="221" t="s">
        <v>175</v>
      </c>
      <c r="I9" s="220">
        <v>500</v>
      </c>
      <c r="J9" s="222">
        <f t="shared" ref="J9:J10" si="0">SUM(I9/12000*100)</f>
        <v>4.1666666666666661</v>
      </c>
      <c r="K9" s="24"/>
      <c r="L9" s="24"/>
      <c r="M9" s="53"/>
    </row>
    <row r="10" spans="1:65" ht="18" x14ac:dyDescent="0.25">
      <c r="B10" s="52"/>
      <c r="C10" s="221" t="s">
        <v>155</v>
      </c>
      <c r="D10" s="220">
        <v>214</v>
      </c>
      <c r="E10" s="222">
        <f>SUM(D10/12000*100)</f>
        <v>1.7833333333333332</v>
      </c>
      <c r="F10" s="24"/>
      <c r="G10" s="46"/>
      <c r="H10" s="221" t="s">
        <v>176</v>
      </c>
      <c r="I10" s="220">
        <v>19</v>
      </c>
      <c r="J10" s="222">
        <f t="shared" si="0"/>
        <v>0.15833333333333333</v>
      </c>
      <c r="K10" s="24"/>
      <c r="L10" s="24"/>
      <c r="M10" s="53"/>
    </row>
    <row r="11" spans="1:65" ht="15" x14ac:dyDescent="0.25">
      <c r="B11" s="52"/>
      <c r="C11" s="221" t="s">
        <v>156</v>
      </c>
      <c r="D11" s="220">
        <v>26</v>
      </c>
      <c r="E11" s="222">
        <f>SUM(D11/12000*100)</f>
        <v>0.21666666666666665</v>
      </c>
      <c r="F11" s="24"/>
      <c r="G11" s="24"/>
      <c r="H11" s="221" t="s">
        <v>177</v>
      </c>
      <c r="I11" s="220">
        <v>30</v>
      </c>
      <c r="J11" s="222">
        <f>SUM(I11/12000*100)</f>
        <v>0.25</v>
      </c>
      <c r="K11" s="24"/>
      <c r="L11" s="24"/>
      <c r="M11" s="53"/>
    </row>
    <row r="12" spans="1:65" ht="15" x14ac:dyDescent="0.25">
      <c r="B12" s="52"/>
      <c r="C12" s="221" t="s">
        <v>157</v>
      </c>
      <c r="D12" s="220">
        <v>26</v>
      </c>
      <c r="E12" s="222">
        <f t="shared" ref="E12:E29" si="1">SUM(D12/12000*100)</f>
        <v>0.21666666666666665</v>
      </c>
      <c r="F12" s="24"/>
      <c r="G12" s="44"/>
      <c r="H12" s="228" t="s">
        <v>178</v>
      </c>
      <c r="I12" s="220">
        <v>32</v>
      </c>
      <c r="J12" s="222">
        <f t="shared" ref="J12:J28" si="2">SUM(I12/12000*100)</f>
        <v>0.26666666666666666</v>
      </c>
      <c r="K12" s="24"/>
      <c r="L12" s="24"/>
      <c r="M12" s="53"/>
    </row>
    <row r="13" spans="1:65" ht="15" x14ac:dyDescent="0.25">
      <c r="B13" s="52"/>
      <c r="C13" s="221" t="s">
        <v>158</v>
      </c>
      <c r="D13" s="220">
        <v>302</v>
      </c>
      <c r="E13" s="222">
        <f t="shared" si="1"/>
        <v>2.5166666666666666</v>
      </c>
      <c r="F13" s="24"/>
      <c r="G13" s="24"/>
      <c r="H13" s="223" t="s">
        <v>179</v>
      </c>
      <c r="I13" s="220">
        <v>133</v>
      </c>
      <c r="J13" s="222">
        <f t="shared" si="2"/>
        <v>1.1083333333333334</v>
      </c>
      <c r="K13" s="24"/>
      <c r="L13" s="24"/>
      <c r="M13" s="53"/>
    </row>
    <row r="14" spans="1:65" ht="15" x14ac:dyDescent="0.25">
      <c r="B14" s="52"/>
      <c r="C14" s="221" t="s">
        <v>159</v>
      </c>
      <c r="D14" s="220">
        <v>5972</v>
      </c>
      <c r="E14" s="222">
        <f t="shared" si="1"/>
        <v>49.766666666666666</v>
      </c>
      <c r="F14" s="24"/>
      <c r="G14" s="24"/>
      <c r="H14" s="223" t="s">
        <v>180</v>
      </c>
      <c r="I14" s="220">
        <v>14</v>
      </c>
      <c r="J14" s="222">
        <f t="shared" si="2"/>
        <v>0.11666666666666668</v>
      </c>
      <c r="K14" s="24"/>
      <c r="L14" s="24"/>
      <c r="M14" s="53"/>
    </row>
    <row r="15" spans="1:65" ht="15" x14ac:dyDescent="0.25">
      <c r="B15" s="52"/>
      <c r="C15" s="221" t="s">
        <v>160</v>
      </c>
      <c r="D15" s="220">
        <v>516</v>
      </c>
      <c r="E15" s="222">
        <f t="shared" si="1"/>
        <v>4.3</v>
      </c>
      <c r="F15" s="24"/>
      <c r="G15" s="24"/>
      <c r="H15" s="221" t="s">
        <v>181</v>
      </c>
      <c r="I15" s="220">
        <v>770</v>
      </c>
      <c r="J15" s="222">
        <f t="shared" si="2"/>
        <v>6.4166666666666661</v>
      </c>
      <c r="K15" s="24"/>
      <c r="L15" s="24"/>
      <c r="M15" s="53"/>
    </row>
    <row r="16" spans="1:65" ht="15" x14ac:dyDescent="0.25">
      <c r="B16" s="52"/>
      <c r="C16" s="221" t="s">
        <v>161</v>
      </c>
      <c r="D16" s="220">
        <v>19</v>
      </c>
      <c r="E16" s="222">
        <f t="shared" si="1"/>
        <v>0.15833333333333333</v>
      </c>
      <c r="F16" s="24"/>
      <c r="G16" s="24"/>
      <c r="H16" s="221" t="s">
        <v>182</v>
      </c>
      <c r="I16" s="220">
        <v>11</v>
      </c>
      <c r="J16" s="222">
        <f t="shared" si="2"/>
        <v>9.166666666666666E-2</v>
      </c>
      <c r="K16" s="24"/>
      <c r="L16" s="24"/>
      <c r="M16" s="53"/>
    </row>
    <row r="17" spans="2:13" ht="15" x14ac:dyDescent="0.25">
      <c r="B17" s="52"/>
      <c r="C17" s="221" t="s">
        <v>162</v>
      </c>
      <c r="D17" s="220">
        <v>507</v>
      </c>
      <c r="E17" s="222">
        <f t="shared" si="1"/>
        <v>4.2250000000000005</v>
      </c>
      <c r="F17" s="24"/>
      <c r="G17" s="24"/>
      <c r="H17" s="221" t="s">
        <v>183</v>
      </c>
      <c r="I17" s="220">
        <v>30</v>
      </c>
      <c r="J17" s="222">
        <f t="shared" si="2"/>
        <v>0.25</v>
      </c>
      <c r="K17" s="24"/>
      <c r="L17" s="24"/>
      <c r="M17" s="53"/>
    </row>
    <row r="18" spans="2:13" ht="15" x14ac:dyDescent="0.25">
      <c r="B18" s="52"/>
      <c r="C18" s="223" t="s">
        <v>163</v>
      </c>
      <c r="D18" s="220">
        <v>20</v>
      </c>
      <c r="E18" s="222">
        <f t="shared" si="1"/>
        <v>0.16666666666666669</v>
      </c>
      <c r="F18" s="24"/>
      <c r="G18" s="24"/>
      <c r="H18" s="221" t="s">
        <v>184</v>
      </c>
      <c r="I18" s="220">
        <v>742</v>
      </c>
      <c r="J18" s="222">
        <f t="shared" si="2"/>
        <v>6.1833333333333327</v>
      </c>
      <c r="K18" s="24"/>
      <c r="L18" s="24"/>
      <c r="M18" s="53"/>
    </row>
    <row r="19" spans="2:13" ht="15" x14ac:dyDescent="0.25">
      <c r="B19" s="52"/>
      <c r="C19" s="221" t="s">
        <v>164</v>
      </c>
      <c r="D19" s="220">
        <v>53</v>
      </c>
      <c r="E19" s="222">
        <f t="shared" si="1"/>
        <v>0.44166666666666671</v>
      </c>
      <c r="F19" s="24"/>
      <c r="G19" s="24"/>
      <c r="H19" s="228" t="s">
        <v>185</v>
      </c>
      <c r="I19" s="220">
        <v>78</v>
      </c>
      <c r="J19" s="222">
        <f t="shared" si="2"/>
        <v>0.65</v>
      </c>
      <c r="K19" s="24"/>
      <c r="L19" s="24"/>
      <c r="M19" s="53"/>
    </row>
    <row r="20" spans="2:13" ht="15" x14ac:dyDescent="0.25">
      <c r="B20" s="52"/>
      <c r="C20" s="221" t="s">
        <v>165</v>
      </c>
      <c r="D20" s="220">
        <v>416</v>
      </c>
      <c r="E20" s="222">
        <f t="shared" si="1"/>
        <v>3.4666666666666663</v>
      </c>
      <c r="F20" s="24"/>
      <c r="G20" s="24"/>
      <c r="H20" s="228" t="s">
        <v>186</v>
      </c>
      <c r="I20" s="220">
        <v>22</v>
      </c>
      <c r="J20" s="222">
        <f t="shared" si="2"/>
        <v>0.18333333333333332</v>
      </c>
      <c r="K20" s="24"/>
      <c r="L20" s="24"/>
      <c r="M20" s="53"/>
    </row>
    <row r="21" spans="2:13" ht="15" x14ac:dyDescent="0.25">
      <c r="B21" s="52"/>
      <c r="C21" s="221" t="s">
        <v>166</v>
      </c>
      <c r="D21" s="220">
        <v>22</v>
      </c>
      <c r="E21" s="222">
        <f t="shared" si="1"/>
        <v>0.18333333333333332</v>
      </c>
      <c r="F21" s="24"/>
      <c r="G21" s="24"/>
      <c r="H21" s="221" t="s">
        <v>187</v>
      </c>
      <c r="I21" s="220">
        <v>13</v>
      </c>
      <c r="J21" s="222">
        <f t="shared" si="2"/>
        <v>0.10833333333333332</v>
      </c>
      <c r="K21" s="24"/>
      <c r="L21" s="24"/>
      <c r="M21" s="53"/>
    </row>
    <row r="22" spans="2:13" ht="15" x14ac:dyDescent="0.25">
      <c r="B22" s="52"/>
      <c r="C22" s="224" t="s">
        <v>167</v>
      </c>
      <c r="D22" s="220">
        <v>22</v>
      </c>
      <c r="E22" s="222">
        <f t="shared" si="1"/>
        <v>0.18333333333333332</v>
      </c>
      <c r="F22" s="24"/>
      <c r="G22" s="24"/>
      <c r="H22" s="221" t="s">
        <v>188</v>
      </c>
      <c r="I22" s="220">
        <v>11</v>
      </c>
      <c r="J22" s="222">
        <f t="shared" si="2"/>
        <v>9.166666666666666E-2</v>
      </c>
      <c r="K22" s="24"/>
      <c r="L22" s="24"/>
      <c r="M22" s="53"/>
    </row>
    <row r="23" spans="2:13" ht="30" x14ac:dyDescent="0.25">
      <c r="B23" s="52"/>
      <c r="C23" s="223" t="s">
        <v>168</v>
      </c>
      <c r="D23" s="220">
        <v>38</v>
      </c>
      <c r="E23" s="222">
        <f t="shared" si="1"/>
        <v>0.31666666666666665</v>
      </c>
      <c r="F23" s="24"/>
      <c r="G23" s="24"/>
      <c r="H23" s="223" t="s">
        <v>189</v>
      </c>
      <c r="I23" s="220">
        <v>10</v>
      </c>
      <c r="J23" s="222">
        <f t="shared" si="2"/>
        <v>8.3333333333333343E-2</v>
      </c>
      <c r="K23" s="24"/>
      <c r="L23" s="24"/>
      <c r="M23" s="53"/>
    </row>
    <row r="24" spans="2:13" ht="30" x14ac:dyDescent="0.25">
      <c r="B24" s="52"/>
      <c r="C24" s="221" t="s">
        <v>169</v>
      </c>
      <c r="D24" s="220">
        <v>550</v>
      </c>
      <c r="E24" s="222">
        <f t="shared" si="1"/>
        <v>4.583333333333333</v>
      </c>
      <c r="F24" s="24"/>
      <c r="G24" s="24"/>
      <c r="H24" s="223" t="s">
        <v>190</v>
      </c>
      <c r="I24" s="220">
        <v>50</v>
      </c>
      <c r="J24" s="222">
        <f t="shared" si="2"/>
        <v>0.41666666666666669</v>
      </c>
      <c r="K24" s="24"/>
      <c r="L24" s="24"/>
      <c r="M24" s="53"/>
    </row>
    <row r="25" spans="2:13" ht="15" x14ac:dyDescent="0.25">
      <c r="B25" s="52"/>
      <c r="C25" s="223" t="s">
        <v>170</v>
      </c>
      <c r="D25" s="220">
        <v>183</v>
      </c>
      <c r="E25" s="222">
        <f t="shared" si="1"/>
        <v>1.5249999999999999</v>
      </c>
      <c r="F25" s="24"/>
      <c r="G25" s="24"/>
      <c r="H25" s="221" t="s">
        <v>191</v>
      </c>
      <c r="I25" s="220">
        <v>64</v>
      </c>
      <c r="J25" s="222">
        <f t="shared" si="2"/>
        <v>0.53333333333333333</v>
      </c>
      <c r="K25" s="24"/>
      <c r="L25" s="24"/>
      <c r="M25" s="53"/>
    </row>
    <row r="26" spans="2:13" ht="15" x14ac:dyDescent="0.25">
      <c r="B26" s="52"/>
      <c r="C26" s="223" t="s">
        <v>171</v>
      </c>
      <c r="D26" s="220">
        <v>10</v>
      </c>
      <c r="E26" s="222">
        <f t="shared" si="1"/>
        <v>8.3333333333333343E-2</v>
      </c>
      <c r="F26" s="24"/>
      <c r="G26" s="24"/>
      <c r="H26" s="221" t="s">
        <v>192</v>
      </c>
      <c r="I26" s="220">
        <v>10</v>
      </c>
      <c r="J26" s="222">
        <f t="shared" si="2"/>
        <v>8.3333333333333343E-2</v>
      </c>
      <c r="K26" s="24"/>
      <c r="L26" s="24"/>
      <c r="M26" s="53"/>
    </row>
    <row r="27" spans="2:13" ht="15" x14ac:dyDescent="0.25">
      <c r="B27" s="52"/>
      <c r="C27" s="221" t="s">
        <v>172</v>
      </c>
      <c r="D27" s="220">
        <v>368</v>
      </c>
      <c r="E27" s="222">
        <f t="shared" si="1"/>
        <v>3.0666666666666664</v>
      </c>
      <c r="F27" s="24"/>
      <c r="G27" s="24"/>
      <c r="H27" s="224" t="s">
        <v>193</v>
      </c>
      <c r="I27" s="220">
        <v>35</v>
      </c>
      <c r="J27" s="222">
        <f t="shared" si="2"/>
        <v>0.29166666666666669</v>
      </c>
      <c r="K27" s="24"/>
      <c r="L27" s="24"/>
      <c r="M27" s="53"/>
    </row>
    <row r="28" spans="2:13" ht="15" x14ac:dyDescent="0.25">
      <c r="B28" s="52"/>
      <c r="C28" s="223" t="s">
        <v>173</v>
      </c>
      <c r="D28" s="220">
        <v>43</v>
      </c>
      <c r="E28" s="222">
        <f t="shared" si="1"/>
        <v>0.35833333333333334</v>
      </c>
      <c r="F28" s="24"/>
      <c r="G28" s="24"/>
      <c r="H28" s="221" t="s">
        <v>194</v>
      </c>
      <c r="I28" s="220">
        <v>108</v>
      </c>
      <c r="J28" s="222">
        <f t="shared" si="2"/>
        <v>0.89999999999999991</v>
      </c>
      <c r="K28" s="24"/>
      <c r="L28" s="24"/>
      <c r="M28" s="53"/>
    </row>
    <row r="29" spans="2:13" ht="15.75" thickBot="1" x14ac:dyDescent="0.3">
      <c r="B29" s="52"/>
      <c r="C29" s="223" t="s">
        <v>174</v>
      </c>
      <c r="D29" s="220">
        <v>11</v>
      </c>
      <c r="E29" s="222">
        <f t="shared" si="1"/>
        <v>9.166666666666666E-2</v>
      </c>
      <c r="F29" s="24"/>
      <c r="G29" s="24"/>
      <c r="H29" s="229" t="s">
        <v>195</v>
      </c>
      <c r="I29" s="230">
        <v>12000</v>
      </c>
      <c r="J29" s="231">
        <f>SUM(J2:J28)</f>
        <v>22.349999999999994</v>
      </c>
      <c r="K29" s="24"/>
      <c r="L29" s="24"/>
      <c r="M29" s="53"/>
    </row>
    <row r="30" spans="2:13" x14ac:dyDescent="0.25">
      <c r="B30" s="52"/>
      <c r="C30" s="24"/>
      <c r="D30" s="24"/>
      <c r="E30" s="44"/>
      <c r="F30" s="24"/>
      <c r="G30" s="24"/>
      <c r="H30" s="44"/>
      <c r="I30" s="45"/>
      <c r="J30" s="44"/>
      <c r="K30" s="24"/>
      <c r="L30" s="24"/>
      <c r="M30" s="53"/>
    </row>
    <row r="31" spans="2:13" x14ac:dyDescent="0.25">
      <c r="B31" s="52"/>
      <c r="C31" s="24"/>
      <c r="D31" s="24"/>
      <c r="E31" s="44"/>
      <c r="F31" s="24"/>
      <c r="G31" s="24"/>
      <c r="H31" s="44"/>
      <c r="I31" s="45"/>
      <c r="J31" s="44"/>
      <c r="K31" s="24"/>
      <c r="L31" s="24"/>
      <c r="M31" s="53"/>
    </row>
    <row r="32" spans="2:13" x14ac:dyDescent="0.25">
      <c r="B32" s="52"/>
      <c r="C32" s="24"/>
      <c r="D32" s="24"/>
      <c r="E32" s="44"/>
      <c r="F32" s="24"/>
      <c r="G32" s="24"/>
      <c r="H32" s="44"/>
      <c r="I32" s="45"/>
      <c r="J32" s="44"/>
      <c r="K32" s="24"/>
      <c r="L32" s="24"/>
      <c r="M32" s="53"/>
    </row>
    <row r="33" spans="2:13" x14ac:dyDescent="0.25">
      <c r="B33" s="52"/>
      <c r="C33" s="24"/>
      <c r="D33" s="24"/>
      <c r="E33" s="44"/>
      <c r="F33" s="24"/>
      <c r="G33" s="24"/>
      <c r="H33" s="44"/>
      <c r="I33" s="45"/>
      <c r="J33" s="44"/>
      <c r="K33" s="24"/>
      <c r="L33" s="24"/>
      <c r="M33" s="53"/>
    </row>
    <row r="34" spans="2:13" ht="13.5" thickBot="1" x14ac:dyDescent="0.3">
      <c r="B34" s="54"/>
      <c r="C34" s="55"/>
      <c r="D34" s="55"/>
      <c r="E34" s="56"/>
      <c r="F34" s="55"/>
      <c r="G34" s="55"/>
      <c r="H34" s="56"/>
      <c r="I34" s="57"/>
      <c r="J34" s="56"/>
      <c r="K34" s="55"/>
      <c r="L34" s="55"/>
      <c r="M34" s="58"/>
    </row>
  </sheetData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B1:O29"/>
  <sheetViews>
    <sheetView showGridLines="0" zoomScale="80" zoomScaleNormal="80" workbookViewId="0"/>
  </sheetViews>
  <sheetFormatPr baseColWidth="10" defaultRowHeight="12.75" x14ac:dyDescent="0.25"/>
  <cols>
    <col min="1" max="1" width="9" style="35" customWidth="1"/>
    <col min="2" max="2" width="6" style="35" customWidth="1"/>
    <col min="3" max="3" width="48.28515625" style="35" customWidth="1"/>
    <col min="4" max="4" width="16.42578125" style="35" customWidth="1"/>
    <col min="5" max="5" width="12.42578125" style="36" customWidth="1"/>
    <col min="6" max="6" width="16.42578125" style="35" customWidth="1"/>
    <col min="7" max="7" width="6.7109375" style="36" customWidth="1"/>
    <col min="8" max="8" width="14.85546875" style="35" bestFit="1" customWidth="1"/>
    <col min="9" max="9" width="11.5703125" style="36" bestFit="1" customWidth="1"/>
    <col min="10" max="10" width="16.42578125" style="37" customWidth="1"/>
    <col min="11" max="11" width="12.42578125" style="36" customWidth="1"/>
    <col min="12" max="12" width="15" style="35" bestFit="1" customWidth="1"/>
    <col min="13" max="13" width="11.42578125" style="36"/>
    <col min="14" max="14" width="2.140625" style="35" customWidth="1"/>
    <col min="15" max="16384" width="11.42578125" style="35"/>
  </cols>
  <sheetData>
    <row r="1" spans="2:15" ht="13.5" thickBot="1" x14ac:dyDescent="0.3"/>
    <row r="2" spans="2:15" x14ac:dyDescent="0.25">
      <c r="B2" s="47"/>
      <c r="C2" s="48"/>
      <c r="D2" s="48"/>
      <c r="E2" s="49"/>
      <c r="F2" s="48"/>
      <c r="G2" s="49"/>
      <c r="H2" s="48"/>
      <c r="I2" s="49"/>
      <c r="J2" s="50"/>
      <c r="K2" s="49"/>
      <c r="L2" s="48"/>
      <c r="M2" s="49"/>
      <c r="N2" s="48"/>
      <c r="O2" s="51"/>
    </row>
    <row r="3" spans="2:15" x14ac:dyDescent="0.25">
      <c r="B3" s="52"/>
      <c r="C3" s="24"/>
      <c r="D3" s="24"/>
      <c r="E3" s="44"/>
      <c r="F3" s="24"/>
      <c r="G3" s="44"/>
      <c r="H3" s="24"/>
      <c r="I3" s="44"/>
      <c r="J3" s="45"/>
      <c r="K3" s="44"/>
      <c r="L3" s="24"/>
      <c r="M3" s="44"/>
      <c r="N3" s="24"/>
      <c r="O3" s="53"/>
    </row>
    <row r="4" spans="2:15" x14ac:dyDescent="0.25">
      <c r="B4" s="52"/>
      <c r="C4" s="100"/>
      <c r="D4" s="24"/>
      <c r="E4" s="44"/>
      <c r="F4" s="24"/>
      <c r="G4" s="44"/>
      <c r="H4" s="24"/>
      <c r="I4" s="44"/>
      <c r="J4" s="45"/>
      <c r="K4" s="44"/>
      <c r="L4" s="24"/>
      <c r="M4" s="44"/>
      <c r="N4" s="24"/>
      <c r="O4" s="53"/>
    </row>
    <row r="5" spans="2:15" ht="23.25" x14ac:dyDescent="0.25">
      <c r="B5" s="52"/>
      <c r="C5" s="102" t="s">
        <v>82</v>
      </c>
      <c r="D5" s="24"/>
      <c r="E5" s="44"/>
      <c r="F5" s="24"/>
      <c r="G5" s="44"/>
      <c r="H5" s="24"/>
      <c r="I5" s="44"/>
      <c r="J5" s="45"/>
      <c r="K5" s="44"/>
      <c r="L5" s="24"/>
      <c r="M5" s="44"/>
      <c r="N5" s="24"/>
      <c r="O5" s="53"/>
    </row>
    <row r="6" spans="2:15" x14ac:dyDescent="0.25">
      <c r="B6" s="52"/>
      <c r="C6" s="24"/>
      <c r="D6" s="24"/>
      <c r="E6" s="44"/>
      <c r="F6" s="24"/>
      <c r="G6" s="44"/>
      <c r="H6" s="24"/>
      <c r="I6" s="44"/>
      <c r="J6" s="45"/>
      <c r="K6" s="44"/>
      <c r="L6" s="24"/>
      <c r="M6" s="44"/>
      <c r="N6" s="24"/>
      <c r="O6" s="53"/>
    </row>
    <row r="7" spans="2:15" x14ac:dyDescent="0.25">
      <c r="B7" s="52"/>
      <c r="C7" s="24"/>
      <c r="D7" s="24"/>
      <c r="E7" s="44"/>
      <c r="F7" s="24"/>
      <c r="G7" s="44"/>
      <c r="H7" s="24"/>
      <c r="I7" s="44"/>
      <c r="J7" s="45"/>
      <c r="K7" s="44"/>
      <c r="L7" s="24"/>
      <c r="M7" s="44"/>
      <c r="N7" s="24"/>
      <c r="O7" s="53"/>
    </row>
    <row r="8" spans="2:15" x14ac:dyDescent="0.25">
      <c r="B8" s="52"/>
      <c r="C8" s="24"/>
      <c r="D8" s="24"/>
      <c r="E8" s="44"/>
      <c r="F8" s="24"/>
      <c r="G8" s="44"/>
      <c r="H8" s="24"/>
      <c r="I8" s="44"/>
      <c r="J8" s="45"/>
      <c r="K8" s="44"/>
      <c r="L8" s="24"/>
      <c r="M8" s="44"/>
      <c r="N8" s="24"/>
      <c r="O8" s="53"/>
    </row>
    <row r="9" spans="2:15" x14ac:dyDescent="0.25">
      <c r="B9" s="52"/>
      <c r="C9" s="24"/>
      <c r="D9" s="24"/>
      <c r="E9" s="44"/>
      <c r="F9" s="24"/>
      <c r="G9" s="44"/>
      <c r="H9" s="24"/>
      <c r="I9" s="44"/>
      <c r="J9" s="45"/>
      <c r="K9" s="44"/>
      <c r="L9" s="24"/>
      <c r="M9" s="44"/>
      <c r="N9" s="24"/>
      <c r="O9" s="53"/>
    </row>
    <row r="10" spans="2:15" ht="18.75" x14ac:dyDescent="0.25">
      <c r="B10" s="52"/>
      <c r="C10" s="24"/>
      <c r="D10" s="24"/>
      <c r="E10" s="44"/>
      <c r="F10" s="24"/>
      <c r="G10" s="96"/>
      <c r="H10" s="100"/>
      <c r="I10" s="101"/>
      <c r="J10" s="46"/>
      <c r="K10" s="101"/>
      <c r="L10" s="94"/>
      <c r="M10" s="44"/>
      <c r="N10" s="24"/>
      <c r="O10" s="53"/>
    </row>
    <row r="11" spans="2:15" x14ac:dyDescent="0.25">
      <c r="B11" s="52"/>
      <c r="C11" s="24"/>
      <c r="D11" s="24"/>
      <c r="E11" s="44"/>
      <c r="F11" s="24"/>
      <c r="G11" s="44"/>
      <c r="H11" s="24"/>
      <c r="I11" s="44"/>
      <c r="J11" s="44"/>
      <c r="K11" s="44"/>
      <c r="L11" s="24"/>
      <c r="M11" s="44"/>
      <c r="N11" s="24"/>
      <c r="O11" s="53"/>
    </row>
    <row r="12" spans="2:15" x14ac:dyDescent="0.25">
      <c r="B12" s="52"/>
      <c r="C12" s="24"/>
      <c r="D12" s="24"/>
      <c r="E12" s="44"/>
      <c r="F12" s="24"/>
      <c r="G12" s="44"/>
      <c r="H12" s="24"/>
      <c r="I12" s="44"/>
      <c r="J12" s="45"/>
      <c r="K12" s="44"/>
      <c r="L12" s="24"/>
      <c r="M12" s="44"/>
      <c r="N12" s="24"/>
      <c r="O12" s="53"/>
    </row>
    <row r="13" spans="2:15" ht="25.5" x14ac:dyDescent="0.25">
      <c r="B13" s="52"/>
      <c r="C13" s="218"/>
      <c r="D13" s="24"/>
      <c r="E13" s="44"/>
      <c r="F13" s="24"/>
      <c r="G13" s="44"/>
      <c r="H13" s="24"/>
      <c r="I13" s="44"/>
      <c r="J13" s="45"/>
      <c r="K13" s="44"/>
      <c r="L13" s="24"/>
      <c r="M13" s="44"/>
      <c r="N13" s="24"/>
      <c r="O13" s="53"/>
    </row>
    <row r="14" spans="2:15" ht="25.5" x14ac:dyDescent="0.25">
      <c r="B14" s="52"/>
      <c r="C14" s="218"/>
      <c r="D14" s="24"/>
      <c r="E14" s="44"/>
      <c r="F14" s="24"/>
      <c r="G14" s="44"/>
      <c r="H14" s="46"/>
      <c r="I14" s="44"/>
      <c r="J14" s="45"/>
      <c r="K14" s="95"/>
      <c r="L14" s="24"/>
      <c r="M14" s="44"/>
      <c r="N14" s="24"/>
      <c r="O14" s="53"/>
    </row>
    <row r="15" spans="2:15" ht="25.5" x14ac:dyDescent="0.25">
      <c r="B15" s="52"/>
      <c r="C15" s="218"/>
      <c r="D15" s="24"/>
      <c r="E15" s="44"/>
      <c r="F15" s="24"/>
      <c r="G15" s="44"/>
      <c r="H15" s="24"/>
      <c r="I15" s="44"/>
      <c r="J15" s="45"/>
      <c r="K15" s="44"/>
      <c r="L15" s="24"/>
      <c r="M15" s="44"/>
      <c r="N15" s="24"/>
      <c r="O15" s="53"/>
    </row>
    <row r="16" spans="2:15" ht="25.5" x14ac:dyDescent="0.25">
      <c r="B16" s="52"/>
      <c r="C16" s="218"/>
      <c r="D16" s="24"/>
      <c r="E16" s="44"/>
      <c r="F16" s="24"/>
      <c r="G16" s="44"/>
      <c r="H16" s="44"/>
      <c r="I16" s="45"/>
      <c r="J16" s="45"/>
      <c r="K16" s="44"/>
      <c r="L16" s="24"/>
      <c r="M16" s="44"/>
      <c r="N16" s="24"/>
      <c r="O16" s="53"/>
    </row>
    <row r="17" spans="2:15" ht="25.5" x14ac:dyDescent="0.25">
      <c r="B17" s="52"/>
      <c r="C17" s="218"/>
      <c r="D17" s="24"/>
      <c r="E17" s="44"/>
      <c r="F17" s="24"/>
      <c r="G17" s="44"/>
      <c r="H17" s="24"/>
      <c r="I17" s="44"/>
      <c r="J17" s="45"/>
      <c r="K17" s="44"/>
      <c r="L17" s="24"/>
      <c r="M17" s="44"/>
      <c r="N17" s="24"/>
      <c r="O17" s="53"/>
    </row>
    <row r="18" spans="2:15" ht="25.5" x14ac:dyDescent="0.25">
      <c r="B18" s="52"/>
      <c r="C18" s="218"/>
      <c r="D18" s="24"/>
      <c r="E18" s="44"/>
      <c r="F18" s="24"/>
      <c r="G18" s="44"/>
      <c r="H18" s="24"/>
      <c r="I18" s="44"/>
      <c r="J18" s="45"/>
      <c r="K18" s="44"/>
      <c r="L18" s="24"/>
      <c r="M18" s="44"/>
      <c r="N18" s="24"/>
      <c r="O18" s="53"/>
    </row>
    <row r="19" spans="2:15" ht="25.5" x14ac:dyDescent="0.25">
      <c r="B19" s="52"/>
      <c r="C19" s="218"/>
      <c r="D19" s="24"/>
      <c r="E19" s="44"/>
      <c r="F19" s="24"/>
      <c r="G19" s="44"/>
      <c r="H19" s="24"/>
      <c r="I19" s="44"/>
      <c r="J19" s="45"/>
      <c r="K19" s="44"/>
      <c r="L19" s="24"/>
      <c r="M19" s="44"/>
      <c r="N19" s="24"/>
      <c r="O19" s="53"/>
    </row>
    <row r="20" spans="2:15" ht="23.25" x14ac:dyDescent="0.25">
      <c r="B20" s="52"/>
      <c r="C20" s="24"/>
      <c r="D20" s="24"/>
      <c r="E20" s="44"/>
      <c r="F20" s="24"/>
      <c r="G20" s="44"/>
      <c r="H20" s="24"/>
      <c r="I20" s="59"/>
      <c r="J20" s="45"/>
      <c r="K20" s="44"/>
      <c r="L20" s="24"/>
      <c r="M20" s="44"/>
      <c r="N20" s="24"/>
      <c r="O20" s="53"/>
    </row>
    <row r="21" spans="2:15" ht="25.5" x14ac:dyDescent="0.25">
      <c r="B21" s="52"/>
      <c r="C21" s="218"/>
      <c r="D21" s="24"/>
      <c r="E21" s="44"/>
      <c r="F21" s="24"/>
      <c r="G21" s="44"/>
      <c r="H21" s="24"/>
      <c r="I21" s="44"/>
      <c r="J21" s="45"/>
      <c r="K21" s="44"/>
      <c r="L21" s="24"/>
      <c r="M21" s="44"/>
      <c r="N21" s="24"/>
      <c r="O21" s="53"/>
    </row>
    <row r="22" spans="2:15" x14ac:dyDescent="0.25">
      <c r="B22" s="52"/>
      <c r="C22" s="24"/>
      <c r="D22" s="24"/>
      <c r="E22" s="44"/>
      <c r="F22" s="24"/>
      <c r="G22" s="44"/>
      <c r="H22" s="24"/>
      <c r="I22" s="44"/>
      <c r="J22" s="45"/>
      <c r="K22" s="44"/>
      <c r="L22" s="24"/>
      <c r="M22" s="44"/>
      <c r="N22" s="24"/>
      <c r="O22" s="53"/>
    </row>
    <row r="23" spans="2:15" x14ac:dyDescent="0.25">
      <c r="B23" s="52"/>
      <c r="C23" s="24"/>
      <c r="D23" s="24"/>
      <c r="E23" s="44"/>
      <c r="F23" s="24"/>
      <c r="G23" s="44"/>
      <c r="H23" s="24"/>
      <c r="I23" s="44"/>
      <c r="J23" s="45"/>
      <c r="K23" s="44"/>
      <c r="L23" s="24"/>
      <c r="M23" s="44"/>
      <c r="N23" s="24"/>
      <c r="O23" s="53"/>
    </row>
    <row r="24" spans="2:15" x14ac:dyDescent="0.25">
      <c r="B24" s="52"/>
      <c r="C24" s="24"/>
      <c r="D24" s="24"/>
      <c r="E24" s="44"/>
      <c r="F24" s="24"/>
      <c r="G24" s="44"/>
      <c r="H24" s="24"/>
      <c r="I24" s="44"/>
      <c r="J24" s="45"/>
      <c r="K24" s="44"/>
      <c r="L24" s="24"/>
      <c r="M24" s="44"/>
      <c r="N24" s="24"/>
      <c r="O24" s="53"/>
    </row>
    <row r="25" spans="2:15" x14ac:dyDescent="0.25">
      <c r="B25" s="52"/>
      <c r="C25" s="24"/>
      <c r="D25" s="24"/>
      <c r="E25" s="44"/>
      <c r="F25" s="24"/>
      <c r="G25" s="44"/>
      <c r="H25" s="24"/>
      <c r="I25" s="44"/>
      <c r="J25" s="45"/>
      <c r="K25" s="44"/>
      <c r="L25" s="24"/>
      <c r="M25" s="44"/>
      <c r="N25" s="24"/>
      <c r="O25" s="53"/>
    </row>
    <row r="26" spans="2:15" x14ac:dyDescent="0.25">
      <c r="B26" s="52"/>
      <c r="C26" s="24"/>
      <c r="D26" s="24"/>
      <c r="E26" s="44"/>
      <c r="F26" s="24"/>
      <c r="G26" s="44"/>
      <c r="H26" s="24"/>
      <c r="I26" s="44"/>
      <c r="J26" s="45"/>
      <c r="K26" s="44"/>
      <c r="L26" s="24"/>
      <c r="M26" s="44"/>
      <c r="N26" s="24"/>
      <c r="O26" s="53"/>
    </row>
    <row r="27" spans="2:15" x14ac:dyDescent="0.25">
      <c r="B27" s="52"/>
      <c r="C27" s="24"/>
      <c r="D27" s="24"/>
      <c r="E27" s="44"/>
      <c r="F27" s="24"/>
      <c r="G27" s="44"/>
      <c r="H27" s="24"/>
      <c r="I27" s="44"/>
      <c r="J27" s="45"/>
      <c r="K27" s="44"/>
      <c r="L27" s="24"/>
      <c r="M27" s="44"/>
      <c r="N27" s="24"/>
      <c r="O27" s="53"/>
    </row>
    <row r="28" spans="2:15" x14ac:dyDescent="0.25">
      <c r="B28" s="52"/>
      <c r="C28" s="24"/>
      <c r="D28" s="24"/>
      <c r="E28" s="44"/>
      <c r="F28" s="24"/>
      <c r="G28" s="44"/>
      <c r="H28" s="24"/>
      <c r="I28" s="44"/>
      <c r="J28" s="45"/>
      <c r="K28" s="44"/>
      <c r="L28" s="24"/>
      <c r="M28" s="44"/>
      <c r="N28" s="24"/>
      <c r="O28" s="53"/>
    </row>
    <row r="29" spans="2:15" ht="13.5" thickBot="1" x14ac:dyDescent="0.3">
      <c r="B29" s="54"/>
      <c r="C29" s="55"/>
      <c r="D29" s="55"/>
      <c r="E29" s="56"/>
      <c r="F29" s="55"/>
      <c r="G29" s="56"/>
      <c r="H29" s="55"/>
      <c r="I29" s="56"/>
      <c r="J29" s="57"/>
      <c r="K29" s="56"/>
      <c r="L29" s="55"/>
      <c r="M29" s="56"/>
      <c r="N29" s="55"/>
      <c r="O29" s="58"/>
    </row>
  </sheetData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BO310"/>
  <sheetViews>
    <sheetView showGridLines="0" topLeftCell="A114" zoomScale="80" zoomScaleNormal="80" workbookViewId="0">
      <selection activeCell="M60" sqref="M60"/>
    </sheetView>
  </sheetViews>
  <sheetFormatPr baseColWidth="10" defaultRowHeight="12.75" x14ac:dyDescent="0.25"/>
  <cols>
    <col min="1" max="1" width="9" style="35" customWidth="1"/>
    <col min="2" max="2" width="6" style="35" customWidth="1"/>
    <col min="3" max="3" width="48.28515625" style="35" customWidth="1"/>
    <col min="4" max="4" width="16.42578125" style="35" customWidth="1"/>
    <col min="5" max="5" width="12.42578125" style="36" customWidth="1"/>
    <col min="6" max="6" width="16.42578125" style="35" customWidth="1"/>
    <col min="7" max="7" width="6.7109375" style="36" customWidth="1"/>
    <col min="8" max="8" width="14.85546875" style="35" bestFit="1" customWidth="1"/>
    <col min="9" max="9" width="11.5703125" style="36" bestFit="1" customWidth="1"/>
    <col min="10" max="10" width="16.42578125" style="37" customWidth="1"/>
    <col min="11" max="11" width="12.42578125" style="36" customWidth="1"/>
    <col min="12" max="12" width="15" style="35" bestFit="1" customWidth="1"/>
    <col min="13" max="13" width="11.42578125" style="36"/>
    <col min="14" max="14" width="2.140625" style="35" customWidth="1"/>
    <col min="15" max="16384" width="11.42578125" style="35"/>
  </cols>
  <sheetData>
    <row r="1" spans="1:67" s="3" customFormat="1" ht="13.5" thickBot="1" x14ac:dyDescent="0.3">
      <c r="A1" s="35"/>
      <c r="B1" s="35"/>
      <c r="C1" s="35"/>
      <c r="D1" s="35"/>
      <c r="E1" s="36"/>
      <c r="F1" s="35"/>
      <c r="G1" s="36"/>
      <c r="H1" s="35"/>
      <c r="I1" s="36"/>
      <c r="J1" s="37"/>
      <c r="K1" s="36"/>
      <c r="L1" s="35"/>
      <c r="M1" s="36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</row>
    <row r="2" spans="1:67" s="3" customFormat="1" ht="13.5" thickTop="1" x14ac:dyDescent="0.25">
      <c r="A2" s="35"/>
      <c r="B2" s="77"/>
      <c r="C2" s="78"/>
      <c r="D2" s="78"/>
      <c r="E2" s="79"/>
      <c r="F2" s="78"/>
      <c r="G2" s="79"/>
      <c r="H2" s="78"/>
      <c r="I2" s="79"/>
      <c r="J2" s="80"/>
      <c r="K2" s="79"/>
      <c r="L2" s="78"/>
      <c r="M2" s="79"/>
      <c r="N2" s="78"/>
      <c r="O2" s="81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</row>
    <row r="3" spans="1:67" s="3" customFormat="1" x14ac:dyDescent="0.25">
      <c r="A3" s="35"/>
      <c r="B3" s="82"/>
      <c r="C3" s="24"/>
      <c r="D3" s="24"/>
      <c r="E3" s="44"/>
      <c r="F3" s="24"/>
      <c r="G3" s="44"/>
      <c r="H3" s="24"/>
      <c r="I3" s="44"/>
      <c r="J3" s="45"/>
      <c r="K3" s="44"/>
      <c r="L3" s="24"/>
      <c r="M3" s="44"/>
      <c r="N3" s="24"/>
      <c r="O3" s="83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</row>
    <row r="4" spans="1:67" s="3" customFormat="1" x14ac:dyDescent="0.25">
      <c r="A4" s="35"/>
      <c r="B4" s="82"/>
      <c r="C4" s="24"/>
      <c r="D4" s="24"/>
      <c r="E4" s="44"/>
      <c r="F4" s="24"/>
      <c r="G4" s="44"/>
      <c r="H4" s="24"/>
      <c r="I4" s="44"/>
      <c r="J4" s="45"/>
      <c r="K4" s="44"/>
      <c r="L4" s="24"/>
      <c r="M4" s="44"/>
      <c r="N4" s="24"/>
      <c r="O4" s="83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</row>
    <row r="5" spans="1:67" s="3" customFormat="1" x14ac:dyDescent="0.25">
      <c r="A5" s="35"/>
      <c r="B5" s="82"/>
      <c r="C5" s="24"/>
      <c r="D5" s="24"/>
      <c r="E5" s="44"/>
      <c r="F5" s="24"/>
      <c r="G5" s="44"/>
      <c r="H5" s="24"/>
      <c r="I5" s="44"/>
      <c r="J5" s="45"/>
      <c r="K5" s="44"/>
      <c r="L5" s="24"/>
      <c r="M5" s="44"/>
      <c r="N5" s="24"/>
      <c r="O5" s="83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</row>
    <row r="6" spans="1:67" s="3" customFormat="1" x14ac:dyDescent="0.25">
      <c r="A6" s="35"/>
      <c r="B6" s="82"/>
      <c r="C6" s="24"/>
      <c r="D6" s="24"/>
      <c r="E6" s="44"/>
      <c r="F6" s="24"/>
      <c r="G6" s="44"/>
      <c r="H6" s="24"/>
      <c r="I6" s="44"/>
      <c r="J6" s="45"/>
      <c r="K6" s="44"/>
      <c r="L6" s="24"/>
      <c r="M6" s="44"/>
      <c r="N6" s="24"/>
      <c r="O6" s="83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</row>
    <row r="7" spans="1:67" s="3" customFormat="1" x14ac:dyDescent="0.25">
      <c r="A7" s="35"/>
      <c r="B7" s="82"/>
      <c r="C7" s="24"/>
      <c r="D7" s="24"/>
      <c r="E7" s="44"/>
      <c r="F7" s="24"/>
      <c r="G7" s="44"/>
      <c r="H7" s="24"/>
      <c r="I7" s="44"/>
      <c r="J7" s="45"/>
      <c r="K7" s="44"/>
      <c r="L7" s="24"/>
      <c r="M7" s="44"/>
      <c r="N7" s="24"/>
      <c r="O7" s="83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</row>
    <row r="8" spans="1:67" s="3" customFormat="1" x14ac:dyDescent="0.25">
      <c r="A8" s="35"/>
      <c r="B8" s="82"/>
      <c r="C8" s="24"/>
      <c r="D8" s="24"/>
      <c r="E8" s="44"/>
      <c r="F8" s="24"/>
      <c r="G8" s="44"/>
      <c r="H8" s="24"/>
      <c r="I8" s="44"/>
      <c r="J8" s="45"/>
      <c r="K8" s="44"/>
      <c r="L8" s="24"/>
      <c r="M8" s="44"/>
      <c r="N8" s="24"/>
      <c r="O8" s="83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</row>
    <row r="9" spans="1:67" s="3" customFormat="1" x14ac:dyDescent="0.25">
      <c r="A9" s="35"/>
      <c r="B9" s="82"/>
      <c r="C9" s="24"/>
      <c r="D9" s="24"/>
      <c r="E9" s="44"/>
      <c r="F9" s="24"/>
      <c r="G9" s="44"/>
      <c r="H9" s="24"/>
      <c r="I9" s="44"/>
      <c r="J9" s="45"/>
      <c r="K9" s="44"/>
      <c r="L9" s="24"/>
      <c r="M9" s="44"/>
      <c r="N9" s="24"/>
      <c r="O9" s="83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</row>
    <row r="10" spans="1:67" s="3" customFormat="1" x14ac:dyDescent="0.25">
      <c r="A10" s="35"/>
      <c r="B10" s="82"/>
      <c r="C10" s="24"/>
      <c r="D10" s="24"/>
      <c r="E10" s="44"/>
      <c r="F10" s="24"/>
      <c r="G10" s="44"/>
      <c r="H10" s="24"/>
      <c r="I10" s="44"/>
      <c r="J10" s="45"/>
      <c r="K10" s="44"/>
      <c r="L10" s="24"/>
      <c r="M10" s="44"/>
      <c r="N10" s="24"/>
      <c r="O10" s="83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</row>
    <row r="11" spans="1:67" s="3" customFormat="1" x14ac:dyDescent="0.25">
      <c r="A11" s="35"/>
      <c r="B11" s="82"/>
      <c r="C11" s="24"/>
      <c r="D11" s="24"/>
      <c r="E11" s="44"/>
      <c r="F11" s="24"/>
      <c r="G11" s="44"/>
      <c r="H11" s="24"/>
      <c r="I11" s="44"/>
      <c r="J11" s="45"/>
      <c r="K11" s="44"/>
      <c r="L11" s="24"/>
      <c r="M11" s="44"/>
      <c r="N11" s="24"/>
      <c r="O11" s="83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</row>
    <row r="12" spans="1:67" s="3" customFormat="1" x14ac:dyDescent="0.25">
      <c r="A12" s="35"/>
      <c r="B12" s="82"/>
      <c r="C12" s="24"/>
      <c r="D12" s="24"/>
      <c r="E12" s="44"/>
      <c r="F12" s="24"/>
      <c r="G12" s="44"/>
      <c r="H12" s="24"/>
      <c r="I12" s="44"/>
      <c r="J12" s="45"/>
      <c r="K12" s="44"/>
      <c r="L12" s="24"/>
      <c r="M12" s="44"/>
      <c r="N12" s="24"/>
      <c r="O12" s="83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</row>
    <row r="13" spans="1:67" s="3" customFormat="1" x14ac:dyDescent="0.25">
      <c r="A13" s="35"/>
      <c r="B13" s="82"/>
      <c r="C13" s="24"/>
      <c r="D13" s="24"/>
      <c r="E13" s="44"/>
      <c r="F13" s="24"/>
      <c r="G13" s="44"/>
      <c r="H13" s="24"/>
      <c r="I13" s="44"/>
      <c r="J13" s="45"/>
      <c r="K13" s="44"/>
      <c r="L13" s="24"/>
      <c r="M13" s="44"/>
      <c r="N13" s="24"/>
      <c r="O13" s="83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</row>
    <row r="14" spans="1:67" s="3" customFormat="1" x14ac:dyDescent="0.25">
      <c r="A14" s="35"/>
      <c r="B14" s="82"/>
      <c r="C14" s="24"/>
      <c r="D14" s="24"/>
      <c r="E14" s="44"/>
      <c r="F14" s="24"/>
      <c r="G14" s="44"/>
      <c r="H14" s="24"/>
      <c r="I14" s="44"/>
      <c r="J14" s="45"/>
      <c r="K14" s="44"/>
      <c r="L14" s="24"/>
      <c r="M14" s="44"/>
      <c r="N14" s="24"/>
      <c r="O14" s="83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</row>
    <row r="15" spans="1:67" s="3" customFormat="1" ht="13.5" thickBot="1" x14ac:dyDescent="0.3">
      <c r="A15" s="35"/>
      <c r="B15" s="84"/>
      <c r="C15" s="85"/>
      <c r="D15" s="85"/>
      <c r="E15" s="86"/>
      <c r="F15" s="85"/>
      <c r="G15" s="86"/>
      <c r="H15" s="85"/>
      <c r="I15" s="86"/>
      <c r="J15" s="87"/>
      <c r="K15" s="86"/>
      <c r="L15" s="85"/>
      <c r="M15" s="86"/>
      <c r="N15" s="85"/>
      <c r="O15" s="88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</row>
    <row r="16" spans="1:67" ht="14.25" thickTop="1" thickBot="1" x14ac:dyDescent="0.3"/>
    <row r="17" spans="1:67" s="3" customFormat="1" ht="15" x14ac:dyDescent="0.25">
      <c r="A17" s="35"/>
      <c r="B17" s="26"/>
      <c r="C17" s="38"/>
      <c r="D17" s="38"/>
      <c r="E17" s="39"/>
      <c r="F17" s="38"/>
      <c r="G17" s="39"/>
      <c r="H17" s="38"/>
      <c r="I17" s="39"/>
      <c r="J17" s="40"/>
      <c r="K17" s="39"/>
      <c r="L17" s="38"/>
      <c r="M17" s="39"/>
      <c r="N17" s="38"/>
      <c r="O17" s="27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</row>
    <row r="18" spans="1:67" s="3" customFormat="1" ht="15.75" x14ac:dyDescent="0.25">
      <c r="A18" s="35"/>
      <c r="B18" s="28"/>
      <c r="C18" s="249" t="s">
        <v>0</v>
      </c>
      <c r="D18" s="249"/>
      <c r="E18" s="249"/>
      <c r="F18" s="249"/>
      <c r="G18" s="249"/>
      <c r="H18" s="249"/>
      <c r="I18" s="249"/>
      <c r="J18" s="249"/>
      <c r="K18" s="249"/>
      <c r="L18" s="249"/>
      <c r="M18" s="249"/>
      <c r="N18" s="41"/>
      <c r="O18" s="29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</row>
    <row r="19" spans="1:67" s="3" customFormat="1" ht="15.75" x14ac:dyDescent="0.25">
      <c r="A19" s="35"/>
      <c r="B19" s="28"/>
      <c r="C19" s="250" t="s">
        <v>1</v>
      </c>
      <c r="D19" s="250"/>
      <c r="E19" s="250"/>
      <c r="F19" s="250"/>
      <c r="G19" s="250"/>
      <c r="H19" s="250"/>
      <c r="I19" s="250"/>
      <c r="J19" s="250"/>
      <c r="K19" s="250"/>
      <c r="L19" s="250"/>
      <c r="M19" s="250"/>
      <c r="N19" s="250"/>
      <c r="O19" s="29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</row>
    <row r="20" spans="1:67" s="3" customFormat="1" ht="15.75" x14ac:dyDescent="0.25">
      <c r="A20" s="35"/>
      <c r="B20" s="28"/>
      <c r="C20" s="250" t="s">
        <v>2</v>
      </c>
      <c r="D20" s="250"/>
      <c r="E20" s="250"/>
      <c r="F20" s="250"/>
      <c r="G20" s="250"/>
      <c r="H20" s="250"/>
      <c r="I20" s="250"/>
      <c r="J20" s="250"/>
      <c r="K20" s="250"/>
      <c r="L20" s="250"/>
      <c r="M20" s="250"/>
      <c r="N20" s="41"/>
      <c r="O20" s="29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</row>
    <row r="21" spans="1:67" s="3" customFormat="1" x14ac:dyDescent="0.25">
      <c r="A21" s="35"/>
      <c r="B21" s="28"/>
      <c r="C21" s="6"/>
      <c r="D21" s="6"/>
      <c r="E21" s="20"/>
      <c r="F21" s="4"/>
      <c r="G21" s="20"/>
      <c r="H21" s="4"/>
      <c r="I21" s="20"/>
      <c r="J21" s="7"/>
      <c r="K21" s="20"/>
      <c r="L21" s="4"/>
      <c r="M21" s="20"/>
      <c r="N21" s="4"/>
      <c r="O21" s="29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</row>
    <row r="22" spans="1:67" s="3" customFormat="1" ht="15" customHeight="1" x14ac:dyDescent="0.25">
      <c r="A22" s="35"/>
      <c r="B22" s="28"/>
      <c r="C22" s="4"/>
      <c r="D22" s="251" t="s">
        <v>58</v>
      </c>
      <c r="E22" s="246" t="s">
        <v>50</v>
      </c>
      <c r="F22" s="253" t="s">
        <v>57</v>
      </c>
      <c r="G22" s="246" t="s">
        <v>50</v>
      </c>
      <c r="H22" s="246" t="s">
        <v>51</v>
      </c>
      <c r="I22" s="246"/>
      <c r="J22" s="244" t="s">
        <v>54</v>
      </c>
      <c r="K22" s="246" t="s">
        <v>50</v>
      </c>
      <c r="L22" s="246" t="s">
        <v>55</v>
      </c>
      <c r="M22" s="248"/>
      <c r="N22" s="4"/>
      <c r="O22" s="29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</row>
    <row r="23" spans="1:67" s="3" customFormat="1" x14ac:dyDescent="0.25">
      <c r="A23" s="35"/>
      <c r="B23" s="28"/>
      <c r="C23" s="5"/>
      <c r="D23" s="252"/>
      <c r="E23" s="247"/>
      <c r="F23" s="254"/>
      <c r="G23" s="247"/>
      <c r="H23" s="99" t="s">
        <v>52</v>
      </c>
      <c r="I23" s="99" t="s">
        <v>53</v>
      </c>
      <c r="J23" s="245"/>
      <c r="K23" s="247"/>
      <c r="L23" s="99" t="s">
        <v>52</v>
      </c>
      <c r="M23" s="16" t="s">
        <v>53</v>
      </c>
      <c r="N23" s="4"/>
      <c r="O23" s="29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</row>
    <row r="24" spans="1:67" s="3" customFormat="1" x14ac:dyDescent="0.25">
      <c r="A24" s="35"/>
      <c r="B24" s="28"/>
      <c r="C24" s="8" t="s">
        <v>3</v>
      </c>
      <c r="D24" s="4"/>
      <c r="E24" s="20"/>
      <c r="F24" s="4"/>
      <c r="G24" s="20"/>
      <c r="H24" s="4"/>
      <c r="I24" s="20"/>
      <c r="J24" s="9"/>
      <c r="K24" s="20"/>
      <c r="L24" s="4"/>
      <c r="M24" s="20"/>
      <c r="N24" s="4"/>
      <c r="O24" s="29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</row>
    <row r="25" spans="1:67" s="3" customFormat="1" x14ac:dyDescent="0.25">
      <c r="A25" s="35"/>
      <c r="B25" s="28"/>
      <c r="C25" s="4" t="s">
        <v>4</v>
      </c>
      <c r="D25" s="11">
        <v>565074850</v>
      </c>
      <c r="E25" s="21">
        <f>D25/D$34</f>
        <v>0.54807639435957789</v>
      </c>
      <c r="F25" s="11">
        <f>1246375074+17003120+5290100</f>
        <v>1268668294</v>
      </c>
      <c r="G25" s="21">
        <f>F25/F$34</f>
        <v>0.66813633686107288</v>
      </c>
      <c r="H25" s="11">
        <f>+D25-F25</f>
        <v>-703593444</v>
      </c>
      <c r="I25" s="21">
        <f>D25/F25-1</f>
        <v>-0.55459212414115866</v>
      </c>
      <c r="J25" s="42">
        <v>1544573000</v>
      </c>
      <c r="K25" s="21">
        <f>J25/J$34</f>
        <v>0.59566952042296051</v>
      </c>
      <c r="L25" s="12">
        <f>+D25-J25</f>
        <v>-979498150</v>
      </c>
      <c r="M25" s="21">
        <f>IFERROR(D25/J25,0)</f>
        <v>0.36584535013884095</v>
      </c>
      <c r="N25" s="4"/>
      <c r="O25" s="29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</row>
    <row r="26" spans="1:67" s="3" customFormat="1" x14ac:dyDescent="0.25">
      <c r="A26" s="35"/>
      <c r="B26" s="28"/>
      <c r="C26" s="4" t="s">
        <v>5</v>
      </c>
      <c r="D26" s="11">
        <v>146814600</v>
      </c>
      <c r="E26" s="21">
        <f t="shared" ref="E26:G34" si="0">D26/D$34</f>
        <v>0.14239815593871094</v>
      </c>
      <c r="F26" s="11">
        <f>252348000+143000</f>
        <v>252491000</v>
      </c>
      <c r="G26" s="21">
        <f t="shared" si="0"/>
        <v>0.13297282877504399</v>
      </c>
      <c r="H26" s="11">
        <f t="shared" ref="H26:H81" si="1">+D26-F26</f>
        <v>-105676400</v>
      </c>
      <c r="I26" s="21">
        <f t="shared" ref="I26:I34" si="2">D26/F26-1</f>
        <v>-0.41853531413000855</v>
      </c>
      <c r="J26" s="42">
        <v>439093200</v>
      </c>
      <c r="K26" s="21">
        <f t="shared" ref="K26:K34" si="3">J26/J$34</f>
        <v>0.16933769777471386</v>
      </c>
      <c r="L26" s="12">
        <f t="shared" ref="L26:L79" si="4">+D26-J26</f>
        <v>-292278600</v>
      </c>
      <c r="M26" s="21">
        <f t="shared" ref="M26:M81" si="5">IFERROR(D26/J26,0)</f>
        <v>0.3343586281910082</v>
      </c>
      <c r="N26" s="4"/>
      <c r="O26" s="29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</row>
    <row r="27" spans="1:67" s="3" customFormat="1" x14ac:dyDescent="0.25">
      <c r="A27" s="35"/>
      <c r="B27" s="28"/>
      <c r="C27" s="4" t="s">
        <v>6</v>
      </c>
      <c r="D27" s="11">
        <v>66625569</v>
      </c>
      <c r="E27" s="21">
        <f t="shared" si="0"/>
        <v>6.462135348914444E-2</v>
      </c>
      <c r="F27" s="11">
        <v>43537163</v>
      </c>
      <c r="G27" s="21">
        <f t="shared" si="0"/>
        <v>2.2928578527354162E-2</v>
      </c>
      <c r="H27" s="11">
        <f t="shared" si="1"/>
        <v>23088406</v>
      </c>
      <c r="I27" s="21">
        <f t="shared" si="2"/>
        <v>0.5303148944270899</v>
      </c>
      <c r="J27" s="42">
        <v>286337046</v>
      </c>
      <c r="K27" s="21">
        <f t="shared" si="3"/>
        <v>0.11042679813135876</v>
      </c>
      <c r="L27" s="12">
        <f t="shared" si="4"/>
        <v>-219711477</v>
      </c>
      <c r="M27" s="21">
        <f t="shared" si="5"/>
        <v>0.23268232291535201</v>
      </c>
      <c r="N27" s="4"/>
      <c r="O27" s="29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</row>
    <row r="28" spans="1:67" s="3" customFormat="1" x14ac:dyDescent="0.25">
      <c r="A28" s="35"/>
      <c r="B28" s="28"/>
      <c r="C28" s="4" t="s">
        <v>7</v>
      </c>
      <c r="D28" s="11">
        <v>70018</v>
      </c>
      <c r="E28" s="21">
        <f t="shared" si="0"/>
        <v>6.7911734136228013E-5</v>
      </c>
      <c r="F28" s="11">
        <v>313504</v>
      </c>
      <c r="G28" s="21">
        <f t="shared" si="0"/>
        <v>1.6510494913597469E-4</v>
      </c>
      <c r="H28" s="11">
        <f t="shared" si="1"/>
        <v>-243486</v>
      </c>
      <c r="I28" s="21">
        <f t="shared" si="2"/>
        <v>-0.77665994692252727</v>
      </c>
      <c r="J28" s="42">
        <v>0</v>
      </c>
      <c r="K28" s="21">
        <f t="shared" si="3"/>
        <v>0</v>
      </c>
      <c r="L28" s="12">
        <f t="shared" si="4"/>
        <v>70018</v>
      </c>
      <c r="M28" s="21">
        <f t="shared" si="5"/>
        <v>0</v>
      </c>
      <c r="N28" s="4"/>
      <c r="O28" s="29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</row>
    <row r="29" spans="1:67" s="3" customFormat="1" x14ac:dyDescent="0.25">
      <c r="A29" s="35"/>
      <c r="B29" s="28"/>
      <c r="C29" s="4" t="s">
        <v>8</v>
      </c>
      <c r="D29" s="11">
        <v>98829500</v>
      </c>
      <c r="E29" s="21">
        <f t="shared" si="0"/>
        <v>9.5856533017457612E-2</v>
      </c>
      <c r="F29" s="11">
        <v>205454900</v>
      </c>
      <c r="G29" s="21">
        <f t="shared" si="0"/>
        <v>0.10820155664437062</v>
      </c>
      <c r="H29" s="11">
        <f t="shared" si="1"/>
        <v>-106625400</v>
      </c>
      <c r="I29" s="21">
        <f t="shared" si="2"/>
        <v>-0.51897229026905656</v>
      </c>
      <c r="J29" s="42">
        <v>323000000</v>
      </c>
      <c r="K29" s="21">
        <f t="shared" si="3"/>
        <v>0.12456598367096683</v>
      </c>
      <c r="L29" s="12">
        <f t="shared" si="4"/>
        <v>-224170500</v>
      </c>
      <c r="M29" s="21">
        <f t="shared" si="5"/>
        <v>0.30597368421052634</v>
      </c>
      <c r="N29" s="4"/>
      <c r="O29" s="29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</row>
    <row r="30" spans="1:67" s="3" customFormat="1" x14ac:dyDescent="0.25">
      <c r="A30" s="35"/>
      <c r="B30" s="28"/>
      <c r="C30" s="4" t="s">
        <v>9</v>
      </c>
      <c r="D30" s="11">
        <v>1042500</v>
      </c>
      <c r="E30" s="21">
        <f t="shared" si="0"/>
        <v>1.0111397474509086E-3</v>
      </c>
      <c r="F30" s="11">
        <v>2657700</v>
      </c>
      <c r="G30" s="21">
        <f t="shared" si="0"/>
        <v>1.3996613227221341E-3</v>
      </c>
      <c r="H30" s="11">
        <f t="shared" si="1"/>
        <v>-1615200</v>
      </c>
      <c r="I30" s="21">
        <f t="shared" si="2"/>
        <v>-0.6077435376453324</v>
      </c>
      <c r="J30" s="42">
        <v>0</v>
      </c>
      <c r="K30" s="21">
        <f t="shared" si="3"/>
        <v>0</v>
      </c>
      <c r="L30" s="12">
        <f t="shared" si="4"/>
        <v>1042500</v>
      </c>
      <c r="M30" s="21">
        <f t="shared" si="5"/>
        <v>0</v>
      </c>
      <c r="N30" s="4"/>
      <c r="O30" s="29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</row>
    <row r="31" spans="1:67" s="3" customFormat="1" x14ac:dyDescent="0.25">
      <c r="A31" s="35"/>
      <c r="B31" s="28"/>
      <c r="C31" s="4" t="s">
        <v>10</v>
      </c>
      <c r="D31" s="11">
        <v>0</v>
      </c>
      <c r="E31" s="21">
        <f t="shared" si="0"/>
        <v>0</v>
      </c>
      <c r="F31" s="11">
        <v>69845500</v>
      </c>
      <c r="G31" s="21">
        <f t="shared" si="0"/>
        <v>3.6783702041685976E-2</v>
      </c>
      <c r="H31" s="11">
        <f t="shared" si="1"/>
        <v>-69845500</v>
      </c>
      <c r="I31" s="21">
        <f t="shared" si="2"/>
        <v>-1</v>
      </c>
      <c r="J31" s="42">
        <v>0</v>
      </c>
      <c r="K31" s="21">
        <f t="shared" si="3"/>
        <v>0</v>
      </c>
      <c r="L31" s="12">
        <f t="shared" si="4"/>
        <v>0</v>
      </c>
      <c r="M31" s="21">
        <f t="shared" si="5"/>
        <v>0</v>
      </c>
      <c r="N31" s="4"/>
      <c r="O31" s="29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</row>
    <row r="32" spans="1:67" s="3" customFormat="1" x14ac:dyDescent="0.25">
      <c r="A32" s="35"/>
      <c r="B32" s="28"/>
      <c r="C32" s="4" t="s">
        <v>11</v>
      </c>
      <c r="D32" s="11">
        <v>51181000</v>
      </c>
      <c r="E32" s="21">
        <f t="shared" si="0"/>
        <v>4.9641384570057505E-2</v>
      </c>
      <c r="F32" s="11">
        <v>0</v>
      </c>
      <c r="G32" s="21">
        <f t="shared" si="0"/>
        <v>0</v>
      </c>
      <c r="H32" s="11">
        <f t="shared" si="1"/>
        <v>51181000</v>
      </c>
      <c r="I32" s="21">
        <f>IFERROR(F32/F32-1,0)</f>
        <v>0</v>
      </c>
      <c r="J32" s="42">
        <v>0</v>
      </c>
      <c r="K32" s="21">
        <f t="shared" si="3"/>
        <v>0</v>
      </c>
      <c r="L32" s="12">
        <f t="shared" si="4"/>
        <v>51181000</v>
      </c>
      <c r="M32" s="21">
        <f t="shared" si="5"/>
        <v>0</v>
      </c>
      <c r="N32" s="4"/>
      <c r="O32" s="29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</row>
    <row r="33" spans="1:67" s="3" customFormat="1" x14ac:dyDescent="0.25">
      <c r="A33" s="35"/>
      <c r="B33" s="28"/>
      <c r="C33" s="4" t="s">
        <v>12</v>
      </c>
      <c r="D33" s="11">
        <v>101376719</v>
      </c>
      <c r="E33" s="21">
        <f t="shared" si="0"/>
        <v>9.8327127143464477E-2</v>
      </c>
      <c r="F33" s="11">
        <f>51749181+4099248</f>
        <v>55848429</v>
      </c>
      <c r="G33" s="21">
        <f t="shared" si="0"/>
        <v>2.941223087861429E-2</v>
      </c>
      <c r="H33" s="11">
        <f t="shared" si="1"/>
        <v>45528290</v>
      </c>
      <c r="I33" s="21">
        <f t="shared" si="2"/>
        <v>0.81521165080579072</v>
      </c>
      <c r="J33" s="91"/>
      <c r="K33" s="21">
        <f t="shared" si="3"/>
        <v>0</v>
      </c>
      <c r="L33" s="12">
        <f t="shared" si="4"/>
        <v>101376719</v>
      </c>
      <c r="M33" s="21">
        <f t="shared" si="5"/>
        <v>0</v>
      </c>
      <c r="N33" s="4"/>
      <c r="O33" s="29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</row>
    <row r="34" spans="1:67" s="3" customFormat="1" x14ac:dyDescent="0.25">
      <c r="A34" s="35"/>
      <c r="B34" s="28"/>
      <c r="C34" s="17" t="s">
        <v>13</v>
      </c>
      <c r="D34" s="18">
        <f>SUM(D25:D33)</f>
        <v>1031014756</v>
      </c>
      <c r="E34" s="22">
        <f t="shared" si="0"/>
        <v>1</v>
      </c>
      <c r="F34" s="18">
        <f>SUM(F25:F33)</f>
        <v>1898816490</v>
      </c>
      <c r="G34" s="22">
        <f t="shared" si="0"/>
        <v>1</v>
      </c>
      <c r="H34" s="18">
        <f t="shared" si="1"/>
        <v>-867801734</v>
      </c>
      <c r="I34" s="22">
        <f t="shared" si="2"/>
        <v>-0.45702243401098752</v>
      </c>
      <c r="J34" s="19">
        <f>SUM(J25:J33)</f>
        <v>2593003246</v>
      </c>
      <c r="K34" s="22">
        <f t="shared" si="3"/>
        <v>1</v>
      </c>
      <c r="L34" s="19">
        <f>+D34-J34</f>
        <v>-1561988490</v>
      </c>
      <c r="M34" s="22">
        <f t="shared" si="5"/>
        <v>0.39761414012514507</v>
      </c>
      <c r="N34" s="4"/>
      <c r="O34" s="29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</row>
    <row r="35" spans="1:67" s="3" customFormat="1" x14ac:dyDescent="0.25">
      <c r="A35" s="35"/>
      <c r="B35" s="28"/>
      <c r="C35" s="4"/>
      <c r="D35" s="11"/>
      <c r="E35" s="20"/>
      <c r="F35" s="11"/>
      <c r="G35" s="20"/>
      <c r="H35" s="11"/>
      <c r="I35" s="20"/>
      <c r="J35" s="42"/>
      <c r="K35" s="20"/>
      <c r="L35" s="12">
        <f t="shared" si="4"/>
        <v>0</v>
      </c>
      <c r="M35" s="21"/>
      <c r="N35" s="4"/>
      <c r="O35" s="29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</row>
    <row r="36" spans="1:67" s="3" customFormat="1" x14ac:dyDescent="0.25">
      <c r="A36" s="35"/>
      <c r="B36" s="28"/>
      <c r="C36" s="8" t="s">
        <v>14</v>
      </c>
      <c r="D36" s="11"/>
      <c r="E36" s="20"/>
      <c r="F36" s="11"/>
      <c r="G36" s="20"/>
      <c r="H36" s="11"/>
      <c r="I36" s="20"/>
      <c r="J36" s="42"/>
      <c r="K36" s="20"/>
      <c r="L36" s="12">
        <f t="shared" si="4"/>
        <v>0</v>
      </c>
      <c r="M36" s="21"/>
      <c r="N36" s="4"/>
      <c r="O36" s="29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</row>
    <row r="37" spans="1:67" s="3" customFormat="1" x14ac:dyDescent="0.25">
      <c r="A37" s="35"/>
      <c r="B37" s="28"/>
      <c r="C37" s="8" t="s">
        <v>15</v>
      </c>
      <c r="D37" s="11"/>
      <c r="E37" s="20"/>
      <c r="F37" s="11"/>
      <c r="G37" s="20"/>
      <c r="H37" s="11"/>
      <c r="I37" s="20"/>
      <c r="J37" s="42"/>
      <c r="K37" s="20"/>
      <c r="L37" s="12">
        <f t="shared" si="4"/>
        <v>0</v>
      </c>
      <c r="M37" s="21"/>
      <c r="N37" s="4"/>
      <c r="O37" s="29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</row>
    <row r="38" spans="1:67" s="3" customFormat="1" x14ac:dyDescent="0.25">
      <c r="A38" s="35"/>
      <c r="B38" s="28"/>
      <c r="C38" s="4" t="s">
        <v>16</v>
      </c>
      <c r="D38" s="11">
        <v>525632407</v>
      </c>
      <c r="E38" s="21">
        <f>D38/D$34</f>
        <v>0.50982045013524524</v>
      </c>
      <c r="F38" s="11">
        <v>648272495</v>
      </c>
      <c r="G38" s="21">
        <f>F38/F$34</f>
        <v>0.34140871348763147</v>
      </c>
      <c r="H38" s="11">
        <f t="shared" si="1"/>
        <v>-122640088</v>
      </c>
      <c r="I38" s="21">
        <f t="shared" ref="I38:I81" si="6">D38/F38-1</f>
        <v>-0.18917984172689606</v>
      </c>
      <c r="J38" s="42">
        <v>1145348184</v>
      </c>
      <c r="K38" s="21">
        <f>J38/J$34</f>
        <v>0.44170719252543506</v>
      </c>
      <c r="L38" s="12">
        <f t="shared" si="4"/>
        <v>-619715777</v>
      </c>
      <c r="M38" s="21">
        <f t="shared" si="5"/>
        <v>0.45892804855575692</v>
      </c>
      <c r="N38" s="4"/>
      <c r="O38" s="29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</row>
    <row r="39" spans="1:67" s="3" customFormat="1" x14ac:dyDescent="0.25">
      <c r="A39" s="35"/>
      <c r="B39" s="28"/>
      <c r="C39" s="4" t="s">
        <v>17</v>
      </c>
      <c r="D39" s="11">
        <v>22190865</v>
      </c>
      <c r="E39" s="21">
        <f t="shared" ref="E39:G81" si="7">D39/D$34</f>
        <v>2.1523324347066861E-2</v>
      </c>
      <c r="F39" s="11">
        <v>30762888</v>
      </c>
      <c r="G39" s="21">
        <f t="shared" si="7"/>
        <v>1.620108534026898E-2</v>
      </c>
      <c r="H39" s="11">
        <f t="shared" si="1"/>
        <v>-8572023</v>
      </c>
      <c r="I39" s="21">
        <f t="shared" si="6"/>
        <v>-0.27864818803748204</v>
      </c>
      <c r="J39" s="42">
        <v>22063000</v>
      </c>
      <c r="K39" s="21">
        <f t="shared" ref="K39:K61" si="8">J39/J$34</f>
        <v>8.5086665564474955E-3</v>
      </c>
      <c r="L39" s="12">
        <f t="shared" si="4"/>
        <v>127865</v>
      </c>
      <c r="M39" s="21">
        <f t="shared" si="5"/>
        <v>1.0057954493949146</v>
      </c>
      <c r="N39" s="4"/>
      <c r="O39" s="29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</row>
    <row r="40" spans="1:67" s="3" customFormat="1" x14ac:dyDescent="0.25">
      <c r="A40" s="35"/>
      <c r="B40" s="28"/>
      <c r="C40" s="4" t="s">
        <v>18</v>
      </c>
      <c r="D40" s="11">
        <v>22840040</v>
      </c>
      <c r="E40" s="21">
        <f t="shared" si="7"/>
        <v>2.2152971009466327E-2</v>
      </c>
      <c r="F40" s="11">
        <v>6779828</v>
      </c>
      <c r="G40" s="21">
        <f t="shared" si="7"/>
        <v>3.5705546247915723E-3</v>
      </c>
      <c r="H40" s="11">
        <f t="shared" si="1"/>
        <v>16060212</v>
      </c>
      <c r="I40" s="21">
        <f t="shared" si="6"/>
        <v>2.3688229258913354</v>
      </c>
      <c r="J40" s="42">
        <v>32063000</v>
      </c>
      <c r="K40" s="21">
        <f t="shared" si="8"/>
        <v>1.2365198558644612E-2</v>
      </c>
      <c r="L40" s="12">
        <f t="shared" si="4"/>
        <v>-9222960</v>
      </c>
      <c r="M40" s="21">
        <f t="shared" si="5"/>
        <v>0.71234881327386712</v>
      </c>
      <c r="N40" s="4"/>
      <c r="O40" s="29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</row>
    <row r="41" spans="1:67" s="3" customFormat="1" x14ac:dyDescent="0.25">
      <c r="A41" s="35"/>
      <c r="B41" s="28"/>
      <c r="C41" s="4" t="s">
        <v>19</v>
      </c>
      <c r="D41" s="11">
        <v>2193724</v>
      </c>
      <c r="E41" s="21">
        <f t="shared" si="7"/>
        <v>2.1277328837764958E-3</v>
      </c>
      <c r="F41" s="11">
        <v>7213286</v>
      </c>
      <c r="G41" s="21">
        <f t="shared" si="7"/>
        <v>3.798832608621384E-3</v>
      </c>
      <c r="H41" s="11">
        <f t="shared" si="1"/>
        <v>-5019562</v>
      </c>
      <c r="I41" s="21">
        <f t="shared" si="6"/>
        <v>-0.6958773019675083</v>
      </c>
      <c r="J41" s="42">
        <v>3181000</v>
      </c>
      <c r="K41" s="21">
        <f t="shared" si="8"/>
        <v>1.2267628298989026E-3</v>
      </c>
      <c r="L41" s="12">
        <f t="shared" si="4"/>
        <v>-987276</v>
      </c>
      <c r="M41" s="21">
        <f t="shared" si="5"/>
        <v>0.6896334486010689</v>
      </c>
      <c r="N41" s="4"/>
      <c r="O41" s="29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</row>
    <row r="42" spans="1:67" s="3" customFormat="1" x14ac:dyDescent="0.25">
      <c r="A42" s="35"/>
      <c r="B42" s="28"/>
      <c r="C42" s="4" t="s">
        <v>20</v>
      </c>
      <c r="D42" s="11">
        <v>3042553</v>
      </c>
      <c r="E42" s="21">
        <f t="shared" si="7"/>
        <v>2.9510275990657113E-3</v>
      </c>
      <c r="F42" s="11">
        <v>34271474</v>
      </c>
      <c r="G42" s="21">
        <f t="shared" si="7"/>
        <v>1.8048860529960953E-2</v>
      </c>
      <c r="H42" s="11">
        <f t="shared" si="1"/>
        <v>-31228921</v>
      </c>
      <c r="I42" s="21">
        <f t="shared" si="6"/>
        <v>-0.91122199762986555</v>
      </c>
      <c r="J42" s="42">
        <v>28000000</v>
      </c>
      <c r="K42" s="21">
        <f t="shared" si="8"/>
        <v>1.0798289606151925E-2</v>
      </c>
      <c r="L42" s="12">
        <f t="shared" si="4"/>
        <v>-24957447</v>
      </c>
      <c r="M42" s="21">
        <f t="shared" si="5"/>
        <v>0.10866260714285714</v>
      </c>
      <c r="N42" s="4"/>
      <c r="O42" s="29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</row>
    <row r="43" spans="1:67" s="3" customFormat="1" x14ac:dyDescent="0.25">
      <c r="A43" s="35"/>
      <c r="B43" s="28"/>
      <c r="C43" s="4" t="s">
        <v>21</v>
      </c>
      <c r="D43" s="11">
        <v>65207430</v>
      </c>
      <c r="E43" s="21">
        <f t="shared" si="7"/>
        <v>6.3245874630333612E-2</v>
      </c>
      <c r="F43" s="11">
        <f>91980734+33017</f>
        <v>92013751</v>
      </c>
      <c r="G43" s="21">
        <f t="shared" si="7"/>
        <v>4.8458474783942919E-2</v>
      </c>
      <c r="H43" s="11">
        <f t="shared" si="1"/>
        <v>-26806321</v>
      </c>
      <c r="I43" s="21">
        <f t="shared" si="6"/>
        <v>-0.29132951008594354</v>
      </c>
      <c r="J43" s="42">
        <v>52823227</v>
      </c>
      <c r="K43" s="21">
        <f t="shared" si="8"/>
        <v>2.0371446538482274E-2</v>
      </c>
      <c r="L43" s="12">
        <f t="shared" si="4"/>
        <v>12384203</v>
      </c>
      <c r="M43" s="21">
        <f t="shared" si="5"/>
        <v>1.2344461651311081</v>
      </c>
      <c r="N43" s="4"/>
      <c r="O43" s="29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</row>
    <row r="44" spans="1:67" s="3" customFormat="1" x14ac:dyDescent="0.25">
      <c r="A44" s="35"/>
      <c r="B44" s="28"/>
      <c r="C44" s="4" t="s">
        <v>22</v>
      </c>
      <c r="D44" s="11">
        <v>18150811</v>
      </c>
      <c r="E44" s="21">
        <f t="shared" si="7"/>
        <v>1.7604802350665871E-2</v>
      </c>
      <c r="F44" s="11">
        <v>34169184</v>
      </c>
      <c r="G44" s="21">
        <f t="shared" si="7"/>
        <v>1.7994990131984794E-2</v>
      </c>
      <c r="H44" s="11">
        <f t="shared" si="1"/>
        <v>-16018373</v>
      </c>
      <c r="I44" s="21">
        <f t="shared" si="6"/>
        <v>-0.46879588930189264</v>
      </c>
      <c r="J44" s="42">
        <v>10000000</v>
      </c>
      <c r="K44" s="21">
        <f t="shared" si="8"/>
        <v>3.8565320021971155E-3</v>
      </c>
      <c r="L44" s="12">
        <f t="shared" si="4"/>
        <v>8150811</v>
      </c>
      <c r="M44" s="21">
        <f t="shared" si="5"/>
        <v>1.8150811</v>
      </c>
      <c r="N44" s="4"/>
      <c r="O44" s="29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</row>
    <row r="45" spans="1:67" s="3" customFormat="1" x14ac:dyDescent="0.25">
      <c r="A45" s="35"/>
      <c r="B45" s="28"/>
      <c r="C45" s="4" t="s">
        <v>23</v>
      </c>
      <c r="D45" s="11">
        <v>15519920</v>
      </c>
      <c r="E45" s="21">
        <f t="shared" si="7"/>
        <v>1.5053053227106285E-2</v>
      </c>
      <c r="F45" s="11">
        <v>22474306</v>
      </c>
      <c r="G45" s="21">
        <f t="shared" si="7"/>
        <v>1.1835954721459156E-2</v>
      </c>
      <c r="H45" s="11">
        <f t="shared" si="1"/>
        <v>-6954386</v>
      </c>
      <c r="I45" s="21">
        <f t="shared" si="6"/>
        <v>-0.30943718573556844</v>
      </c>
      <c r="J45" s="42">
        <v>24000000</v>
      </c>
      <c r="K45" s="21">
        <f t="shared" si="8"/>
        <v>9.2556768052730783E-3</v>
      </c>
      <c r="L45" s="12">
        <f t="shared" si="4"/>
        <v>-8480080</v>
      </c>
      <c r="M45" s="21">
        <f t="shared" si="5"/>
        <v>0.64666333333333337</v>
      </c>
      <c r="N45" s="4"/>
      <c r="O45" s="29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</row>
    <row r="46" spans="1:67" s="3" customFormat="1" x14ac:dyDescent="0.25">
      <c r="A46" s="35"/>
      <c r="B46" s="28"/>
      <c r="C46" s="4" t="s">
        <v>24</v>
      </c>
      <c r="D46" s="11">
        <v>231900</v>
      </c>
      <c r="E46" s="21">
        <f t="shared" si="7"/>
        <v>2.2492403590778482E-4</v>
      </c>
      <c r="F46" s="11">
        <v>9860000</v>
      </c>
      <c r="G46" s="21">
        <f t="shared" si="7"/>
        <v>5.1927082221621115E-3</v>
      </c>
      <c r="H46" s="11">
        <f t="shared" si="1"/>
        <v>-9628100</v>
      </c>
      <c r="I46" s="21">
        <f t="shared" si="6"/>
        <v>-0.97648073022312376</v>
      </c>
      <c r="J46" s="42">
        <v>4300000</v>
      </c>
      <c r="K46" s="21">
        <f t="shared" si="8"/>
        <v>1.6583087609447597E-3</v>
      </c>
      <c r="L46" s="12">
        <f t="shared" si="4"/>
        <v>-4068100</v>
      </c>
      <c r="M46" s="21">
        <f t="shared" si="5"/>
        <v>5.3930232558139536E-2</v>
      </c>
      <c r="N46" s="4"/>
      <c r="O46" s="29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</row>
    <row r="47" spans="1:67" s="3" customFormat="1" x14ac:dyDescent="0.25">
      <c r="A47" s="35"/>
      <c r="B47" s="28"/>
      <c r="C47" s="4" t="s">
        <v>25</v>
      </c>
      <c r="D47" s="11">
        <v>2294297</v>
      </c>
      <c r="E47" s="21">
        <f t="shared" si="7"/>
        <v>2.2252804692157093E-3</v>
      </c>
      <c r="F47" s="11">
        <v>6383520</v>
      </c>
      <c r="G47" s="21">
        <f t="shared" si="7"/>
        <v>3.3618414594661539E-3</v>
      </c>
      <c r="H47" s="11">
        <f t="shared" si="1"/>
        <v>-4089223</v>
      </c>
      <c r="I47" s="21">
        <f t="shared" si="6"/>
        <v>-0.64059061458255007</v>
      </c>
      <c r="J47" s="42">
        <v>6063000</v>
      </c>
      <c r="K47" s="21">
        <f t="shared" si="8"/>
        <v>2.3382153529321113E-3</v>
      </c>
      <c r="L47" s="12">
        <f t="shared" si="4"/>
        <v>-3768703</v>
      </c>
      <c r="M47" s="21">
        <f t="shared" si="5"/>
        <v>0.37840953323437243</v>
      </c>
      <c r="N47" s="4"/>
      <c r="O47" s="29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</row>
    <row r="48" spans="1:67" s="3" customFormat="1" x14ac:dyDescent="0.25">
      <c r="A48" s="35"/>
      <c r="B48" s="28"/>
      <c r="C48" s="4" t="s">
        <v>26</v>
      </c>
      <c r="D48" s="11">
        <v>232328268</v>
      </c>
      <c r="E48" s="21">
        <f t="shared" si="7"/>
        <v>0.22533942084530165</v>
      </c>
      <c r="F48" s="11">
        <v>39814884</v>
      </c>
      <c r="G48" s="21">
        <f t="shared" si="7"/>
        <v>2.0968263236433131E-2</v>
      </c>
      <c r="H48" s="11">
        <f t="shared" si="1"/>
        <v>192513384</v>
      </c>
      <c r="I48" s="21">
        <f t="shared" si="6"/>
        <v>4.8352114751860134</v>
      </c>
      <c r="J48" s="42">
        <v>82675000</v>
      </c>
      <c r="K48" s="21">
        <f t="shared" si="8"/>
        <v>3.1883878328164653E-2</v>
      </c>
      <c r="L48" s="12">
        <f t="shared" si="4"/>
        <v>149653268</v>
      </c>
      <c r="M48" s="21">
        <f t="shared" si="5"/>
        <v>2.8101393166011492</v>
      </c>
      <c r="N48" s="4"/>
      <c r="O48" s="29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</row>
    <row r="49" spans="1:67" s="3" customFormat="1" x14ac:dyDescent="0.25">
      <c r="A49" s="35"/>
      <c r="B49" s="28"/>
      <c r="C49" s="4" t="s">
        <v>27</v>
      </c>
      <c r="D49" s="11">
        <v>33155748</v>
      </c>
      <c r="E49" s="21">
        <f t="shared" si="7"/>
        <v>3.2158364181550082E-2</v>
      </c>
      <c r="F49" s="11">
        <v>31275570</v>
      </c>
      <c r="G49" s="21">
        <f t="shared" si="7"/>
        <v>1.6471086155355644E-2</v>
      </c>
      <c r="H49" s="11">
        <f t="shared" si="1"/>
        <v>1880178</v>
      </c>
      <c r="I49" s="21">
        <f t="shared" si="6"/>
        <v>6.0116506269909609E-2</v>
      </c>
      <c r="J49" s="91">
        <v>118000000</v>
      </c>
      <c r="K49" s="21">
        <f t="shared" si="8"/>
        <v>4.5507077625925964E-2</v>
      </c>
      <c r="L49" s="12">
        <f t="shared" si="4"/>
        <v>-84844252</v>
      </c>
      <c r="M49" s="21">
        <f t="shared" si="5"/>
        <v>0.2809809152542373</v>
      </c>
      <c r="N49" s="4"/>
      <c r="O49" s="29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  <c r="BO49" s="35"/>
    </row>
    <row r="50" spans="1:67" s="3" customFormat="1" x14ac:dyDescent="0.25">
      <c r="A50" s="35"/>
      <c r="B50" s="28"/>
      <c r="C50" s="4" t="s">
        <v>28</v>
      </c>
      <c r="D50" s="11">
        <v>475200</v>
      </c>
      <c r="E50" s="21">
        <f t="shared" si="7"/>
        <v>4.6090513955747886E-4</v>
      </c>
      <c r="F50" s="11">
        <v>1230200</v>
      </c>
      <c r="G50" s="21">
        <f t="shared" si="7"/>
        <v>6.4787724694764998E-4</v>
      </c>
      <c r="H50" s="11">
        <f t="shared" si="1"/>
        <v>-755000</v>
      </c>
      <c r="I50" s="21">
        <f t="shared" si="6"/>
        <v>-0.61372134612258167</v>
      </c>
      <c r="J50" s="42">
        <v>1600000</v>
      </c>
      <c r="K50" s="21">
        <f t="shared" si="8"/>
        <v>6.1704512035153851E-4</v>
      </c>
      <c r="L50" s="12">
        <f t="shared" si="4"/>
        <v>-1124800</v>
      </c>
      <c r="M50" s="21">
        <f t="shared" si="5"/>
        <v>0.29699999999999999</v>
      </c>
      <c r="N50" s="4"/>
      <c r="O50" s="29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  <c r="BO50" s="35"/>
    </row>
    <row r="51" spans="1:67" s="3" customFormat="1" x14ac:dyDescent="0.25">
      <c r="A51" s="35"/>
      <c r="B51" s="28"/>
      <c r="C51" s="4" t="s">
        <v>29</v>
      </c>
      <c r="D51" s="11">
        <v>1031647</v>
      </c>
      <c r="E51" s="21">
        <f t="shared" si="7"/>
        <v>1.0006132249769663E-3</v>
      </c>
      <c r="F51" s="11">
        <v>6970874</v>
      </c>
      <c r="G51" s="21">
        <f t="shared" si="7"/>
        <v>3.6711678230685685E-3</v>
      </c>
      <c r="H51" s="11">
        <f t="shared" si="1"/>
        <v>-5939227</v>
      </c>
      <c r="I51" s="21">
        <f t="shared" si="6"/>
        <v>-0.85200607556527341</v>
      </c>
      <c r="J51" s="42">
        <v>7000000</v>
      </c>
      <c r="K51" s="21">
        <f t="shared" si="8"/>
        <v>2.6995724015379812E-3</v>
      </c>
      <c r="L51" s="12">
        <f t="shared" si="4"/>
        <v>-5968353</v>
      </c>
      <c r="M51" s="21">
        <f t="shared" si="5"/>
        <v>0.14737814285714285</v>
      </c>
      <c r="N51" s="4"/>
      <c r="O51" s="29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</row>
    <row r="52" spans="1:67" s="3" customFormat="1" x14ac:dyDescent="0.25">
      <c r="A52" s="35"/>
      <c r="B52" s="28"/>
      <c r="C52" s="4" t="s">
        <v>30</v>
      </c>
      <c r="D52" s="11">
        <v>6490477</v>
      </c>
      <c r="E52" s="21">
        <f t="shared" si="7"/>
        <v>6.2952319180968157E-3</v>
      </c>
      <c r="F52" s="11">
        <v>24559231</v>
      </c>
      <c r="G52" s="21">
        <f t="shared" si="7"/>
        <v>1.2933967621062739E-2</v>
      </c>
      <c r="H52" s="11">
        <f t="shared" si="1"/>
        <v>-18068754</v>
      </c>
      <c r="I52" s="21">
        <f t="shared" si="6"/>
        <v>-0.73572148899939083</v>
      </c>
      <c r="J52" s="42">
        <v>24000000</v>
      </c>
      <c r="K52" s="21">
        <f t="shared" si="8"/>
        <v>9.2556768052730783E-3</v>
      </c>
      <c r="L52" s="12">
        <f t="shared" si="4"/>
        <v>-17509523</v>
      </c>
      <c r="M52" s="21">
        <f t="shared" si="5"/>
        <v>0.27043654166666664</v>
      </c>
      <c r="N52" s="4"/>
      <c r="O52" s="29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  <c r="BO52" s="35"/>
    </row>
    <row r="53" spans="1:67" s="3" customFormat="1" x14ac:dyDescent="0.25">
      <c r="A53" s="35"/>
      <c r="B53" s="28"/>
      <c r="C53" s="4" t="s">
        <v>31</v>
      </c>
      <c r="D53" s="11">
        <v>763300</v>
      </c>
      <c r="E53" s="21">
        <f t="shared" si="7"/>
        <v>7.4033857959643009E-4</v>
      </c>
      <c r="F53" s="11">
        <v>937440</v>
      </c>
      <c r="G53" s="21">
        <f t="shared" si="7"/>
        <v>4.9369699754398064E-4</v>
      </c>
      <c r="H53" s="11">
        <f t="shared" si="1"/>
        <v>-174140</v>
      </c>
      <c r="I53" s="21">
        <f t="shared" si="6"/>
        <v>-0.18576122205154466</v>
      </c>
      <c r="J53" s="42">
        <v>1200000</v>
      </c>
      <c r="K53" s="21">
        <f t="shared" si="8"/>
        <v>4.6278384026365388E-4</v>
      </c>
      <c r="L53" s="12">
        <f t="shared" si="4"/>
        <v>-436700</v>
      </c>
      <c r="M53" s="21">
        <f t="shared" si="5"/>
        <v>0.63608333333333333</v>
      </c>
      <c r="N53" s="4"/>
      <c r="O53" s="29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/>
      <c r="BO53" s="35"/>
    </row>
    <row r="54" spans="1:67" s="3" customFormat="1" x14ac:dyDescent="0.25">
      <c r="A54" s="35"/>
      <c r="B54" s="28"/>
      <c r="C54" s="4" t="s">
        <v>32</v>
      </c>
      <c r="D54" s="11">
        <v>3596394</v>
      </c>
      <c r="E54" s="21">
        <f t="shared" si="7"/>
        <v>3.488208077596127E-3</v>
      </c>
      <c r="F54" s="11">
        <v>0</v>
      </c>
      <c r="G54" s="21">
        <f t="shared" si="7"/>
        <v>0</v>
      </c>
      <c r="H54" s="11">
        <f t="shared" si="1"/>
        <v>3596394</v>
      </c>
      <c r="I54" s="21">
        <f>IFERROR(F54/F54-1,0)</f>
        <v>0</v>
      </c>
      <c r="J54" s="42">
        <v>4800000</v>
      </c>
      <c r="K54" s="21">
        <f t="shared" si="8"/>
        <v>1.8511353610546155E-3</v>
      </c>
      <c r="L54" s="12">
        <f t="shared" si="4"/>
        <v>-1203606</v>
      </c>
      <c r="M54" s="21">
        <f t="shared" si="5"/>
        <v>0.74924875000000002</v>
      </c>
      <c r="N54" s="4"/>
      <c r="O54" s="29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/>
    </row>
    <row r="55" spans="1:67" s="3" customFormat="1" x14ac:dyDescent="0.25">
      <c r="A55" s="35"/>
      <c r="B55" s="28"/>
      <c r="C55" s="4" t="s">
        <v>33</v>
      </c>
      <c r="D55" s="11">
        <v>3384540</v>
      </c>
      <c r="E55" s="21">
        <f t="shared" si="7"/>
        <v>3.2827270223860891E-3</v>
      </c>
      <c r="F55" s="11">
        <f>1094769+2904128</f>
        <v>3998897</v>
      </c>
      <c r="G55" s="21">
        <f t="shared" si="7"/>
        <v>2.1059944555252941E-3</v>
      </c>
      <c r="H55" s="11">
        <f t="shared" si="1"/>
        <v>-614357</v>
      </c>
      <c r="I55" s="21">
        <f t="shared" si="6"/>
        <v>-0.15363161391753777</v>
      </c>
      <c r="J55" s="42">
        <v>5000000</v>
      </c>
      <c r="K55" s="21">
        <f t="shared" si="8"/>
        <v>1.9282660010985578E-3</v>
      </c>
      <c r="L55" s="12">
        <f t="shared" si="4"/>
        <v>-1615460</v>
      </c>
      <c r="M55" s="21">
        <f t="shared" si="5"/>
        <v>0.67690799999999995</v>
      </c>
      <c r="N55" s="4"/>
      <c r="O55" s="29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</row>
    <row r="56" spans="1:67" s="3" customFormat="1" x14ac:dyDescent="0.25">
      <c r="A56" s="35"/>
      <c r="B56" s="28"/>
      <c r="C56" s="4" t="s">
        <v>34</v>
      </c>
      <c r="D56" s="11">
        <v>2856204</v>
      </c>
      <c r="E56" s="21">
        <f t="shared" si="7"/>
        <v>2.7702843081326375E-3</v>
      </c>
      <c r="F56" s="11">
        <f>350000+35000+29295452</f>
        <v>29680452</v>
      </c>
      <c r="G56" s="21">
        <f t="shared" si="7"/>
        <v>1.5631027093092078E-2</v>
      </c>
      <c r="H56" s="11">
        <f t="shared" si="1"/>
        <v>-26824248</v>
      </c>
      <c r="I56" s="21">
        <f t="shared" si="6"/>
        <v>-0.90376817711536195</v>
      </c>
      <c r="J56" s="43">
        <v>31000000</v>
      </c>
      <c r="K56" s="21">
        <f t="shared" si="8"/>
        <v>1.1955249206811059E-2</v>
      </c>
      <c r="L56" s="12">
        <f t="shared" si="4"/>
        <v>-28143796</v>
      </c>
      <c r="M56" s="21">
        <f t="shared" si="5"/>
        <v>9.2135612903225805E-2</v>
      </c>
      <c r="N56" s="4"/>
      <c r="O56" s="29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</row>
    <row r="57" spans="1:67" s="3" customFormat="1" x14ac:dyDescent="0.25">
      <c r="A57" s="35"/>
      <c r="B57" s="28"/>
      <c r="C57" s="4" t="s">
        <v>35</v>
      </c>
      <c r="D57" s="11">
        <v>2240000</v>
      </c>
      <c r="E57" s="21">
        <f t="shared" si="7"/>
        <v>2.1726168194628631E-3</v>
      </c>
      <c r="F57" s="11">
        <f>3648430+4606000</f>
        <v>8254430</v>
      </c>
      <c r="G57" s="21">
        <f t="shared" si="7"/>
        <v>4.3471446785255169E-3</v>
      </c>
      <c r="H57" s="11">
        <f t="shared" si="1"/>
        <v>-6014430</v>
      </c>
      <c r="I57" s="21">
        <f t="shared" si="6"/>
        <v>-0.72863056564777939</v>
      </c>
      <c r="J57" s="42">
        <v>5000000</v>
      </c>
      <c r="K57" s="21">
        <f t="shared" si="8"/>
        <v>1.9282660010985578E-3</v>
      </c>
      <c r="L57" s="12">
        <f t="shared" si="4"/>
        <v>-2760000</v>
      </c>
      <c r="M57" s="21">
        <f t="shared" si="5"/>
        <v>0.44800000000000001</v>
      </c>
      <c r="N57" s="4"/>
      <c r="O57" s="29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  <c r="BO57" s="35"/>
    </row>
    <row r="58" spans="1:67" s="3" customFormat="1" x14ac:dyDescent="0.25">
      <c r="A58" s="35"/>
      <c r="B58" s="28"/>
      <c r="C58" s="4" t="s">
        <v>36</v>
      </c>
      <c r="D58" s="11">
        <v>11839330</v>
      </c>
      <c r="E58" s="21">
        <f t="shared" si="7"/>
        <v>1.1483181914808599E-2</v>
      </c>
      <c r="F58" s="11">
        <v>12930128</v>
      </c>
      <c r="G58" s="21">
        <f t="shared" si="7"/>
        <v>6.8095722088446792E-3</v>
      </c>
      <c r="H58" s="11">
        <f t="shared" si="1"/>
        <v>-1090798</v>
      </c>
      <c r="I58" s="21">
        <f t="shared" si="6"/>
        <v>-8.4360959149050951E-2</v>
      </c>
      <c r="J58" s="42">
        <v>20000000</v>
      </c>
      <c r="K58" s="21">
        <f t="shared" si="8"/>
        <v>7.713064004394231E-3</v>
      </c>
      <c r="L58" s="12">
        <f t="shared" si="4"/>
        <v>-8160670</v>
      </c>
      <c r="M58" s="21">
        <f t="shared" si="5"/>
        <v>0.59196649999999995</v>
      </c>
      <c r="N58" s="4"/>
      <c r="O58" s="29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</row>
    <row r="59" spans="1:67" s="3" customFormat="1" x14ac:dyDescent="0.25">
      <c r="A59" s="35"/>
      <c r="B59" s="28"/>
      <c r="C59" s="4" t="s">
        <v>37</v>
      </c>
      <c r="D59" s="11">
        <v>230043688</v>
      </c>
      <c r="E59" s="21">
        <f t="shared" si="7"/>
        <v>0.22312356507145858</v>
      </c>
      <c r="F59" s="11">
        <v>380134792</v>
      </c>
      <c r="G59" s="21">
        <f t="shared" si="7"/>
        <v>0.20019564502518092</v>
      </c>
      <c r="H59" s="11">
        <f t="shared" si="1"/>
        <v>-150091104</v>
      </c>
      <c r="I59" s="21">
        <f t="shared" si="6"/>
        <v>-0.3948365347205578</v>
      </c>
      <c r="J59" s="42">
        <v>284000000</v>
      </c>
      <c r="K59" s="21">
        <f t="shared" si="8"/>
        <v>0.10952550886239809</v>
      </c>
      <c r="L59" s="12">
        <f t="shared" si="4"/>
        <v>-53956312</v>
      </c>
      <c r="M59" s="21">
        <f t="shared" si="5"/>
        <v>0.81001298591549298</v>
      </c>
      <c r="N59" s="4"/>
      <c r="O59" s="29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/>
      <c r="BO59" s="35"/>
    </row>
    <row r="60" spans="1:67" s="3" customFormat="1" x14ac:dyDescent="0.25">
      <c r="A60" s="35"/>
      <c r="B60" s="28"/>
      <c r="C60" s="4" t="s">
        <v>12</v>
      </c>
      <c r="D60" s="11">
        <v>9068956</v>
      </c>
      <c r="E60" s="21">
        <f t="shared" si="7"/>
        <v>8.7961456877538625E-3</v>
      </c>
      <c r="F60" s="11">
        <f>2724669+9906824+345696</f>
        <v>12977189</v>
      </c>
      <c r="G60" s="21">
        <f t="shared" si="7"/>
        <v>6.8343565944068664E-3</v>
      </c>
      <c r="H60" s="11">
        <f t="shared" si="1"/>
        <v>-3908233</v>
      </c>
      <c r="I60" s="21">
        <f t="shared" si="6"/>
        <v>-0.30116175390525635</v>
      </c>
      <c r="J60" s="91"/>
      <c r="K60" s="21">
        <f t="shared" si="8"/>
        <v>0</v>
      </c>
      <c r="L60" s="12">
        <f t="shared" si="4"/>
        <v>9068956</v>
      </c>
      <c r="M60" s="21">
        <f t="shared" si="5"/>
        <v>0</v>
      </c>
      <c r="N60" s="4"/>
      <c r="O60" s="29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/>
      <c r="BO60" s="35"/>
    </row>
    <row r="61" spans="1:67" s="3" customFormat="1" x14ac:dyDescent="0.25">
      <c r="A61" s="35"/>
      <c r="B61" s="28"/>
      <c r="C61" s="4" t="s">
        <v>48</v>
      </c>
      <c r="D61" s="11">
        <v>0</v>
      </c>
      <c r="E61" s="21">
        <f t="shared" si="7"/>
        <v>0</v>
      </c>
      <c r="F61" s="11">
        <v>6443850</v>
      </c>
      <c r="G61" s="21">
        <f t="shared" si="7"/>
        <v>3.3936138820871522E-3</v>
      </c>
      <c r="H61" s="11">
        <f t="shared" si="1"/>
        <v>-6443850</v>
      </c>
      <c r="I61" s="21">
        <f t="shared" si="6"/>
        <v>-1</v>
      </c>
      <c r="J61" s="42">
        <v>0</v>
      </c>
      <c r="K61" s="21">
        <f t="shared" si="8"/>
        <v>0</v>
      </c>
      <c r="L61" s="12">
        <f t="shared" si="4"/>
        <v>0</v>
      </c>
      <c r="M61" s="21">
        <f t="shared" si="5"/>
        <v>0</v>
      </c>
      <c r="N61" s="4"/>
      <c r="O61" s="29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</row>
    <row r="62" spans="1:67" s="3" customFormat="1" x14ac:dyDescent="0.25">
      <c r="A62" s="35"/>
      <c r="B62" s="28"/>
      <c r="C62" s="4"/>
      <c r="D62" s="11"/>
      <c r="E62" s="21"/>
      <c r="F62" s="11"/>
      <c r="G62" s="21"/>
      <c r="H62" s="11"/>
      <c r="I62" s="21"/>
      <c r="J62" s="42"/>
      <c r="K62" s="21"/>
      <c r="L62" s="12"/>
      <c r="M62" s="21"/>
      <c r="N62" s="4"/>
      <c r="O62" s="29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</row>
    <row r="63" spans="1:67" s="3" customFormat="1" x14ac:dyDescent="0.25">
      <c r="A63" s="35"/>
      <c r="B63" s="28"/>
      <c r="C63" s="8" t="s">
        <v>38</v>
      </c>
      <c r="D63" s="11"/>
      <c r="E63" s="21"/>
      <c r="F63" s="11"/>
      <c r="G63" s="21"/>
      <c r="H63" s="11"/>
      <c r="I63" s="21"/>
      <c r="J63" s="42"/>
      <c r="K63" s="21"/>
      <c r="L63" s="12">
        <f t="shared" si="4"/>
        <v>0</v>
      </c>
      <c r="M63" s="21">
        <f t="shared" si="5"/>
        <v>0</v>
      </c>
      <c r="N63" s="4"/>
      <c r="O63" s="29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  <c r="BG63" s="35"/>
      <c r="BH63" s="35"/>
      <c r="BI63" s="35"/>
      <c r="BJ63" s="35"/>
      <c r="BK63" s="35"/>
      <c r="BL63" s="35"/>
      <c r="BM63" s="35"/>
      <c r="BN63" s="35"/>
      <c r="BO63" s="35"/>
    </row>
    <row r="64" spans="1:67" s="3" customFormat="1" x14ac:dyDescent="0.25">
      <c r="A64" s="35"/>
      <c r="B64" s="28"/>
      <c r="C64" s="4" t="s">
        <v>39</v>
      </c>
      <c r="D64" s="11">
        <v>10194634</v>
      </c>
      <c r="E64" s="21">
        <f t="shared" si="7"/>
        <v>9.8879612931553427E-3</v>
      </c>
      <c r="F64" s="11">
        <v>38831202</v>
      </c>
      <c r="G64" s="21">
        <f t="shared" si="7"/>
        <v>2.0450213174628581E-2</v>
      </c>
      <c r="H64" s="11">
        <f t="shared" si="1"/>
        <v>-28636568</v>
      </c>
      <c r="I64" s="21">
        <f t="shared" si="6"/>
        <v>-0.73746282692974585</v>
      </c>
      <c r="J64" s="42">
        <v>30000000</v>
      </c>
      <c r="K64" s="21">
        <f t="shared" ref="K64:K67" si="9">J64/J$34</f>
        <v>1.1569596006591347E-2</v>
      </c>
      <c r="L64" s="12">
        <f t="shared" si="4"/>
        <v>-19805366</v>
      </c>
      <c r="M64" s="21">
        <f t="shared" si="5"/>
        <v>0.33982113333333336</v>
      </c>
      <c r="N64" s="4"/>
      <c r="O64" s="29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  <c r="BI64" s="35"/>
      <c r="BJ64" s="35"/>
      <c r="BK64" s="35"/>
      <c r="BL64" s="35"/>
      <c r="BM64" s="35"/>
      <c r="BN64" s="35"/>
      <c r="BO64" s="35"/>
    </row>
    <row r="65" spans="1:67" s="3" customFormat="1" x14ac:dyDescent="0.25">
      <c r="A65" s="35"/>
      <c r="B65" s="28"/>
      <c r="C65" s="4" t="s">
        <v>23</v>
      </c>
      <c r="D65" s="11">
        <v>756600</v>
      </c>
      <c r="E65" s="21">
        <f t="shared" si="7"/>
        <v>7.33840127502501E-4</v>
      </c>
      <c r="F65" s="11">
        <v>623000</v>
      </c>
      <c r="G65" s="21">
        <f t="shared" si="7"/>
        <v>3.2809910977758572E-4</v>
      </c>
      <c r="H65" s="11">
        <f t="shared" si="1"/>
        <v>133600</v>
      </c>
      <c r="I65" s="21">
        <f t="shared" si="6"/>
        <v>0.21444622792937396</v>
      </c>
      <c r="J65" s="42">
        <v>2000000</v>
      </c>
      <c r="K65" s="21">
        <f t="shared" si="9"/>
        <v>7.7130640043942308E-4</v>
      </c>
      <c r="L65" s="12">
        <f t="shared" si="4"/>
        <v>-1243400</v>
      </c>
      <c r="M65" s="21">
        <f t="shared" si="5"/>
        <v>0.37830000000000003</v>
      </c>
      <c r="N65" s="4"/>
      <c r="O65" s="29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  <c r="BG65" s="35"/>
      <c r="BH65" s="35"/>
      <c r="BI65" s="35"/>
      <c r="BJ65" s="35"/>
      <c r="BK65" s="35"/>
      <c r="BL65" s="35"/>
      <c r="BM65" s="35"/>
      <c r="BN65" s="35"/>
      <c r="BO65" s="35"/>
    </row>
    <row r="66" spans="1:67" s="3" customFormat="1" x14ac:dyDescent="0.25">
      <c r="A66" s="35"/>
      <c r="B66" s="28"/>
      <c r="C66" s="4" t="s">
        <v>40</v>
      </c>
      <c r="D66" s="11">
        <v>14766137</v>
      </c>
      <c r="E66" s="21">
        <f t="shared" si="7"/>
        <v>1.4321945359237904E-2</v>
      </c>
      <c r="F66" s="11">
        <f>8985600+18306168</f>
        <v>27291768</v>
      </c>
      <c r="G66" s="21">
        <f t="shared" si="7"/>
        <v>1.4373041388533549E-2</v>
      </c>
      <c r="H66" s="11">
        <f t="shared" si="1"/>
        <v>-12525631</v>
      </c>
      <c r="I66" s="21">
        <f t="shared" si="6"/>
        <v>-0.45895271423969308</v>
      </c>
      <c r="J66" s="42">
        <v>27000000</v>
      </c>
      <c r="K66" s="21">
        <f t="shared" si="9"/>
        <v>1.0412636405932213E-2</v>
      </c>
      <c r="L66" s="12">
        <f t="shared" si="4"/>
        <v>-12233863</v>
      </c>
      <c r="M66" s="21">
        <f t="shared" si="5"/>
        <v>0.546893962962963</v>
      </c>
      <c r="N66" s="4"/>
      <c r="O66" s="29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35"/>
      <c r="BJ66" s="35"/>
      <c r="BK66" s="35"/>
      <c r="BL66" s="35"/>
      <c r="BM66" s="35"/>
      <c r="BN66" s="35"/>
      <c r="BO66" s="35"/>
    </row>
    <row r="67" spans="1:67" s="3" customFormat="1" x14ac:dyDescent="0.25">
      <c r="A67" s="35"/>
      <c r="B67" s="28"/>
      <c r="C67" s="4" t="s">
        <v>37</v>
      </c>
      <c r="D67" s="11">
        <v>0</v>
      </c>
      <c r="E67" s="21">
        <f t="shared" si="7"/>
        <v>0</v>
      </c>
      <c r="F67" s="11">
        <v>4873522</v>
      </c>
      <c r="G67" s="21">
        <f t="shared" si="7"/>
        <v>2.5666103205160178E-3</v>
      </c>
      <c r="H67" s="11">
        <f t="shared" si="1"/>
        <v>-4873522</v>
      </c>
      <c r="I67" s="21">
        <f t="shared" si="6"/>
        <v>-1</v>
      </c>
      <c r="J67" s="42">
        <v>9000000</v>
      </c>
      <c r="K67" s="21">
        <f t="shared" si="9"/>
        <v>3.4708788019774039E-3</v>
      </c>
      <c r="L67" s="12">
        <f t="shared" si="4"/>
        <v>-9000000</v>
      </c>
      <c r="M67" s="21">
        <f t="shared" si="5"/>
        <v>0</v>
      </c>
      <c r="N67" s="4"/>
      <c r="O67" s="29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  <c r="BJ67" s="35"/>
      <c r="BK67" s="35"/>
      <c r="BL67" s="35"/>
      <c r="BM67" s="35"/>
      <c r="BN67" s="35"/>
      <c r="BO67" s="35"/>
    </row>
    <row r="68" spans="1:67" s="3" customFormat="1" x14ac:dyDescent="0.25">
      <c r="A68" s="35"/>
      <c r="B68" s="28"/>
      <c r="C68" s="4"/>
      <c r="D68" s="11"/>
      <c r="E68" s="21"/>
      <c r="F68" s="11"/>
      <c r="G68" s="21"/>
      <c r="H68" s="11"/>
      <c r="I68" s="21"/>
      <c r="J68" s="42"/>
      <c r="K68" s="21"/>
      <c r="L68" s="12"/>
      <c r="M68" s="21"/>
      <c r="N68" s="4"/>
      <c r="O68" s="29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  <c r="BJ68" s="35"/>
      <c r="BK68" s="35"/>
      <c r="BL68" s="35"/>
      <c r="BM68" s="35"/>
      <c r="BN68" s="35"/>
      <c r="BO68" s="35"/>
    </row>
    <row r="69" spans="1:67" s="3" customFormat="1" x14ac:dyDescent="0.25">
      <c r="A69" s="35"/>
      <c r="B69" s="28"/>
      <c r="C69" s="8" t="s">
        <v>41</v>
      </c>
      <c r="D69" s="11"/>
      <c r="E69" s="21"/>
      <c r="F69" s="11"/>
      <c r="G69" s="21"/>
      <c r="H69" s="11"/>
      <c r="I69" s="21"/>
      <c r="J69" s="42"/>
      <c r="K69" s="21"/>
      <c r="L69" s="12">
        <f t="shared" si="4"/>
        <v>0</v>
      </c>
      <c r="M69" s="21">
        <f t="shared" si="5"/>
        <v>0</v>
      </c>
      <c r="N69" s="4"/>
      <c r="O69" s="29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  <c r="BJ69" s="35"/>
      <c r="BK69" s="35"/>
      <c r="BL69" s="35"/>
      <c r="BM69" s="35"/>
      <c r="BN69" s="35"/>
      <c r="BO69" s="35"/>
    </row>
    <row r="70" spans="1:67" s="3" customFormat="1" x14ac:dyDescent="0.25">
      <c r="A70" s="35"/>
      <c r="B70" s="28"/>
      <c r="C70" s="4" t="s">
        <v>42</v>
      </c>
      <c r="D70" s="11">
        <v>6365332.7999999998</v>
      </c>
      <c r="E70" s="21">
        <f t="shared" si="7"/>
        <v>6.1738522780172504E-3</v>
      </c>
      <c r="F70" s="11">
        <v>12893939.4</v>
      </c>
      <c r="G70" s="21">
        <f t="shared" si="7"/>
        <v>6.7905137057241377E-3</v>
      </c>
      <c r="H70" s="11">
        <f t="shared" si="1"/>
        <v>-6528606.6000000006</v>
      </c>
      <c r="I70" s="21">
        <f t="shared" si="6"/>
        <v>-0.50633141644825796</v>
      </c>
      <c r="J70" s="42">
        <v>14000000</v>
      </c>
      <c r="K70" s="21">
        <f t="shared" ref="K70:K75" si="10">J70/J$34</f>
        <v>5.3991448030759623E-3</v>
      </c>
      <c r="L70" s="12">
        <f t="shared" si="4"/>
        <v>-7634667.2000000002</v>
      </c>
      <c r="M70" s="21">
        <f t="shared" si="5"/>
        <v>0.45466662857142853</v>
      </c>
      <c r="N70" s="4"/>
      <c r="O70" s="29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35"/>
      <c r="BJ70" s="35"/>
      <c r="BK70" s="35"/>
      <c r="BL70" s="35"/>
      <c r="BM70" s="35"/>
      <c r="BN70" s="35"/>
      <c r="BO70" s="35"/>
    </row>
    <row r="71" spans="1:67" s="3" customFormat="1" x14ac:dyDescent="0.25">
      <c r="A71" s="35"/>
      <c r="B71" s="28"/>
      <c r="C71" s="4" t="s">
        <v>43</v>
      </c>
      <c r="D71" s="11">
        <v>8360271</v>
      </c>
      <c r="E71" s="21">
        <f t="shared" si="7"/>
        <v>8.1087791919051827E-3</v>
      </c>
      <c r="F71" s="11">
        <v>70808332</v>
      </c>
      <c r="G71" s="21">
        <f t="shared" si="7"/>
        <v>3.7290771579511613E-2</v>
      </c>
      <c r="H71" s="11">
        <f t="shared" si="1"/>
        <v>-62448061</v>
      </c>
      <c r="I71" s="21">
        <f t="shared" si="6"/>
        <v>-0.88193097106142815</v>
      </c>
      <c r="J71" s="42">
        <v>56652000</v>
      </c>
      <c r="K71" s="21">
        <f t="shared" si="10"/>
        <v>2.1848025098847101E-2</v>
      </c>
      <c r="L71" s="12">
        <f t="shared" si="4"/>
        <v>-48291729</v>
      </c>
      <c r="M71" s="21">
        <f t="shared" si="5"/>
        <v>0.1475723893242957</v>
      </c>
      <c r="N71" s="4"/>
      <c r="O71" s="29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  <c r="BG71" s="35"/>
      <c r="BH71" s="35"/>
      <c r="BI71" s="35"/>
      <c r="BJ71" s="35"/>
      <c r="BK71" s="35"/>
      <c r="BL71" s="35"/>
      <c r="BM71" s="35"/>
      <c r="BN71" s="35"/>
      <c r="BO71" s="35"/>
    </row>
    <row r="72" spans="1:67" s="3" customFormat="1" x14ac:dyDescent="0.25">
      <c r="A72" s="35"/>
      <c r="B72" s="28"/>
      <c r="C72" s="4" t="s">
        <v>67</v>
      </c>
      <c r="D72" s="11">
        <v>141499562</v>
      </c>
      <c r="E72" s="21">
        <f t="shared" si="7"/>
        <v>0.13724300372670903</v>
      </c>
      <c r="F72" s="11">
        <v>887556079</v>
      </c>
      <c r="G72" s="21">
        <f t="shared" si="7"/>
        <v>0.46742593803785643</v>
      </c>
      <c r="H72" s="11">
        <f t="shared" si="1"/>
        <v>-746056517</v>
      </c>
      <c r="I72" s="21">
        <f t="shared" si="6"/>
        <v>-0.84057394755334669</v>
      </c>
      <c r="J72" s="42">
        <v>822356000</v>
      </c>
      <c r="K72" s="21">
        <f t="shared" si="10"/>
        <v>0.31714422311988111</v>
      </c>
      <c r="L72" s="12">
        <f t="shared" si="4"/>
        <v>-680856438</v>
      </c>
      <c r="M72" s="21">
        <f t="shared" si="5"/>
        <v>0.17206606627786505</v>
      </c>
      <c r="N72" s="4"/>
      <c r="O72" s="29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5"/>
      <c r="BD72" s="35"/>
      <c r="BE72" s="35"/>
      <c r="BF72" s="35"/>
      <c r="BG72" s="35"/>
      <c r="BH72" s="35"/>
      <c r="BI72" s="35"/>
      <c r="BJ72" s="35"/>
      <c r="BK72" s="35"/>
      <c r="BL72" s="35"/>
      <c r="BM72" s="35"/>
      <c r="BN72" s="35"/>
      <c r="BO72" s="35"/>
    </row>
    <row r="73" spans="1:67" s="3" customFormat="1" x14ac:dyDescent="0.25">
      <c r="A73" s="35"/>
      <c r="B73" s="28"/>
      <c r="C73" s="4" t="s">
        <v>49</v>
      </c>
      <c r="D73" s="11">
        <v>0</v>
      </c>
      <c r="E73" s="21">
        <f t="shared" si="7"/>
        <v>0</v>
      </c>
      <c r="F73" s="11">
        <v>20000000</v>
      </c>
      <c r="G73" s="21">
        <f t="shared" si="7"/>
        <v>1.0532876718381564E-2</v>
      </c>
      <c r="H73" s="11">
        <f t="shared" si="1"/>
        <v>-20000000</v>
      </c>
      <c r="I73" s="21">
        <f t="shared" si="6"/>
        <v>-1</v>
      </c>
      <c r="J73" s="42">
        <v>0</v>
      </c>
      <c r="K73" s="21">
        <f t="shared" si="10"/>
        <v>0</v>
      </c>
      <c r="L73" s="12">
        <f t="shared" si="4"/>
        <v>0</v>
      </c>
      <c r="M73" s="21">
        <f t="shared" si="5"/>
        <v>0</v>
      </c>
      <c r="N73" s="4"/>
      <c r="O73" s="29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5"/>
      <c r="AU73" s="35"/>
      <c r="AV73" s="35"/>
      <c r="AW73" s="35"/>
      <c r="AX73" s="35"/>
      <c r="AY73" s="35"/>
      <c r="AZ73" s="35"/>
      <c r="BA73" s="35"/>
      <c r="BB73" s="35"/>
      <c r="BC73" s="35"/>
      <c r="BD73" s="35"/>
      <c r="BE73" s="35"/>
      <c r="BF73" s="35"/>
      <c r="BG73" s="35"/>
      <c r="BH73" s="35"/>
      <c r="BI73" s="35"/>
      <c r="BJ73" s="35"/>
      <c r="BK73" s="35"/>
      <c r="BL73" s="35"/>
      <c r="BM73" s="35"/>
      <c r="BN73" s="35"/>
      <c r="BO73" s="35"/>
    </row>
    <row r="74" spans="1:67" s="3" customFormat="1" x14ac:dyDescent="0.25">
      <c r="A74" s="35"/>
      <c r="B74" s="28"/>
      <c r="C74" s="4" t="s">
        <v>44</v>
      </c>
      <c r="D74" s="11">
        <v>12011002</v>
      </c>
      <c r="E74" s="21">
        <f t="shared" si="7"/>
        <v>1.1649689715983076E-2</v>
      </c>
      <c r="F74" s="11">
        <f>8022434+29000+3082800+172878+30000+2414076.4</f>
        <v>13751188.4</v>
      </c>
      <c r="G74" s="21">
        <f t="shared" si="7"/>
        <v>7.2419786074219318E-3</v>
      </c>
      <c r="H74" s="11">
        <f t="shared" si="1"/>
        <v>-1740186.4000000004</v>
      </c>
      <c r="I74" s="21">
        <f t="shared" si="6"/>
        <v>-0.12654807347414432</v>
      </c>
      <c r="J74" s="91"/>
      <c r="K74" s="21">
        <f t="shared" si="10"/>
        <v>0</v>
      </c>
      <c r="L74" s="12">
        <f t="shared" si="4"/>
        <v>12011002</v>
      </c>
      <c r="M74" s="21">
        <f t="shared" si="5"/>
        <v>0</v>
      </c>
      <c r="N74" s="4"/>
      <c r="O74" s="29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5"/>
      <c r="AV74" s="35"/>
      <c r="AW74" s="35"/>
      <c r="AX74" s="35"/>
      <c r="AY74" s="35"/>
      <c r="AZ74" s="35"/>
      <c r="BA74" s="35"/>
      <c r="BB74" s="35"/>
      <c r="BC74" s="35"/>
      <c r="BD74" s="35"/>
      <c r="BE74" s="35"/>
      <c r="BF74" s="35"/>
      <c r="BG74" s="35"/>
      <c r="BH74" s="35"/>
      <c r="BI74" s="35"/>
      <c r="BJ74" s="35"/>
      <c r="BK74" s="35"/>
      <c r="BL74" s="35"/>
      <c r="BM74" s="35"/>
      <c r="BN74" s="35"/>
      <c r="BO74" s="35"/>
    </row>
    <row r="75" spans="1:67" s="3" customFormat="1" x14ac:dyDescent="0.25">
      <c r="A75" s="35"/>
      <c r="B75" s="28"/>
      <c r="C75" s="17" t="s">
        <v>45</v>
      </c>
      <c r="D75" s="18">
        <f>SUM(D38:D74)</f>
        <v>1408531237.8</v>
      </c>
      <c r="E75" s="22">
        <f t="shared" si="7"/>
        <v>1.3661601151710383</v>
      </c>
      <c r="F75" s="18">
        <f>SUM(F38:F74)</f>
        <v>2528037699.8000002</v>
      </c>
      <c r="G75" s="22">
        <f t="shared" si="7"/>
        <v>1.3313754715707151</v>
      </c>
      <c r="H75" s="18">
        <f t="shared" si="1"/>
        <v>-1119506462.0000002</v>
      </c>
      <c r="I75" s="22">
        <f t="shared" si="6"/>
        <v>-0.44283614207516264</v>
      </c>
      <c r="J75" s="19">
        <f>SUM(J38:J74)</f>
        <v>2873124411</v>
      </c>
      <c r="K75" s="22">
        <f t="shared" si="10"/>
        <v>1.1080296237315239</v>
      </c>
      <c r="L75" s="19">
        <f t="shared" si="4"/>
        <v>-1464593173.2</v>
      </c>
      <c r="M75" s="22">
        <f t="shared" si="5"/>
        <v>0.49024373340998351</v>
      </c>
      <c r="N75" s="4"/>
      <c r="O75" s="29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  <c r="AU75" s="35"/>
      <c r="AV75" s="35"/>
      <c r="AW75" s="35"/>
      <c r="AX75" s="35"/>
      <c r="AY75" s="35"/>
      <c r="AZ75" s="35"/>
      <c r="BA75" s="35"/>
      <c r="BB75" s="35"/>
      <c r="BC75" s="35"/>
      <c r="BD75" s="35"/>
      <c r="BE75" s="35"/>
      <c r="BF75" s="35"/>
      <c r="BG75" s="35"/>
      <c r="BH75" s="35"/>
      <c r="BI75" s="35"/>
      <c r="BJ75" s="35"/>
      <c r="BK75" s="35"/>
      <c r="BL75" s="35"/>
      <c r="BM75" s="35"/>
      <c r="BN75" s="35"/>
      <c r="BO75" s="35"/>
    </row>
    <row r="76" spans="1:67" s="3" customFormat="1" x14ac:dyDescent="0.25">
      <c r="A76" s="35"/>
      <c r="B76" s="28"/>
      <c r="C76" s="8"/>
      <c r="D76" s="13"/>
      <c r="E76" s="23"/>
      <c r="F76" s="13"/>
      <c r="G76" s="23"/>
      <c r="H76" s="13"/>
      <c r="I76" s="23"/>
      <c r="J76" s="14"/>
      <c r="K76" s="23"/>
      <c r="L76" s="14"/>
      <c r="M76" s="23"/>
      <c r="N76" s="4"/>
      <c r="O76" s="29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  <c r="AU76" s="35"/>
      <c r="AV76" s="35"/>
      <c r="AW76" s="35"/>
      <c r="AX76" s="35"/>
      <c r="AY76" s="35"/>
      <c r="AZ76" s="35"/>
      <c r="BA76" s="35"/>
      <c r="BB76" s="35"/>
      <c r="BC76" s="35"/>
      <c r="BD76" s="35"/>
      <c r="BE76" s="35"/>
      <c r="BF76" s="35"/>
      <c r="BG76" s="35"/>
      <c r="BH76" s="35"/>
      <c r="BI76" s="35"/>
      <c r="BJ76" s="35"/>
      <c r="BK76" s="35"/>
      <c r="BL76" s="35"/>
      <c r="BM76" s="35"/>
      <c r="BN76" s="35"/>
      <c r="BO76" s="35"/>
    </row>
    <row r="77" spans="1:67" s="3" customFormat="1" x14ac:dyDescent="0.25">
      <c r="A77" s="35"/>
      <c r="B77" s="28"/>
      <c r="C77" s="17" t="s">
        <v>46</v>
      </c>
      <c r="D77" s="18">
        <f>+D34-D75</f>
        <v>-377516481.79999995</v>
      </c>
      <c r="E77" s="22">
        <f t="shared" si="7"/>
        <v>-0.3661601151710383</v>
      </c>
      <c r="F77" s="18">
        <f>F34-F75</f>
        <v>-629221209.80000019</v>
      </c>
      <c r="G77" s="22">
        <f t="shared" si="7"/>
        <v>-0.33137547157071517</v>
      </c>
      <c r="H77" s="18">
        <f t="shared" si="1"/>
        <v>251704728.00000024</v>
      </c>
      <c r="I77" s="22">
        <f t="shared" si="6"/>
        <v>-0.40002581616726707</v>
      </c>
      <c r="J77" s="19">
        <f>J34-J75</f>
        <v>-280121165</v>
      </c>
      <c r="K77" s="22">
        <f t="shared" ref="K77" si="11">J77/J$34</f>
        <v>-0.10802962373152386</v>
      </c>
      <c r="L77" s="19">
        <f t="shared" si="4"/>
        <v>-97395316.799999952</v>
      </c>
      <c r="M77" s="22">
        <f t="shared" si="5"/>
        <v>1.3476899605211907</v>
      </c>
      <c r="N77" s="4"/>
      <c r="O77" s="29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  <c r="AU77" s="35"/>
      <c r="AV77" s="35"/>
      <c r="AW77" s="35"/>
      <c r="AX77" s="35"/>
      <c r="AY77" s="35"/>
      <c r="AZ77" s="35"/>
      <c r="BA77" s="35"/>
      <c r="BB77" s="35"/>
      <c r="BC77" s="35"/>
      <c r="BD77" s="35"/>
      <c r="BE77" s="35"/>
      <c r="BF77" s="35"/>
      <c r="BG77" s="35"/>
      <c r="BH77" s="35"/>
      <c r="BI77" s="35"/>
      <c r="BJ77" s="35"/>
      <c r="BK77" s="35"/>
      <c r="BL77" s="35"/>
      <c r="BM77" s="35"/>
      <c r="BN77" s="35"/>
      <c r="BO77" s="35"/>
    </row>
    <row r="78" spans="1:67" s="3" customFormat="1" x14ac:dyDescent="0.25">
      <c r="A78" s="35"/>
      <c r="B78" s="28"/>
      <c r="C78" s="8"/>
      <c r="D78" s="11"/>
      <c r="E78" s="21"/>
      <c r="F78" s="11"/>
      <c r="G78" s="21"/>
      <c r="H78" s="11"/>
      <c r="I78" s="21"/>
      <c r="J78" s="12"/>
      <c r="K78" s="21"/>
      <c r="L78" s="12"/>
      <c r="M78" s="21"/>
      <c r="N78" s="4"/>
      <c r="O78" s="29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35"/>
      <c r="AV78" s="35"/>
      <c r="AW78" s="35"/>
      <c r="AX78" s="35"/>
      <c r="AY78" s="35"/>
      <c r="AZ78" s="35"/>
      <c r="BA78" s="35"/>
      <c r="BB78" s="35"/>
      <c r="BC78" s="35"/>
      <c r="BD78" s="35"/>
      <c r="BE78" s="35"/>
      <c r="BF78" s="35"/>
      <c r="BG78" s="35"/>
      <c r="BH78" s="35"/>
      <c r="BI78" s="35"/>
      <c r="BJ78" s="35"/>
      <c r="BK78" s="35"/>
      <c r="BL78" s="35"/>
      <c r="BM78" s="35"/>
      <c r="BN78" s="35"/>
      <c r="BO78" s="35"/>
    </row>
    <row r="79" spans="1:67" s="3" customFormat="1" x14ac:dyDescent="0.25">
      <c r="A79" s="35"/>
      <c r="B79" s="28"/>
      <c r="C79" s="17" t="s">
        <v>47</v>
      </c>
      <c r="D79" s="18">
        <v>17082000</v>
      </c>
      <c r="E79" s="22">
        <f t="shared" si="7"/>
        <v>1.656814308485028E-2</v>
      </c>
      <c r="F79" s="18">
        <v>44877000</v>
      </c>
      <c r="G79" s="22">
        <f t="shared" si="7"/>
        <v>2.3634195424540472E-2</v>
      </c>
      <c r="H79" s="18">
        <f t="shared" si="1"/>
        <v>-27795000</v>
      </c>
      <c r="I79" s="22">
        <f t="shared" si="6"/>
        <v>-0.61935958285981685</v>
      </c>
      <c r="J79" s="19">
        <v>44877000</v>
      </c>
      <c r="K79" s="22">
        <f t="shared" ref="K79" si="12">J79/J$34</f>
        <v>1.7306958666259996E-2</v>
      </c>
      <c r="L79" s="19">
        <f t="shared" si="4"/>
        <v>-27795000</v>
      </c>
      <c r="M79" s="22">
        <f t="shared" si="5"/>
        <v>0.38064041714018315</v>
      </c>
      <c r="N79" s="4"/>
      <c r="O79" s="29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  <c r="AU79" s="35"/>
      <c r="AV79" s="35"/>
      <c r="AW79" s="35"/>
      <c r="AX79" s="35"/>
      <c r="AY79" s="35"/>
      <c r="AZ79" s="35"/>
      <c r="BA79" s="35"/>
      <c r="BB79" s="35"/>
      <c r="BC79" s="35"/>
      <c r="BD79" s="35"/>
      <c r="BE79" s="35"/>
      <c r="BF79" s="35"/>
      <c r="BG79" s="35"/>
      <c r="BH79" s="35"/>
      <c r="BI79" s="35"/>
      <c r="BJ79" s="35"/>
      <c r="BK79" s="35"/>
      <c r="BL79" s="35"/>
      <c r="BM79" s="35"/>
      <c r="BN79" s="35"/>
      <c r="BO79" s="35"/>
    </row>
    <row r="80" spans="1:67" s="3" customFormat="1" x14ac:dyDescent="0.25">
      <c r="A80" s="35"/>
      <c r="B80" s="28"/>
      <c r="C80" s="8"/>
      <c r="D80" s="11"/>
      <c r="E80" s="21"/>
      <c r="F80" s="11"/>
      <c r="G80" s="21"/>
      <c r="H80" s="11"/>
      <c r="I80" s="21"/>
      <c r="J80" s="12"/>
      <c r="K80" s="21"/>
      <c r="L80" s="12"/>
      <c r="M80" s="21"/>
      <c r="N80" s="4"/>
      <c r="O80" s="29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35"/>
      <c r="BB80" s="35"/>
      <c r="BC80" s="35"/>
      <c r="BD80" s="35"/>
      <c r="BE80" s="35"/>
      <c r="BF80" s="35"/>
      <c r="BG80" s="35"/>
      <c r="BH80" s="35"/>
      <c r="BI80" s="35"/>
      <c r="BJ80" s="35"/>
      <c r="BK80" s="35"/>
      <c r="BL80" s="35"/>
      <c r="BM80" s="35"/>
      <c r="BN80" s="35"/>
      <c r="BO80" s="35"/>
    </row>
    <row r="81" spans="1:67" s="3" customFormat="1" x14ac:dyDescent="0.25">
      <c r="A81" s="35"/>
      <c r="B81" s="28"/>
      <c r="C81" s="17" t="s">
        <v>56</v>
      </c>
      <c r="D81" s="18">
        <f>+D77-D79</f>
        <v>-394598481.79999995</v>
      </c>
      <c r="E81" s="22">
        <f t="shared" si="7"/>
        <v>-0.38272825825588858</v>
      </c>
      <c r="F81" s="18">
        <f>+F77-F79</f>
        <v>-674098209.80000019</v>
      </c>
      <c r="G81" s="22">
        <f t="shared" si="7"/>
        <v>-0.35500966699525566</v>
      </c>
      <c r="H81" s="18">
        <f t="shared" si="1"/>
        <v>279499728.00000024</v>
      </c>
      <c r="I81" s="22">
        <f t="shared" si="6"/>
        <v>-0.41462760757505301</v>
      </c>
      <c r="J81" s="19">
        <f>+J77-J79</f>
        <v>-324998165</v>
      </c>
      <c r="K81" s="22">
        <f t="shared" ref="K81" si="13">J81/J$34</f>
        <v>-0.12533658239778386</v>
      </c>
      <c r="L81" s="19">
        <f>+D81-J81</f>
        <v>-69600316.799999952</v>
      </c>
      <c r="M81" s="22">
        <f t="shared" si="5"/>
        <v>1.2141560300809697</v>
      </c>
      <c r="N81" s="8"/>
      <c r="O81" s="29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5"/>
      <c r="BI81" s="35"/>
      <c r="BJ81" s="35"/>
      <c r="BK81" s="35"/>
      <c r="BL81" s="35"/>
      <c r="BM81" s="35"/>
      <c r="BN81" s="35"/>
      <c r="BO81" s="35"/>
    </row>
    <row r="82" spans="1:67" s="3" customFormat="1" x14ac:dyDescent="0.25">
      <c r="A82" s="35"/>
      <c r="B82" s="28"/>
      <c r="C82" s="4"/>
      <c r="D82" s="4"/>
      <c r="E82" s="20"/>
      <c r="F82" s="4"/>
      <c r="G82" s="20"/>
      <c r="H82" s="4"/>
      <c r="I82" s="20"/>
      <c r="J82" s="9"/>
      <c r="K82" s="20"/>
      <c r="L82" s="4"/>
      <c r="M82" s="20"/>
      <c r="N82" s="4"/>
      <c r="O82" s="29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35"/>
      <c r="AV82" s="35"/>
      <c r="AW82" s="35"/>
      <c r="AX82" s="35"/>
      <c r="AY82" s="35"/>
      <c r="AZ82" s="35"/>
      <c r="BA82" s="35"/>
      <c r="BB82" s="35"/>
      <c r="BC82" s="35"/>
      <c r="BD82" s="35"/>
      <c r="BE82" s="35"/>
      <c r="BF82" s="35"/>
      <c r="BG82" s="35"/>
      <c r="BH82" s="35"/>
      <c r="BI82" s="35"/>
      <c r="BJ82" s="35"/>
      <c r="BK82" s="35"/>
      <c r="BL82" s="35"/>
      <c r="BM82" s="35"/>
      <c r="BN82" s="35"/>
      <c r="BO82" s="35"/>
    </row>
    <row r="83" spans="1:67" s="3" customFormat="1" x14ac:dyDescent="0.25">
      <c r="A83" s="35"/>
      <c r="B83" s="28"/>
      <c r="C83" s="4"/>
      <c r="D83" s="4"/>
      <c r="E83" s="20"/>
      <c r="F83" s="4"/>
      <c r="G83" s="20"/>
      <c r="H83" s="4"/>
      <c r="I83" s="20"/>
      <c r="J83" s="7"/>
      <c r="K83" s="20"/>
      <c r="L83" s="4"/>
      <c r="M83" s="20"/>
      <c r="N83" s="4"/>
      <c r="O83" s="29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35"/>
      <c r="BH83" s="35"/>
      <c r="BI83" s="35"/>
      <c r="BJ83" s="35"/>
      <c r="BK83" s="35"/>
      <c r="BL83" s="35"/>
      <c r="BM83" s="35"/>
      <c r="BN83" s="35"/>
      <c r="BO83" s="35"/>
    </row>
    <row r="84" spans="1:67" s="3" customFormat="1" x14ac:dyDescent="0.25">
      <c r="A84" s="35"/>
      <c r="B84" s="28"/>
      <c r="C84" s="4"/>
      <c r="D84" s="4"/>
      <c r="E84" s="20"/>
      <c r="F84" s="4"/>
      <c r="G84" s="20"/>
      <c r="H84" s="4"/>
      <c r="I84" s="20"/>
      <c r="J84" s="7"/>
      <c r="K84" s="20"/>
      <c r="L84" s="4"/>
      <c r="M84" s="20"/>
      <c r="N84" s="4"/>
      <c r="O84" s="29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  <c r="AU84" s="35"/>
      <c r="AV84" s="35"/>
      <c r="AW84" s="35"/>
      <c r="AX84" s="35"/>
      <c r="AY84" s="35"/>
      <c r="AZ84" s="35"/>
      <c r="BA84" s="35"/>
      <c r="BB84" s="35"/>
      <c r="BC84" s="35"/>
      <c r="BD84" s="35"/>
      <c r="BE84" s="35"/>
      <c r="BF84" s="35"/>
      <c r="BG84" s="35"/>
      <c r="BH84" s="35"/>
      <c r="BI84" s="35"/>
      <c r="BJ84" s="35"/>
      <c r="BK84" s="35"/>
      <c r="BL84" s="35"/>
      <c r="BM84" s="35"/>
      <c r="BN84" s="35"/>
      <c r="BO84" s="35"/>
    </row>
    <row r="85" spans="1:67" s="3" customFormat="1" ht="13.5" thickBot="1" x14ac:dyDescent="0.3">
      <c r="A85" s="35"/>
      <c r="B85" s="30"/>
      <c r="C85" s="31"/>
      <c r="D85" s="31"/>
      <c r="E85" s="32"/>
      <c r="F85" s="31"/>
      <c r="G85" s="32"/>
      <c r="H85" s="31"/>
      <c r="I85" s="32"/>
      <c r="J85" s="33"/>
      <c r="K85" s="32"/>
      <c r="L85" s="31"/>
      <c r="M85" s="32"/>
      <c r="N85" s="31"/>
      <c r="O85" s="34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35"/>
      <c r="AU85" s="35"/>
      <c r="AV85" s="35"/>
      <c r="AW85" s="35"/>
      <c r="AX85" s="35"/>
      <c r="AY85" s="35"/>
      <c r="AZ85" s="35"/>
      <c r="BA85" s="35"/>
      <c r="BB85" s="35"/>
      <c r="BC85" s="35"/>
      <c r="BD85" s="35"/>
      <c r="BE85" s="35"/>
      <c r="BF85" s="35"/>
      <c r="BG85" s="35"/>
      <c r="BH85" s="35"/>
      <c r="BI85" s="35"/>
      <c r="BJ85" s="35"/>
      <c r="BK85" s="35"/>
      <c r="BL85" s="35"/>
      <c r="BM85" s="35"/>
      <c r="BN85" s="35"/>
      <c r="BO85" s="35"/>
    </row>
    <row r="87" spans="1:67" ht="13.5" thickBot="1" x14ac:dyDescent="0.3"/>
    <row r="88" spans="1:67" x14ac:dyDescent="0.25">
      <c r="B88" s="47"/>
      <c r="C88" s="48"/>
      <c r="D88" s="48"/>
      <c r="E88" s="49"/>
      <c r="F88" s="48"/>
      <c r="G88" s="49"/>
      <c r="H88" s="48"/>
      <c r="I88" s="49"/>
      <c r="J88" s="50"/>
      <c r="K88" s="49"/>
      <c r="L88" s="48"/>
      <c r="M88" s="49"/>
      <c r="N88" s="48"/>
      <c r="O88" s="51"/>
    </row>
    <row r="89" spans="1:67" x14ac:dyDescent="0.25">
      <c r="B89" s="52"/>
      <c r="C89" s="24"/>
      <c r="D89" s="24"/>
      <c r="E89" s="44"/>
      <c r="F89" s="24"/>
      <c r="G89" s="44"/>
      <c r="H89" s="24"/>
      <c r="I89" s="44"/>
      <c r="J89" s="45"/>
      <c r="K89" s="44"/>
      <c r="L89" s="24"/>
      <c r="M89" s="44"/>
      <c r="N89" s="24"/>
      <c r="O89" s="53"/>
    </row>
    <row r="90" spans="1:67" x14ac:dyDescent="0.25">
      <c r="B90" s="52"/>
      <c r="C90" s="100"/>
      <c r="D90" s="24"/>
      <c r="E90" s="44"/>
      <c r="F90" s="24"/>
      <c r="G90" s="44"/>
      <c r="H90" s="24"/>
      <c r="I90" s="44"/>
      <c r="J90" s="45"/>
      <c r="K90" s="44"/>
      <c r="L90" s="24"/>
      <c r="M90" s="44"/>
      <c r="N90" s="24"/>
      <c r="O90" s="53"/>
    </row>
    <row r="91" spans="1:67" ht="23.25" x14ac:dyDescent="0.25">
      <c r="B91" s="52"/>
      <c r="C91" s="102" t="s">
        <v>3</v>
      </c>
      <c r="D91" s="24"/>
      <c r="E91" s="44"/>
      <c r="F91" s="24"/>
      <c r="G91" s="44"/>
      <c r="H91" s="24"/>
      <c r="I91" s="44"/>
      <c r="J91" s="45"/>
      <c r="K91" s="44"/>
      <c r="L91" s="24"/>
      <c r="M91" s="44"/>
      <c r="N91" s="24"/>
      <c r="O91" s="53"/>
    </row>
    <row r="92" spans="1:67" x14ac:dyDescent="0.25">
      <c r="B92" s="52"/>
      <c r="C92" s="24"/>
      <c r="D92" s="24"/>
      <c r="E92" s="44"/>
      <c r="F92" s="24"/>
      <c r="G92" s="44"/>
      <c r="H92" s="24"/>
      <c r="I92" s="44"/>
      <c r="J92" s="45"/>
      <c r="K92" s="44"/>
      <c r="L92" s="24"/>
      <c r="M92" s="44"/>
      <c r="N92" s="24"/>
      <c r="O92" s="53"/>
    </row>
    <row r="93" spans="1:67" x14ac:dyDescent="0.25">
      <c r="B93" s="52"/>
      <c r="C93" s="24"/>
      <c r="D93" s="24"/>
      <c r="E93" s="44"/>
      <c r="F93" s="24"/>
      <c r="G93" s="44"/>
      <c r="H93" s="24"/>
      <c r="I93" s="44"/>
      <c r="J93" s="45"/>
      <c r="K93" s="44"/>
      <c r="L93" s="24"/>
      <c r="M93" s="44"/>
      <c r="N93" s="24"/>
      <c r="O93" s="53"/>
    </row>
    <row r="94" spans="1:67" x14ac:dyDescent="0.25">
      <c r="B94" s="52"/>
      <c r="C94" s="24"/>
      <c r="D94" s="24"/>
      <c r="E94" s="44"/>
      <c r="F94" s="24"/>
      <c r="G94" s="44"/>
      <c r="H94" s="24"/>
      <c r="I94" s="44"/>
      <c r="J94" s="45"/>
      <c r="K94" s="44"/>
      <c r="L94" s="24"/>
      <c r="M94" s="44"/>
      <c r="N94" s="24"/>
      <c r="O94" s="53"/>
    </row>
    <row r="95" spans="1:67" x14ac:dyDescent="0.25">
      <c r="B95" s="52"/>
      <c r="C95" s="24"/>
      <c r="D95" s="24"/>
      <c r="E95" s="44"/>
      <c r="F95" s="24"/>
      <c r="G95" s="44"/>
      <c r="H95" s="24"/>
      <c r="I95" s="44"/>
      <c r="J95" s="45"/>
      <c r="K95" s="44"/>
      <c r="L95" s="24"/>
      <c r="M95" s="44"/>
      <c r="N95" s="24"/>
      <c r="O95" s="53"/>
    </row>
    <row r="96" spans="1:67" ht="18.75" x14ac:dyDescent="0.25">
      <c r="B96" s="52"/>
      <c r="C96" s="24"/>
      <c r="D96" s="24"/>
      <c r="E96" s="44"/>
      <c r="F96" s="24"/>
      <c r="G96" s="96"/>
      <c r="H96" s="100"/>
      <c r="I96" s="101"/>
      <c r="J96" s="46"/>
      <c r="K96" s="101"/>
      <c r="L96" s="94"/>
      <c r="M96" s="44"/>
      <c r="N96" s="24"/>
      <c r="O96" s="53"/>
    </row>
    <row r="97" spans="2:15" x14ac:dyDescent="0.25">
      <c r="B97" s="52"/>
      <c r="C97" s="24"/>
      <c r="D97" s="24"/>
      <c r="E97" s="44"/>
      <c r="F97" s="24"/>
      <c r="G97" s="44"/>
      <c r="H97" s="24"/>
      <c r="I97" s="44"/>
      <c r="J97" s="44"/>
      <c r="K97" s="44"/>
      <c r="L97" s="24"/>
      <c r="M97" s="44"/>
      <c r="N97" s="24"/>
      <c r="O97" s="53"/>
    </row>
    <row r="98" spans="2:15" x14ac:dyDescent="0.25">
      <c r="B98" s="52"/>
      <c r="C98" s="24"/>
      <c r="D98" s="24"/>
      <c r="E98" s="44"/>
      <c r="F98" s="24"/>
      <c r="G98" s="44"/>
      <c r="H98" s="24"/>
      <c r="I98" s="44"/>
      <c r="J98" s="45"/>
      <c r="K98" s="44"/>
      <c r="L98" s="24"/>
      <c r="M98" s="44"/>
      <c r="N98" s="24"/>
      <c r="O98" s="53"/>
    </row>
    <row r="99" spans="2:15" x14ac:dyDescent="0.25">
      <c r="B99" s="52"/>
      <c r="C99" s="24"/>
      <c r="D99" s="24"/>
      <c r="E99" s="44"/>
      <c r="F99" s="24"/>
      <c r="G99" s="44"/>
      <c r="H99" s="24"/>
      <c r="I99" s="44"/>
      <c r="J99" s="45"/>
      <c r="K99" s="44"/>
      <c r="L99" s="24"/>
      <c r="M99" s="44"/>
      <c r="N99" s="24"/>
      <c r="O99" s="53"/>
    </row>
    <row r="100" spans="2:15" ht="18" x14ac:dyDescent="0.25">
      <c r="B100" s="52"/>
      <c r="C100" s="24"/>
      <c r="D100" s="24"/>
      <c r="E100" s="44"/>
      <c r="F100" s="24"/>
      <c r="G100" s="44"/>
      <c r="H100" s="46"/>
      <c r="I100" s="44"/>
      <c r="J100" s="45"/>
      <c r="K100" s="95"/>
      <c r="L100" s="24"/>
      <c r="M100" s="44"/>
      <c r="N100" s="24"/>
      <c r="O100" s="53"/>
    </row>
    <row r="101" spans="2:15" x14ac:dyDescent="0.25">
      <c r="B101" s="52"/>
      <c r="C101" s="24"/>
      <c r="D101" s="24"/>
      <c r="E101" s="44"/>
      <c r="F101" s="24"/>
      <c r="G101" s="44"/>
      <c r="H101" s="24"/>
      <c r="I101" s="44"/>
      <c r="J101" s="45"/>
      <c r="K101" s="44"/>
      <c r="L101" s="24"/>
      <c r="M101" s="44"/>
      <c r="N101" s="24"/>
      <c r="O101" s="53"/>
    </row>
    <row r="102" spans="2:15" x14ac:dyDescent="0.25">
      <c r="B102" s="52"/>
      <c r="C102" s="24"/>
      <c r="D102" s="24"/>
      <c r="E102" s="44"/>
      <c r="F102" s="24"/>
      <c r="G102" s="44"/>
      <c r="H102" s="44"/>
      <c r="I102" s="45"/>
      <c r="J102" s="45"/>
      <c r="K102" s="44"/>
      <c r="L102" s="24"/>
      <c r="M102" s="44"/>
      <c r="N102" s="24"/>
      <c r="O102" s="53"/>
    </row>
    <row r="103" spans="2:15" x14ac:dyDescent="0.25">
      <c r="B103" s="52"/>
      <c r="C103" s="24"/>
      <c r="D103" s="24"/>
      <c r="E103" s="44"/>
      <c r="F103" s="24"/>
      <c r="G103" s="44"/>
      <c r="H103" s="24"/>
      <c r="I103" s="44"/>
      <c r="J103" s="45"/>
      <c r="K103" s="44"/>
      <c r="L103" s="24"/>
      <c r="M103" s="44"/>
      <c r="N103" s="24"/>
      <c r="O103" s="53"/>
    </row>
    <row r="104" spans="2:15" x14ac:dyDescent="0.25">
      <c r="B104" s="52"/>
      <c r="C104" s="24"/>
      <c r="D104" s="24"/>
      <c r="E104" s="44"/>
      <c r="F104" s="24"/>
      <c r="G104" s="44"/>
      <c r="H104" s="24"/>
      <c r="I104" s="44"/>
      <c r="J104" s="45"/>
      <c r="K104" s="44"/>
      <c r="L104" s="24"/>
      <c r="M104" s="44"/>
      <c r="N104" s="24"/>
      <c r="O104" s="53"/>
    </row>
    <row r="105" spans="2:15" x14ac:dyDescent="0.25">
      <c r="B105" s="52"/>
      <c r="C105" s="24"/>
      <c r="D105" s="24"/>
      <c r="E105" s="44"/>
      <c r="F105" s="24"/>
      <c r="G105" s="44"/>
      <c r="H105" s="24"/>
      <c r="I105" s="44"/>
      <c r="J105" s="45"/>
      <c r="K105" s="44"/>
      <c r="L105" s="24"/>
      <c r="M105" s="44"/>
      <c r="N105" s="24"/>
      <c r="O105" s="53"/>
    </row>
    <row r="106" spans="2:15" x14ac:dyDescent="0.25">
      <c r="B106" s="52"/>
      <c r="C106" s="24"/>
      <c r="D106" s="24"/>
      <c r="E106" s="44"/>
      <c r="F106" s="24"/>
      <c r="G106" s="44"/>
      <c r="H106" s="24"/>
      <c r="I106" s="44"/>
      <c r="J106" s="45"/>
      <c r="K106" s="44"/>
      <c r="L106" s="24"/>
      <c r="M106" s="44"/>
      <c r="N106" s="24"/>
      <c r="O106" s="53"/>
    </row>
    <row r="107" spans="2:15" x14ac:dyDescent="0.25">
      <c r="B107" s="52"/>
      <c r="C107" s="24"/>
      <c r="D107" s="24"/>
      <c r="E107" s="44"/>
      <c r="F107" s="24"/>
      <c r="G107" s="44"/>
      <c r="H107" s="24"/>
      <c r="I107" s="44"/>
      <c r="J107" s="45"/>
      <c r="K107" s="44"/>
      <c r="L107" s="24"/>
      <c r="M107" s="44"/>
      <c r="N107" s="24"/>
      <c r="O107" s="53"/>
    </row>
    <row r="108" spans="2:15" ht="23.25" x14ac:dyDescent="0.25">
      <c r="B108" s="52"/>
      <c r="C108" s="24"/>
      <c r="D108" s="24"/>
      <c r="E108" s="44"/>
      <c r="F108" s="24"/>
      <c r="G108" s="44"/>
      <c r="H108" s="24"/>
      <c r="I108" s="59"/>
      <c r="J108" s="45"/>
      <c r="K108" s="44"/>
      <c r="L108" s="24"/>
      <c r="M108" s="44"/>
      <c r="N108" s="24"/>
      <c r="O108" s="53"/>
    </row>
    <row r="109" spans="2:15" x14ac:dyDescent="0.25">
      <c r="B109" s="52"/>
      <c r="C109" s="24"/>
      <c r="D109" s="24"/>
      <c r="E109" s="44"/>
      <c r="F109" s="24"/>
      <c r="G109" s="44"/>
      <c r="H109" s="24"/>
      <c r="I109" s="44"/>
      <c r="J109" s="45"/>
      <c r="K109" s="44"/>
      <c r="L109" s="24"/>
      <c r="M109" s="44"/>
      <c r="N109" s="24"/>
      <c r="O109" s="53"/>
    </row>
    <row r="110" spans="2:15" x14ac:dyDescent="0.25">
      <c r="B110" s="52"/>
      <c r="C110" s="24"/>
      <c r="D110" s="24"/>
      <c r="E110" s="44"/>
      <c r="F110" s="24"/>
      <c r="G110" s="44"/>
      <c r="H110" s="24"/>
      <c r="I110" s="44"/>
      <c r="J110" s="45"/>
      <c r="K110" s="44"/>
      <c r="L110" s="24"/>
      <c r="M110" s="44"/>
      <c r="N110" s="24"/>
      <c r="O110" s="53"/>
    </row>
    <row r="111" spans="2:15" x14ac:dyDescent="0.25">
      <c r="B111" s="52"/>
      <c r="C111" s="24"/>
      <c r="D111" s="24"/>
      <c r="E111" s="44"/>
      <c r="F111" s="24"/>
      <c r="G111" s="44"/>
      <c r="H111" s="24"/>
      <c r="I111" s="44"/>
      <c r="J111" s="45"/>
      <c r="K111" s="44"/>
      <c r="L111" s="24"/>
      <c r="M111" s="44"/>
      <c r="N111" s="24"/>
      <c r="O111" s="53"/>
    </row>
    <row r="112" spans="2:15" x14ac:dyDescent="0.25">
      <c r="B112" s="52"/>
      <c r="C112" s="24"/>
      <c r="D112" s="24"/>
      <c r="E112" s="44"/>
      <c r="F112" s="24"/>
      <c r="G112" s="44"/>
      <c r="H112" s="24"/>
      <c r="I112" s="44"/>
      <c r="J112" s="45"/>
      <c r="K112" s="44"/>
      <c r="L112" s="24"/>
      <c r="M112" s="44"/>
      <c r="N112" s="24"/>
      <c r="O112" s="53"/>
    </row>
    <row r="113" spans="2:15" x14ac:dyDescent="0.25">
      <c r="B113" s="52"/>
      <c r="C113" s="24"/>
      <c r="D113" s="24"/>
      <c r="E113" s="44"/>
      <c r="F113" s="24"/>
      <c r="G113" s="44"/>
      <c r="H113" s="24"/>
      <c r="I113" s="44"/>
      <c r="J113" s="45"/>
      <c r="K113" s="44"/>
      <c r="L113" s="24"/>
      <c r="M113" s="44"/>
      <c r="N113" s="24"/>
      <c r="O113" s="53"/>
    </row>
    <row r="114" spans="2:15" x14ac:dyDescent="0.25">
      <c r="B114" s="52"/>
      <c r="C114" s="24"/>
      <c r="D114" s="24"/>
      <c r="E114" s="44"/>
      <c r="F114" s="24"/>
      <c r="G114" s="44"/>
      <c r="H114" s="24"/>
      <c r="I114" s="44"/>
      <c r="J114" s="45"/>
      <c r="K114" s="44"/>
      <c r="L114" s="24"/>
      <c r="M114" s="44"/>
      <c r="N114" s="24"/>
      <c r="O114" s="53"/>
    </row>
    <row r="115" spans="2:15" x14ac:dyDescent="0.25">
      <c r="B115" s="52"/>
      <c r="C115" s="24"/>
      <c r="D115" s="24"/>
      <c r="E115" s="44"/>
      <c r="F115" s="24"/>
      <c r="G115" s="44"/>
      <c r="H115" s="24"/>
      <c r="I115" s="44"/>
      <c r="J115" s="45"/>
      <c r="K115" s="44"/>
      <c r="L115" s="24"/>
      <c r="M115" s="44"/>
      <c r="N115" s="24"/>
      <c r="O115" s="53"/>
    </row>
    <row r="116" spans="2:15" x14ac:dyDescent="0.25">
      <c r="B116" s="52"/>
      <c r="C116" s="24"/>
      <c r="D116" s="24"/>
      <c r="E116" s="44"/>
      <c r="F116" s="24"/>
      <c r="G116" s="44"/>
      <c r="H116" s="24"/>
      <c r="I116" s="44"/>
      <c r="J116" s="45"/>
      <c r="K116" s="44"/>
      <c r="L116" s="24"/>
      <c r="M116" s="44"/>
      <c r="N116" s="24"/>
      <c r="O116" s="53"/>
    </row>
    <row r="117" spans="2:15" x14ac:dyDescent="0.25">
      <c r="B117" s="52"/>
      <c r="C117" s="24"/>
      <c r="D117" s="24"/>
      <c r="E117" s="44"/>
      <c r="F117" s="24"/>
      <c r="G117" s="44"/>
      <c r="H117" s="24"/>
      <c r="I117" s="44"/>
      <c r="J117" s="45"/>
      <c r="K117" s="44"/>
      <c r="L117" s="24"/>
      <c r="M117" s="44"/>
      <c r="N117" s="24"/>
      <c r="O117" s="53"/>
    </row>
    <row r="118" spans="2:15" x14ac:dyDescent="0.25">
      <c r="B118" s="52"/>
      <c r="C118" s="24"/>
      <c r="D118" s="24"/>
      <c r="E118" s="44"/>
      <c r="F118" s="24"/>
      <c r="G118" s="44"/>
      <c r="H118" s="24"/>
      <c r="I118" s="44"/>
      <c r="J118" s="45"/>
      <c r="K118" s="44"/>
      <c r="L118" s="24"/>
      <c r="M118" s="44"/>
      <c r="N118" s="24"/>
      <c r="O118" s="53"/>
    </row>
    <row r="119" spans="2:15" x14ac:dyDescent="0.25">
      <c r="B119" s="52"/>
      <c r="C119" s="24"/>
      <c r="D119" s="24"/>
      <c r="E119" s="44"/>
      <c r="F119" s="24"/>
      <c r="G119" s="44"/>
      <c r="H119" s="24"/>
      <c r="I119" s="44"/>
      <c r="J119" s="45"/>
      <c r="K119" s="44"/>
      <c r="L119" s="24"/>
      <c r="M119" s="44"/>
      <c r="N119" s="24"/>
      <c r="O119" s="53"/>
    </row>
    <row r="120" spans="2:15" x14ac:dyDescent="0.25">
      <c r="B120" s="52"/>
      <c r="C120" s="24"/>
      <c r="D120" s="24"/>
      <c r="E120" s="44"/>
      <c r="F120" s="24"/>
      <c r="G120" s="44"/>
      <c r="H120" s="24"/>
      <c r="I120" s="44"/>
      <c r="J120" s="45"/>
      <c r="K120" s="44"/>
      <c r="L120" s="24"/>
      <c r="M120" s="44"/>
      <c r="N120" s="24"/>
      <c r="O120" s="53"/>
    </row>
    <row r="121" spans="2:15" x14ac:dyDescent="0.25">
      <c r="B121" s="52"/>
      <c r="C121" s="24"/>
      <c r="D121" s="24"/>
      <c r="E121" s="44"/>
      <c r="F121" s="24"/>
      <c r="G121" s="44"/>
      <c r="H121" s="24"/>
      <c r="I121" s="44"/>
      <c r="J121" s="45"/>
      <c r="K121" s="44"/>
      <c r="L121" s="24"/>
      <c r="M121" s="44"/>
      <c r="N121" s="24"/>
      <c r="O121" s="53"/>
    </row>
    <row r="122" spans="2:15" x14ac:dyDescent="0.25">
      <c r="B122" s="52"/>
      <c r="C122" s="24"/>
      <c r="D122" s="24"/>
      <c r="E122" s="44"/>
      <c r="F122" s="24"/>
      <c r="G122" s="44"/>
      <c r="H122" s="24"/>
      <c r="I122" s="44"/>
      <c r="J122" s="45"/>
      <c r="K122" s="44"/>
      <c r="L122" s="24"/>
      <c r="M122" s="44"/>
      <c r="N122" s="24"/>
      <c r="O122" s="53"/>
    </row>
    <row r="123" spans="2:15" x14ac:dyDescent="0.25">
      <c r="B123" s="52"/>
      <c r="C123" s="24"/>
      <c r="D123" s="24"/>
      <c r="E123" s="44"/>
      <c r="F123" s="24"/>
      <c r="G123" s="44"/>
      <c r="H123" s="24"/>
      <c r="I123" s="44"/>
      <c r="J123" s="45"/>
      <c r="K123" s="44"/>
      <c r="L123" s="24"/>
      <c r="M123" s="44"/>
      <c r="N123" s="24"/>
      <c r="O123" s="53"/>
    </row>
    <row r="124" spans="2:15" x14ac:dyDescent="0.25">
      <c r="B124" s="52"/>
      <c r="C124" s="24"/>
      <c r="D124" s="24"/>
      <c r="E124" s="44"/>
      <c r="F124" s="24"/>
      <c r="G124" s="44"/>
      <c r="H124" s="24"/>
      <c r="I124" s="44"/>
      <c r="J124" s="45"/>
      <c r="K124" s="44"/>
      <c r="L124" s="24"/>
      <c r="M124" s="44"/>
      <c r="N124" s="24"/>
      <c r="O124" s="53"/>
    </row>
    <row r="125" spans="2:15" x14ac:dyDescent="0.25">
      <c r="B125" s="52"/>
      <c r="C125" s="24"/>
      <c r="D125" s="24"/>
      <c r="E125" s="44"/>
      <c r="F125" s="24"/>
      <c r="G125" s="44"/>
      <c r="H125" s="24"/>
      <c r="I125" s="44"/>
      <c r="J125" s="45"/>
      <c r="K125" s="44"/>
      <c r="L125" s="24"/>
      <c r="M125" s="44"/>
      <c r="N125" s="24"/>
      <c r="O125" s="53"/>
    </row>
    <row r="126" spans="2:15" x14ac:dyDescent="0.25">
      <c r="B126" s="52"/>
      <c r="C126" s="24"/>
      <c r="D126" s="24"/>
      <c r="E126" s="44"/>
      <c r="F126" s="24"/>
      <c r="G126" s="44"/>
      <c r="H126" s="24"/>
      <c r="I126" s="44"/>
      <c r="J126" s="45"/>
      <c r="K126" s="44"/>
      <c r="L126" s="24"/>
      <c r="M126" s="44"/>
      <c r="N126" s="24"/>
      <c r="O126" s="53"/>
    </row>
    <row r="127" spans="2:15" x14ac:dyDescent="0.25">
      <c r="B127" s="52"/>
      <c r="C127" s="24"/>
      <c r="D127" s="24"/>
      <c r="E127" s="44"/>
      <c r="F127" s="24"/>
      <c r="G127" s="44"/>
      <c r="H127" s="24"/>
      <c r="I127" s="44"/>
      <c r="J127" s="45"/>
      <c r="K127" s="44"/>
      <c r="L127" s="24"/>
      <c r="M127" s="44"/>
      <c r="N127" s="24"/>
      <c r="O127" s="53"/>
    </row>
    <row r="128" spans="2:15" x14ac:dyDescent="0.25">
      <c r="B128" s="52"/>
      <c r="C128" s="24"/>
      <c r="D128" s="24"/>
      <c r="E128" s="44"/>
      <c r="F128" s="24"/>
      <c r="G128" s="44"/>
      <c r="H128" s="24"/>
      <c r="I128" s="44"/>
      <c r="J128" s="45"/>
      <c r="K128" s="44"/>
      <c r="L128" s="24"/>
      <c r="M128" s="44"/>
      <c r="N128" s="24"/>
      <c r="O128" s="53"/>
    </row>
    <row r="129" spans="2:15" x14ac:dyDescent="0.25">
      <c r="B129" s="52"/>
      <c r="C129" s="24"/>
      <c r="D129" s="24"/>
      <c r="E129" s="44"/>
      <c r="F129" s="24"/>
      <c r="G129" s="44"/>
      <c r="H129" s="24"/>
      <c r="I129" s="44"/>
      <c r="J129" s="45"/>
      <c r="K129" s="44"/>
      <c r="L129" s="24"/>
      <c r="M129" s="44"/>
      <c r="N129" s="24"/>
      <c r="O129" s="53"/>
    </row>
    <row r="130" spans="2:15" ht="13.5" thickBot="1" x14ac:dyDescent="0.3">
      <c r="B130" s="54"/>
      <c r="C130" s="55"/>
      <c r="D130" s="55"/>
      <c r="E130" s="56"/>
      <c r="F130" s="55"/>
      <c r="G130" s="56"/>
      <c r="H130" s="55"/>
      <c r="I130" s="56"/>
      <c r="J130" s="57"/>
      <c r="K130" s="56"/>
      <c r="L130" s="55"/>
      <c r="M130" s="56"/>
      <c r="N130" s="55"/>
      <c r="O130" s="58"/>
    </row>
    <row r="132" spans="2:15" ht="13.5" thickBot="1" x14ac:dyDescent="0.3"/>
    <row r="133" spans="2:15" x14ac:dyDescent="0.25">
      <c r="B133" s="47"/>
      <c r="C133" s="48"/>
      <c r="D133" s="48"/>
      <c r="E133" s="49"/>
      <c r="F133" s="48"/>
      <c r="G133" s="49"/>
      <c r="H133" s="48"/>
      <c r="I133" s="49"/>
      <c r="J133" s="50"/>
      <c r="K133" s="49"/>
      <c r="L133" s="48"/>
      <c r="M133" s="49"/>
      <c r="N133" s="48"/>
      <c r="O133" s="51"/>
    </row>
    <row r="134" spans="2:15" x14ac:dyDescent="0.25">
      <c r="B134" s="52"/>
      <c r="C134" s="24"/>
      <c r="D134" s="24"/>
      <c r="E134" s="44"/>
      <c r="F134" s="24"/>
      <c r="G134" s="44"/>
      <c r="H134" s="24"/>
      <c r="I134" s="44"/>
      <c r="J134" s="45"/>
      <c r="K134" s="44"/>
      <c r="L134" s="24"/>
      <c r="M134" s="44"/>
      <c r="N134" s="24"/>
      <c r="O134" s="53"/>
    </row>
    <row r="135" spans="2:15" x14ac:dyDescent="0.25">
      <c r="B135" s="52"/>
      <c r="C135" s="100"/>
      <c r="D135" s="24"/>
      <c r="E135" s="44"/>
      <c r="F135" s="24"/>
      <c r="G135" s="44"/>
      <c r="H135" s="24"/>
      <c r="I135" s="44"/>
      <c r="J135" s="45"/>
      <c r="K135" s="44"/>
      <c r="L135" s="24"/>
      <c r="M135" s="44"/>
      <c r="N135" s="24"/>
      <c r="O135" s="53"/>
    </row>
    <row r="136" spans="2:15" ht="23.25" x14ac:dyDescent="0.25">
      <c r="B136" s="52"/>
      <c r="C136" s="59" t="s">
        <v>60</v>
      </c>
      <c r="D136" s="24"/>
      <c r="E136" s="44"/>
      <c r="F136" s="24"/>
      <c r="G136" s="44"/>
      <c r="H136" s="24"/>
      <c r="I136" s="44"/>
      <c r="J136" s="45"/>
      <c r="K136" s="44"/>
      <c r="L136" s="24"/>
      <c r="M136" s="44"/>
      <c r="N136" s="24"/>
      <c r="O136" s="53"/>
    </row>
    <row r="137" spans="2:15" x14ac:dyDescent="0.25">
      <c r="B137" s="52"/>
      <c r="C137" s="24"/>
      <c r="D137" s="24"/>
      <c r="E137" s="44"/>
      <c r="F137" s="24"/>
      <c r="G137" s="44"/>
      <c r="H137" s="24"/>
      <c r="I137" s="44"/>
      <c r="J137" s="45"/>
      <c r="K137" s="44"/>
      <c r="L137" s="24"/>
      <c r="M137" s="44"/>
      <c r="N137" s="24"/>
      <c r="O137" s="53"/>
    </row>
    <row r="138" spans="2:15" x14ac:dyDescent="0.25">
      <c r="B138" s="52"/>
      <c r="C138" s="24"/>
      <c r="D138" s="24"/>
      <c r="E138" s="44"/>
      <c r="F138" s="24"/>
      <c r="G138" s="44"/>
      <c r="H138" s="24"/>
      <c r="I138" s="44"/>
      <c r="J138" s="45"/>
      <c r="K138" s="44"/>
      <c r="L138" s="24"/>
      <c r="M138" s="44"/>
      <c r="N138" s="24"/>
      <c r="O138" s="53"/>
    </row>
    <row r="139" spans="2:15" ht="18" x14ac:dyDescent="0.25">
      <c r="B139" s="52"/>
      <c r="C139" s="24"/>
      <c r="D139" s="24"/>
      <c r="E139" s="44"/>
      <c r="F139" s="24"/>
      <c r="G139" s="44"/>
      <c r="H139" s="24"/>
      <c r="I139" s="44"/>
      <c r="J139" s="98"/>
      <c r="K139" s="44"/>
      <c r="L139" s="24"/>
      <c r="M139" s="44"/>
      <c r="N139" s="24"/>
      <c r="O139" s="53"/>
    </row>
    <row r="140" spans="2:15" x14ac:dyDescent="0.25">
      <c r="B140" s="52"/>
      <c r="C140" s="24"/>
      <c r="D140" s="24"/>
      <c r="E140" s="97"/>
      <c r="F140" s="24"/>
      <c r="G140" s="44"/>
      <c r="H140" s="24"/>
      <c r="I140" s="44"/>
      <c r="J140" s="45"/>
      <c r="K140" s="44"/>
      <c r="L140" s="24"/>
      <c r="M140" s="44"/>
      <c r="N140" s="24"/>
      <c r="O140" s="53"/>
    </row>
    <row r="141" spans="2:15" x14ac:dyDescent="0.25">
      <c r="B141" s="52"/>
      <c r="C141" s="24"/>
      <c r="D141" s="24"/>
      <c r="E141" s="44"/>
      <c r="F141" s="24"/>
      <c r="G141" s="44"/>
      <c r="H141" s="24"/>
      <c r="I141" s="44"/>
      <c r="J141" s="45"/>
      <c r="K141" s="44"/>
      <c r="L141" s="24"/>
      <c r="M141" s="44"/>
      <c r="N141" s="24"/>
      <c r="O141" s="53"/>
    </row>
    <row r="142" spans="2:15" x14ac:dyDescent="0.25">
      <c r="B142" s="52"/>
      <c r="C142" s="100"/>
      <c r="D142" s="24"/>
      <c r="E142" s="44"/>
      <c r="F142" s="24"/>
      <c r="G142" s="44"/>
      <c r="H142" s="24"/>
      <c r="I142" s="44"/>
      <c r="J142" s="45"/>
      <c r="K142" s="44"/>
      <c r="L142" s="24"/>
      <c r="M142" s="44"/>
      <c r="N142" s="24"/>
      <c r="O142" s="53"/>
    </row>
    <row r="143" spans="2:15" x14ac:dyDescent="0.25">
      <c r="B143" s="52"/>
      <c r="C143" s="24"/>
      <c r="D143" s="24"/>
      <c r="E143" s="44"/>
      <c r="F143" s="24"/>
      <c r="G143" s="44"/>
      <c r="H143" s="24"/>
      <c r="I143" s="44"/>
      <c r="J143" s="45"/>
      <c r="K143" s="44"/>
      <c r="L143" s="24"/>
      <c r="M143" s="44"/>
      <c r="N143" s="24"/>
      <c r="O143" s="53"/>
    </row>
    <row r="144" spans="2:15" x14ac:dyDescent="0.25">
      <c r="B144" s="52"/>
      <c r="C144" s="24"/>
      <c r="D144" s="24"/>
      <c r="E144" s="44"/>
      <c r="F144" s="24"/>
      <c r="G144" s="44"/>
      <c r="H144" s="24"/>
      <c r="I144" s="44"/>
      <c r="J144" s="45"/>
      <c r="K144" s="44"/>
      <c r="L144" s="24"/>
      <c r="M144" s="44"/>
      <c r="N144" s="24"/>
      <c r="O144" s="53"/>
    </row>
    <row r="145" spans="2:15" x14ac:dyDescent="0.25">
      <c r="B145" s="52"/>
      <c r="C145" s="24"/>
      <c r="D145" s="24"/>
      <c r="E145" s="44"/>
      <c r="F145" s="24"/>
      <c r="G145" s="44"/>
      <c r="H145" s="24"/>
      <c r="I145" s="44"/>
      <c r="J145" s="45"/>
      <c r="K145" s="44"/>
      <c r="L145" s="24"/>
      <c r="M145" s="44"/>
      <c r="N145" s="24"/>
      <c r="O145" s="53"/>
    </row>
    <row r="146" spans="2:15" x14ac:dyDescent="0.25">
      <c r="B146" s="52"/>
      <c r="C146" s="24"/>
      <c r="D146" s="24"/>
      <c r="E146" s="44"/>
      <c r="F146" s="24"/>
      <c r="G146" s="44"/>
      <c r="H146" s="24"/>
      <c r="I146" s="44"/>
      <c r="J146" s="45"/>
      <c r="K146" s="44"/>
      <c r="L146" s="24"/>
      <c r="M146" s="44"/>
      <c r="N146" s="24"/>
      <c r="O146" s="53"/>
    </row>
    <row r="147" spans="2:15" ht="18" x14ac:dyDescent="0.25">
      <c r="B147" s="52"/>
      <c r="C147" s="24"/>
      <c r="D147" s="24"/>
      <c r="E147" s="44"/>
      <c r="F147" s="24"/>
      <c r="G147" s="44"/>
      <c r="H147" s="24"/>
      <c r="I147" s="44"/>
      <c r="J147" s="46"/>
      <c r="K147" s="44"/>
      <c r="L147" s="24"/>
      <c r="M147" s="44"/>
      <c r="N147" s="24"/>
      <c r="O147" s="53"/>
    </row>
    <row r="148" spans="2:15" x14ac:dyDescent="0.25">
      <c r="B148" s="52"/>
      <c r="C148" s="24"/>
      <c r="D148" s="24"/>
      <c r="E148" s="44"/>
      <c r="F148" s="24"/>
      <c r="G148" s="44"/>
      <c r="H148" s="24"/>
      <c r="I148" s="44"/>
      <c r="J148" s="45"/>
      <c r="K148" s="44"/>
      <c r="L148" s="24"/>
      <c r="M148" s="44"/>
      <c r="N148" s="24"/>
      <c r="O148" s="53"/>
    </row>
    <row r="149" spans="2:15" x14ac:dyDescent="0.25">
      <c r="B149" s="52"/>
      <c r="C149" s="24"/>
      <c r="D149" s="24"/>
      <c r="E149" s="44"/>
      <c r="F149" s="24"/>
      <c r="G149" s="44"/>
      <c r="H149" s="24"/>
      <c r="I149" s="44"/>
      <c r="J149" s="45"/>
      <c r="K149" s="44"/>
      <c r="L149" s="24"/>
      <c r="M149" s="44"/>
      <c r="N149" s="24"/>
      <c r="O149" s="53"/>
    </row>
    <row r="150" spans="2:15" x14ac:dyDescent="0.25">
      <c r="B150" s="52"/>
      <c r="C150" s="100"/>
      <c r="D150" s="24"/>
      <c r="E150" s="44"/>
      <c r="F150" s="24"/>
      <c r="G150" s="44"/>
      <c r="H150" s="24"/>
      <c r="I150" s="44"/>
      <c r="J150" s="45"/>
      <c r="K150" s="44"/>
      <c r="L150" s="24"/>
      <c r="M150" s="44"/>
      <c r="N150" s="24"/>
      <c r="O150" s="53"/>
    </row>
    <row r="151" spans="2:15" x14ac:dyDescent="0.25">
      <c r="B151" s="52"/>
      <c r="C151" s="24"/>
      <c r="D151" s="24"/>
      <c r="E151" s="44"/>
      <c r="F151" s="24"/>
      <c r="G151" s="44"/>
      <c r="H151" s="24"/>
      <c r="I151" s="44"/>
      <c r="J151" s="45"/>
      <c r="K151" s="44"/>
      <c r="L151" s="24"/>
      <c r="M151" s="44"/>
      <c r="N151" s="24"/>
      <c r="O151" s="53"/>
    </row>
    <row r="152" spans="2:15" x14ac:dyDescent="0.25">
      <c r="B152" s="52"/>
      <c r="C152" s="24"/>
      <c r="D152" s="24"/>
      <c r="E152" s="44"/>
      <c r="F152" s="24"/>
      <c r="G152" s="44"/>
      <c r="H152" s="24"/>
      <c r="I152" s="44"/>
      <c r="J152" s="45"/>
      <c r="K152" s="44"/>
      <c r="L152" s="24"/>
      <c r="M152" s="44"/>
      <c r="N152" s="24"/>
      <c r="O152" s="53"/>
    </row>
    <row r="153" spans="2:15" x14ac:dyDescent="0.25">
      <c r="B153" s="52"/>
      <c r="C153" s="24"/>
      <c r="D153" s="24"/>
      <c r="E153" s="44"/>
      <c r="F153" s="24"/>
      <c r="G153" s="44"/>
      <c r="H153" s="24"/>
      <c r="I153" s="44"/>
      <c r="J153" s="45"/>
      <c r="K153" s="44"/>
      <c r="L153" s="24"/>
      <c r="M153" s="44"/>
      <c r="N153" s="24"/>
      <c r="O153" s="53"/>
    </row>
    <row r="154" spans="2:15" ht="18" x14ac:dyDescent="0.25">
      <c r="B154" s="52"/>
      <c r="C154" s="24"/>
      <c r="D154" s="24"/>
      <c r="E154" s="44"/>
      <c r="F154" s="24"/>
      <c r="G154" s="44"/>
      <c r="H154" s="24"/>
      <c r="I154" s="44"/>
      <c r="J154" s="46"/>
      <c r="K154" s="44"/>
      <c r="L154" s="24"/>
      <c r="M154" s="44"/>
      <c r="N154" s="24"/>
      <c r="O154" s="53"/>
    </row>
    <row r="155" spans="2:15" x14ac:dyDescent="0.25">
      <c r="B155" s="52"/>
      <c r="C155" s="24"/>
      <c r="D155" s="24"/>
      <c r="E155" s="44"/>
      <c r="F155" s="24"/>
      <c r="G155" s="44"/>
      <c r="H155" s="24"/>
      <c r="I155" s="44"/>
      <c r="J155" s="45"/>
      <c r="K155" s="44"/>
      <c r="L155" s="24"/>
      <c r="M155" s="44"/>
      <c r="N155" s="24"/>
      <c r="O155" s="53"/>
    </row>
    <row r="156" spans="2:15" x14ac:dyDescent="0.25">
      <c r="B156" s="52"/>
      <c r="C156" s="24"/>
      <c r="D156" s="24"/>
      <c r="E156" s="44"/>
      <c r="F156" s="24"/>
      <c r="G156" s="44"/>
      <c r="H156" s="24"/>
      <c r="I156" s="44"/>
      <c r="J156" s="45"/>
      <c r="K156" s="44"/>
      <c r="L156" s="24"/>
      <c r="M156" s="44"/>
      <c r="N156" s="24"/>
      <c r="O156" s="53"/>
    </row>
    <row r="157" spans="2:15" x14ac:dyDescent="0.25">
      <c r="B157" s="52"/>
      <c r="C157" s="100"/>
      <c r="D157" s="24"/>
      <c r="E157" s="44"/>
      <c r="F157" s="24"/>
      <c r="G157" s="44"/>
      <c r="H157" s="24"/>
      <c r="I157" s="44"/>
      <c r="J157" s="45"/>
      <c r="K157" s="44"/>
      <c r="L157" s="24"/>
      <c r="M157" s="44"/>
      <c r="N157" s="24"/>
      <c r="O157" s="53"/>
    </row>
    <row r="158" spans="2:15" x14ac:dyDescent="0.25">
      <c r="B158" s="52"/>
      <c r="C158" s="24"/>
      <c r="D158" s="24"/>
      <c r="E158" s="44"/>
      <c r="F158" s="24"/>
      <c r="G158" s="44"/>
      <c r="H158" s="24"/>
      <c r="I158" s="44"/>
      <c r="J158" s="45"/>
      <c r="K158" s="44"/>
      <c r="L158" s="24"/>
      <c r="M158" s="44"/>
      <c r="N158" s="24"/>
      <c r="O158" s="53"/>
    </row>
    <row r="159" spans="2:15" x14ac:dyDescent="0.25">
      <c r="B159" s="52"/>
      <c r="C159" s="24"/>
      <c r="D159" s="24"/>
      <c r="E159" s="44"/>
      <c r="F159" s="24"/>
      <c r="G159" s="44"/>
      <c r="H159" s="24"/>
      <c r="I159" s="44"/>
      <c r="J159" s="45"/>
      <c r="K159" s="44"/>
      <c r="L159" s="24"/>
      <c r="M159" s="44"/>
      <c r="N159" s="24"/>
      <c r="O159" s="53"/>
    </row>
    <row r="160" spans="2:15" x14ac:dyDescent="0.25">
      <c r="B160" s="52"/>
      <c r="C160" s="24"/>
      <c r="D160" s="24"/>
      <c r="E160" s="44"/>
      <c r="F160" s="24"/>
      <c r="G160" s="44"/>
      <c r="H160" s="24"/>
      <c r="I160" s="44"/>
      <c r="J160" s="45"/>
      <c r="K160" s="44"/>
      <c r="L160" s="24"/>
      <c r="M160" s="44"/>
      <c r="N160" s="24"/>
      <c r="O160" s="53"/>
    </row>
    <row r="161" spans="2:15" x14ac:dyDescent="0.25">
      <c r="B161" s="52"/>
      <c r="C161" s="24"/>
      <c r="D161" s="24"/>
      <c r="E161" s="44"/>
      <c r="F161" s="24"/>
      <c r="G161" s="44"/>
      <c r="H161" s="24"/>
      <c r="I161" s="44"/>
      <c r="J161" s="45"/>
      <c r="K161" s="44"/>
      <c r="L161" s="24"/>
      <c r="M161" s="44"/>
      <c r="N161" s="24"/>
      <c r="O161" s="53"/>
    </row>
    <row r="162" spans="2:15" x14ac:dyDescent="0.25">
      <c r="B162" s="52"/>
      <c r="C162" s="24"/>
      <c r="D162" s="24"/>
      <c r="E162" s="44"/>
      <c r="F162" s="24"/>
      <c r="G162" s="44"/>
      <c r="H162" s="24"/>
      <c r="I162" s="44"/>
      <c r="J162" s="45"/>
      <c r="K162" s="44"/>
      <c r="L162" s="24"/>
      <c r="M162" s="44"/>
      <c r="N162" s="24"/>
      <c r="O162" s="53"/>
    </row>
    <row r="163" spans="2:15" x14ac:dyDescent="0.25">
      <c r="B163" s="52"/>
      <c r="C163" s="24"/>
      <c r="D163" s="24"/>
      <c r="E163" s="44"/>
      <c r="F163" s="24"/>
      <c r="G163" s="44"/>
      <c r="H163" s="24"/>
      <c r="I163" s="44"/>
      <c r="J163" s="45"/>
      <c r="K163" s="44"/>
      <c r="L163" s="24"/>
      <c r="M163" s="44"/>
      <c r="N163" s="24"/>
      <c r="O163" s="53"/>
    </row>
    <row r="164" spans="2:15" x14ac:dyDescent="0.25">
      <c r="B164" s="52"/>
      <c r="C164" s="24"/>
      <c r="D164" s="24"/>
      <c r="E164" s="44"/>
      <c r="F164" s="24"/>
      <c r="G164" s="44"/>
      <c r="H164" s="24"/>
      <c r="I164" s="44"/>
      <c r="J164" s="45"/>
      <c r="K164" s="44"/>
      <c r="L164" s="24"/>
      <c r="M164" s="44"/>
      <c r="N164" s="24"/>
      <c r="O164" s="53"/>
    </row>
    <row r="165" spans="2:15" x14ac:dyDescent="0.25">
      <c r="B165" s="52"/>
      <c r="C165" s="24"/>
      <c r="D165" s="24"/>
      <c r="E165" s="44"/>
      <c r="F165" s="24"/>
      <c r="G165" s="44"/>
      <c r="H165" s="24"/>
      <c r="I165" s="44"/>
      <c r="J165" s="45"/>
      <c r="K165" s="44"/>
      <c r="L165" s="24"/>
      <c r="M165" s="44"/>
      <c r="N165" s="24"/>
      <c r="O165" s="53"/>
    </row>
    <row r="166" spans="2:15" x14ac:dyDescent="0.25">
      <c r="B166" s="52"/>
      <c r="C166" s="24"/>
      <c r="D166" s="24"/>
      <c r="E166" s="44"/>
      <c r="F166" s="24"/>
      <c r="G166" s="44"/>
      <c r="H166" s="24"/>
      <c r="I166" s="44"/>
      <c r="J166" s="45"/>
      <c r="K166" s="44"/>
      <c r="L166" s="24"/>
      <c r="M166" s="44"/>
      <c r="N166" s="24"/>
      <c r="O166" s="53"/>
    </row>
    <row r="167" spans="2:15" x14ac:dyDescent="0.25">
      <c r="B167" s="52"/>
      <c r="C167" s="24"/>
      <c r="D167" s="24"/>
      <c r="E167" s="44"/>
      <c r="F167" s="24"/>
      <c r="G167" s="44"/>
      <c r="H167" s="24"/>
      <c r="I167" s="44"/>
      <c r="J167" s="45"/>
      <c r="K167" s="44"/>
      <c r="L167" s="24"/>
      <c r="M167" s="44"/>
      <c r="N167" s="24"/>
      <c r="O167" s="53"/>
    </row>
    <row r="168" spans="2:15" x14ac:dyDescent="0.25">
      <c r="B168" s="52"/>
      <c r="C168" s="24"/>
      <c r="D168" s="24"/>
      <c r="E168" s="44"/>
      <c r="F168" s="24"/>
      <c r="G168" s="44"/>
      <c r="H168" s="24"/>
      <c r="I168" s="44"/>
      <c r="J168" s="45"/>
      <c r="K168" s="44"/>
      <c r="L168" s="24"/>
      <c r="M168" s="44"/>
      <c r="N168" s="24"/>
      <c r="O168" s="53"/>
    </row>
    <row r="169" spans="2:15" x14ac:dyDescent="0.25">
      <c r="B169" s="52"/>
      <c r="C169" s="24"/>
      <c r="D169" s="24"/>
      <c r="E169" s="44"/>
      <c r="F169" s="24"/>
      <c r="G169" s="44"/>
      <c r="H169" s="24"/>
      <c r="I169" s="44"/>
      <c r="J169" s="45"/>
      <c r="K169" s="44"/>
      <c r="L169" s="24"/>
      <c r="M169" s="44"/>
      <c r="N169" s="24"/>
      <c r="O169" s="53"/>
    </row>
    <row r="170" spans="2:15" x14ac:dyDescent="0.25">
      <c r="B170" s="52"/>
      <c r="C170" s="24"/>
      <c r="D170" s="24"/>
      <c r="E170" s="44"/>
      <c r="F170" s="24"/>
      <c r="G170" s="44"/>
      <c r="H170" s="24"/>
      <c r="I170" s="44"/>
      <c r="J170" s="45"/>
      <c r="K170" s="44"/>
      <c r="L170" s="24"/>
      <c r="M170" s="44"/>
      <c r="N170" s="24"/>
      <c r="O170" s="53"/>
    </row>
    <row r="171" spans="2:15" x14ac:dyDescent="0.25">
      <c r="B171" s="52"/>
      <c r="C171" s="24"/>
      <c r="D171" s="24"/>
      <c r="E171" s="44"/>
      <c r="F171" s="24"/>
      <c r="G171" s="44"/>
      <c r="H171" s="24"/>
      <c r="I171" s="44"/>
      <c r="J171" s="45"/>
      <c r="K171" s="44"/>
      <c r="L171" s="24"/>
      <c r="M171" s="44"/>
      <c r="N171" s="24"/>
      <c r="O171" s="53"/>
    </row>
    <row r="172" spans="2:15" x14ac:dyDescent="0.25">
      <c r="B172" s="52"/>
      <c r="C172" s="24"/>
      <c r="D172" s="24"/>
      <c r="E172" s="44"/>
      <c r="F172" s="24"/>
      <c r="G172" s="44"/>
      <c r="H172" s="24"/>
      <c r="I172" s="44"/>
      <c r="J172" s="45"/>
      <c r="K172" s="44"/>
      <c r="L172" s="24"/>
      <c r="M172" s="44"/>
      <c r="N172" s="24"/>
      <c r="O172" s="53"/>
    </row>
    <row r="173" spans="2:15" x14ac:dyDescent="0.25">
      <c r="B173" s="52"/>
      <c r="C173" s="24"/>
      <c r="D173" s="24"/>
      <c r="E173" s="44"/>
      <c r="F173" s="24"/>
      <c r="G173" s="44"/>
      <c r="H173" s="24"/>
      <c r="I173" s="44"/>
      <c r="J173" s="45"/>
      <c r="K173" s="44"/>
      <c r="L173" s="24"/>
      <c r="M173" s="44"/>
      <c r="N173" s="24"/>
      <c r="O173" s="53"/>
    </row>
    <row r="174" spans="2:15" x14ac:dyDescent="0.25">
      <c r="B174" s="52"/>
      <c r="C174" s="24"/>
      <c r="D174" s="24"/>
      <c r="E174" s="44"/>
      <c r="F174" s="24"/>
      <c r="G174" s="44"/>
      <c r="H174" s="24"/>
      <c r="I174" s="44"/>
      <c r="J174" s="45"/>
      <c r="K174" s="44"/>
      <c r="L174" s="24"/>
      <c r="M174" s="44"/>
      <c r="N174" s="24"/>
      <c r="O174" s="53"/>
    </row>
    <row r="175" spans="2:15" ht="13.5" thickBot="1" x14ac:dyDescent="0.3">
      <c r="B175" s="54"/>
      <c r="C175" s="55"/>
      <c r="D175" s="55"/>
      <c r="E175" s="56"/>
      <c r="F175" s="55"/>
      <c r="G175" s="56"/>
      <c r="H175" s="55"/>
      <c r="I175" s="56"/>
      <c r="J175" s="57"/>
      <c r="K175" s="56"/>
      <c r="L175" s="55"/>
      <c r="M175" s="56"/>
      <c r="N175" s="55"/>
      <c r="O175" s="58"/>
    </row>
    <row r="177" spans="2:15" ht="13.5" thickBot="1" x14ac:dyDescent="0.3"/>
    <row r="178" spans="2:15" x14ac:dyDescent="0.25">
      <c r="B178" s="47"/>
      <c r="C178" s="48"/>
      <c r="D178" s="48"/>
      <c r="E178" s="49"/>
      <c r="F178" s="48"/>
      <c r="G178" s="49"/>
      <c r="H178" s="48"/>
      <c r="I178" s="49"/>
      <c r="J178" s="50"/>
      <c r="K178" s="49"/>
      <c r="L178" s="48"/>
      <c r="M178" s="49"/>
      <c r="N178" s="48"/>
      <c r="O178" s="51"/>
    </row>
    <row r="179" spans="2:15" x14ac:dyDescent="0.25">
      <c r="B179" s="52"/>
      <c r="C179" s="24"/>
      <c r="D179" s="24"/>
      <c r="E179" s="44"/>
      <c r="F179" s="24"/>
      <c r="G179" s="44"/>
      <c r="H179" s="24"/>
      <c r="I179" s="44"/>
      <c r="J179" s="45"/>
      <c r="K179" s="44"/>
      <c r="L179" s="24"/>
      <c r="M179" s="44"/>
      <c r="N179" s="24"/>
      <c r="O179" s="53"/>
    </row>
    <row r="180" spans="2:15" x14ac:dyDescent="0.25">
      <c r="B180" s="52"/>
      <c r="C180" s="100"/>
      <c r="D180" s="24"/>
      <c r="E180" s="44"/>
      <c r="F180" s="24"/>
      <c r="G180" s="44"/>
      <c r="H180" s="24"/>
      <c r="I180" s="44"/>
      <c r="J180" s="45"/>
      <c r="K180" s="44"/>
      <c r="L180" s="24"/>
      <c r="M180" s="44"/>
      <c r="N180" s="24"/>
      <c r="O180" s="53"/>
    </row>
    <row r="181" spans="2:15" ht="23.25" x14ac:dyDescent="0.25">
      <c r="B181" s="52"/>
      <c r="C181" s="59" t="s">
        <v>73</v>
      </c>
      <c r="D181" s="24"/>
      <c r="E181" s="44"/>
      <c r="F181" s="24"/>
      <c r="G181" s="44"/>
      <c r="H181" s="24"/>
      <c r="I181" s="44"/>
      <c r="J181" s="45"/>
      <c r="K181" s="44"/>
      <c r="L181" s="24"/>
      <c r="M181" s="44"/>
      <c r="N181" s="24"/>
      <c r="O181" s="53"/>
    </row>
    <row r="182" spans="2:15" x14ac:dyDescent="0.25">
      <c r="B182" s="52"/>
      <c r="C182" s="24"/>
      <c r="D182" s="24"/>
      <c r="E182" s="44"/>
      <c r="F182" s="24"/>
      <c r="G182" s="44"/>
      <c r="H182" s="24"/>
      <c r="I182" s="44"/>
      <c r="J182" s="45"/>
      <c r="K182" s="44"/>
      <c r="L182" s="24"/>
      <c r="M182" s="44"/>
      <c r="N182" s="24"/>
      <c r="O182" s="53"/>
    </row>
    <row r="183" spans="2:15" x14ac:dyDescent="0.25">
      <c r="B183" s="52"/>
      <c r="C183" s="24"/>
      <c r="D183" s="24"/>
      <c r="E183" s="44"/>
      <c r="F183" s="24"/>
      <c r="G183" s="44"/>
      <c r="H183" s="24"/>
      <c r="I183" s="44"/>
      <c r="J183" s="45"/>
      <c r="K183" s="44"/>
      <c r="L183" s="24"/>
      <c r="M183" s="44"/>
      <c r="N183" s="24"/>
      <c r="O183" s="53"/>
    </row>
    <row r="184" spans="2:15" x14ac:dyDescent="0.25">
      <c r="B184" s="52"/>
      <c r="C184" s="24"/>
      <c r="D184" s="24"/>
      <c r="E184" s="44"/>
      <c r="F184" s="24"/>
      <c r="G184" s="44"/>
      <c r="H184" s="24"/>
      <c r="I184" s="44"/>
      <c r="J184" s="45"/>
      <c r="K184" s="44"/>
      <c r="L184" s="24"/>
      <c r="M184" s="44"/>
      <c r="N184" s="24"/>
      <c r="O184" s="53"/>
    </row>
    <row r="185" spans="2:15" x14ac:dyDescent="0.25">
      <c r="B185" s="52"/>
      <c r="C185" s="24"/>
      <c r="D185" s="24"/>
      <c r="E185" s="44"/>
      <c r="F185" s="24"/>
      <c r="G185" s="44"/>
      <c r="H185" s="24"/>
      <c r="I185" s="44"/>
      <c r="J185" s="45"/>
      <c r="K185" s="44"/>
      <c r="L185" s="24"/>
      <c r="M185" s="44"/>
      <c r="N185" s="24"/>
      <c r="O185" s="53"/>
    </row>
    <row r="186" spans="2:15" x14ac:dyDescent="0.25">
      <c r="B186" s="52"/>
      <c r="C186" s="24"/>
      <c r="D186" s="24"/>
      <c r="E186" s="44"/>
      <c r="F186" s="24"/>
      <c r="G186" s="44"/>
      <c r="H186" s="24"/>
      <c r="I186" s="44"/>
      <c r="J186" s="45"/>
      <c r="K186" s="44"/>
      <c r="L186" s="24"/>
      <c r="M186" s="44"/>
      <c r="N186" s="24"/>
      <c r="O186" s="53"/>
    </row>
    <row r="187" spans="2:15" ht="18" x14ac:dyDescent="0.25">
      <c r="B187" s="52"/>
      <c r="C187" s="46"/>
      <c r="D187" s="24"/>
      <c r="E187" s="44"/>
      <c r="F187" s="24"/>
      <c r="G187" s="44"/>
      <c r="H187" s="24"/>
      <c r="I187" s="44"/>
      <c r="J187" s="45"/>
      <c r="K187" s="44"/>
      <c r="L187" s="24"/>
      <c r="M187" s="44"/>
      <c r="N187" s="24"/>
      <c r="O187" s="53"/>
    </row>
    <row r="188" spans="2:15" x14ac:dyDescent="0.25">
      <c r="B188" s="52"/>
      <c r="C188" s="24"/>
      <c r="D188" s="24"/>
      <c r="E188" s="44"/>
      <c r="F188" s="24"/>
      <c r="G188" s="44"/>
      <c r="H188" s="24"/>
      <c r="I188" s="44"/>
      <c r="J188" s="45"/>
      <c r="K188" s="44"/>
      <c r="L188" s="24"/>
      <c r="M188" s="44"/>
      <c r="N188" s="24"/>
      <c r="O188" s="53"/>
    </row>
    <row r="189" spans="2:15" x14ac:dyDescent="0.25">
      <c r="B189" s="52"/>
      <c r="C189" s="24"/>
      <c r="D189" s="24"/>
      <c r="E189" s="44"/>
      <c r="F189" s="24"/>
      <c r="G189" s="44"/>
      <c r="H189" s="24"/>
      <c r="I189" s="44"/>
      <c r="J189" s="45"/>
      <c r="K189" s="44"/>
      <c r="L189" s="24"/>
      <c r="M189" s="44"/>
      <c r="N189" s="24"/>
      <c r="O189" s="53"/>
    </row>
    <row r="190" spans="2:15" x14ac:dyDescent="0.25">
      <c r="B190" s="52"/>
      <c r="C190" s="24"/>
      <c r="D190" s="24"/>
      <c r="E190" s="44"/>
      <c r="F190" s="24"/>
      <c r="G190" s="44"/>
      <c r="H190" s="24"/>
      <c r="I190" s="44"/>
      <c r="J190" s="45"/>
      <c r="K190" s="44"/>
      <c r="L190" s="24"/>
      <c r="M190" s="44"/>
      <c r="N190" s="24"/>
      <c r="O190" s="53"/>
    </row>
    <row r="191" spans="2:15" x14ac:dyDescent="0.25">
      <c r="B191" s="52"/>
      <c r="C191" s="24"/>
      <c r="D191" s="24"/>
      <c r="E191" s="44"/>
      <c r="F191" s="24"/>
      <c r="G191" s="44"/>
      <c r="H191" s="24"/>
      <c r="I191" s="44"/>
      <c r="J191" s="45"/>
      <c r="K191" s="44"/>
      <c r="L191" s="24"/>
      <c r="M191" s="44"/>
      <c r="N191" s="24"/>
      <c r="O191" s="53"/>
    </row>
    <row r="192" spans="2:15" x14ac:dyDescent="0.25">
      <c r="B192" s="52"/>
      <c r="C192" s="24"/>
      <c r="D192" s="24"/>
      <c r="E192" s="44"/>
      <c r="F192" s="24"/>
      <c r="G192" s="44"/>
      <c r="H192" s="24"/>
      <c r="I192" s="44"/>
      <c r="J192" s="45"/>
      <c r="K192" s="44"/>
      <c r="L192" s="24"/>
      <c r="M192" s="44"/>
      <c r="N192" s="24"/>
      <c r="O192" s="53"/>
    </row>
    <row r="193" spans="2:15" x14ac:dyDescent="0.25">
      <c r="B193" s="52"/>
      <c r="C193" s="24"/>
      <c r="D193" s="24"/>
      <c r="E193" s="44"/>
      <c r="F193" s="24"/>
      <c r="G193" s="44"/>
      <c r="H193" s="24"/>
      <c r="I193" s="44"/>
      <c r="J193" s="45"/>
      <c r="K193" s="44"/>
      <c r="L193" s="24"/>
      <c r="M193" s="44"/>
      <c r="N193" s="24"/>
      <c r="O193" s="53"/>
    </row>
    <row r="194" spans="2:15" x14ac:dyDescent="0.25">
      <c r="B194" s="52"/>
      <c r="C194" s="24"/>
      <c r="D194" s="24"/>
      <c r="E194" s="44"/>
      <c r="F194" s="24"/>
      <c r="G194" s="44"/>
      <c r="H194" s="24"/>
      <c r="I194" s="44"/>
      <c r="J194" s="45"/>
      <c r="K194" s="44"/>
      <c r="L194" s="24"/>
      <c r="M194" s="44"/>
      <c r="N194" s="24"/>
      <c r="O194" s="53"/>
    </row>
    <row r="195" spans="2:15" ht="18" x14ac:dyDescent="0.25">
      <c r="B195" s="52"/>
      <c r="C195" s="46"/>
      <c r="D195" s="24"/>
      <c r="E195" s="44"/>
      <c r="F195" s="24"/>
      <c r="G195" s="44"/>
      <c r="H195" s="24"/>
      <c r="I195" s="44"/>
      <c r="J195" s="45"/>
      <c r="K195" s="44"/>
      <c r="L195" s="24"/>
      <c r="M195" s="44"/>
      <c r="N195" s="24"/>
      <c r="O195" s="53"/>
    </row>
    <row r="196" spans="2:15" x14ac:dyDescent="0.25">
      <c r="B196" s="52"/>
      <c r="C196" s="24"/>
      <c r="D196" s="24"/>
      <c r="E196" s="44"/>
      <c r="F196" s="24"/>
      <c r="G196" s="44"/>
      <c r="H196" s="24"/>
      <c r="I196" s="44"/>
      <c r="J196" s="45"/>
      <c r="K196" s="44"/>
      <c r="L196" s="24"/>
      <c r="M196" s="44"/>
      <c r="N196" s="24"/>
      <c r="O196" s="53"/>
    </row>
    <row r="197" spans="2:15" x14ac:dyDescent="0.25">
      <c r="B197" s="52"/>
      <c r="C197" s="24"/>
      <c r="D197" s="24"/>
      <c r="E197" s="44"/>
      <c r="F197" s="24"/>
      <c r="G197" s="44"/>
      <c r="H197" s="24"/>
      <c r="I197" s="44"/>
      <c r="J197" s="45"/>
      <c r="K197" s="44"/>
      <c r="L197" s="24"/>
      <c r="M197" s="44"/>
      <c r="N197" s="24"/>
      <c r="O197" s="53"/>
    </row>
    <row r="198" spans="2:15" x14ac:dyDescent="0.25">
      <c r="B198" s="52"/>
      <c r="C198" s="24"/>
      <c r="D198" s="24"/>
      <c r="E198" s="44"/>
      <c r="F198" s="24"/>
      <c r="G198" s="44"/>
      <c r="H198" s="24"/>
      <c r="I198" s="44"/>
      <c r="J198" s="45"/>
      <c r="K198" s="44"/>
      <c r="L198" s="24"/>
      <c r="M198" s="44"/>
      <c r="N198" s="24"/>
      <c r="O198" s="53"/>
    </row>
    <row r="199" spans="2:15" x14ac:dyDescent="0.25">
      <c r="B199" s="52"/>
      <c r="C199" s="24"/>
      <c r="D199" s="24"/>
      <c r="E199" s="44"/>
      <c r="F199" s="24"/>
      <c r="G199" s="44"/>
      <c r="H199" s="24"/>
      <c r="I199" s="44"/>
      <c r="J199" s="45"/>
      <c r="K199" s="44"/>
      <c r="L199" s="24"/>
      <c r="M199" s="44"/>
      <c r="N199" s="24"/>
      <c r="O199" s="53"/>
    </row>
    <row r="200" spans="2:15" x14ac:dyDescent="0.25">
      <c r="B200" s="52"/>
      <c r="C200" s="24"/>
      <c r="D200" s="24"/>
      <c r="E200" s="44"/>
      <c r="F200" s="24"/>
      <c r="G200" s="44"/>
      <c r="H200" s="24"/>
      <c r="I200" s="44"/>
      <c r="J200" s="45"/>
      <c r="K200" s="44"/>
      <c r="L200" s="24"/>
      <c r="M200" s="44"/>
      <c r="N200" s="24"/>
      <c r="O200" s="53"/>
    </row>
    <row r="201" spans="2:15" x14ac:dyDescent="0.25">
      <c r="B201" s="52"/>
      <c r="C201" s="24"/>
      <c r="D201" s="24"/>
      <c r="E201" s="44"/>
      <c r="F201" s="24"/>
      <c r="G201" s="44"/>
      <c r="H201" s="24"/>
      <c r="I201" s="44"/>
      <c r="J201" s="45"/>
      <c r="K201" s="44"/>
      <c r="L201" s="24"/>
      <c r="M201" s="44"/>
      <c r="N201" s="24"/>
      <c r="O201" s="53"/>
    </row>
    <row r="202" spans="2:15" x14ac:dyDescent="0.25">
      <c r="B202" s="52"/>
      <c r="C202" s="24"/>
      <c r="D202" s="24"/>
      <c r="E202" s="44"/>
      <c r="F202" s="24"/>
      <c r="G202" s="44"/>
      <c r="H202" s="24"/>
      <c r="I202" s="44"/>
      <c r="J202" s="45"/>
      <c r="K202" s="44"/>
      <c r="L202" s="24"/>
      <c r="M202" s="44"/>
      <c r="N202" s="24"/>
      <c r="O202" s="53"/>
    </row>
    <row r="203" spans="2:15" x14ac:dyDescent="0.25">
      <c r="B203" s="52"/>
      <c r="C203" s="24"/>
      <c r="D203" s="24"/>
      <c r="E203" s="44"/>
      <c r="F203" s="24"/>
      <c r="G203" s="44"/>
      <c r="H203" s="24"/>
      <c r="I203" s="44"/>
      <c r="J203" s="45"/>
      <c r="K203" s="44"/>
      <c r="L203" s="24"/>
      <c r="M203" s="44"/>
      <c r="N203" s="24"/>
      <c r="O203" s="53"/>
    </row>
    <row r="204" spans="2:15" x14ac:dyDescent="0.25">
      <c r="B204" s="52"/>
      <c r="C204" s="24"/>
      <c r="D204" s="24"/>
      <c r="E204" s="44"/>
      <c r="F204" s="24"/>
      <c r="G204" s="44"/>
      <c r="H204" s="24"/>
      <c r="I204" s="44"/>
      <c r="J204" s="45"/>
      <c r="K204" s="44"/>
      <c r="L204" s="24"/>
      <c r="M204" s="44"/>
      <c r="N204" s="24"/>
      <c r="O204" s="53"/>
    </row>
    <row r="205" spans="2:15" x14ac:dyDescent="0.25">
      <c r="B205" s="52"/>
      <c r="C205" s="24"/>
      <c r="D205" s="24"/>
      <c r="E205" s="44"/>
      <c r="F205" s="24"/>
      <c r="G205" s="44"/>
      <c r="H205" s="24"/>
      <c r="I205" s="44"/>
      <c r="J205" s="45"/>
      <c r="K205" s="44"/>
      <c r="L205" s="24"/>
      <c r="M205" s="44"/>
      <c r="N205" s="24"/>
      <c r="O205" s="53"/>
    </row>
    <row r="206" spans="2:15" x14ac:dyDescent="0.25">
      <c r="B206" s="52"/>
      <c r="C206" s="24"/>
      <c r="D206" s="24"/>
      <c r="E206" s="44"/>
      <c r="F206" s="24"/>
      <c r="G206" s="44"/>
      <c r="H206" s="24"/>
      <c r="I206" s="44"/>
      <c r="J206" s="45"/>
      <c r="K206" s="44"/>
      <c r="L206" s="24"/>
      <c r="M206" s="44"/>
      <c r="N206" s="24"/>
      <c r="O206" s="53"/>
    </row>
    <row r="207" spans="2:15" x14ac:dyDescent="0.25">
      <c r="B207" s="52"/>
      <c r="C207" s="24"/>
      <c r="D207" s="24"/>
      <c r="E207" s="44"/>
      <c r="F207" s="24"/>
      <c r="G207" s="44"/>
      <c r="H207" s="24"/>
      <c r="I207" s="44"/>
      <c r="J207" s="45"/>
      <c r="K207" s="44"/>
      <c r="L207" s="24"/>
      <c r="M207" s="44"/>
      <c r="N207" s="24"/>
      <c r="O207" s="53"/>
    </row>
    <row r="208" spans="2:15" x14ac:dyDescent="0.25">
      <c r="B208" s="52"/>
      <c r="C208" s="24"/>
      <c r="D208" s="24"/>
      <c r="E208" s="44"/>
      <c r="F208" s="24"/>
      <c r="G208" s="44"/>
      <c r="H208" s="24"/>
      <c r="I208" s="44"/>
      <c r="J208" s="45"/>
      <c r="K208" s="44"/>
      <c r="L208" s="24"/>
      <c r="M208" s="44"/>
      <c r="N208" s="24"/>
      <c r="O208" s="53"/>
    </row>
    <row r="209" spans="2:15" x14ac:dyDescent="0.25">
      <c r="B209" s="52"/>
      <c r="C209" s="24"/>
      <c r="D209" s="24"/>
      <c r="E209" s="44"/>
      <c r="F209" s="24"/>
      <c r="G209" s="44"/>
      <c r="H209" s="24"/>
      <c r="I209" s="44"/>
      <c r="J209" s="45"/>
      <c r="K209" s="44"/>
      <c r="L209" s="24"/>
      <c r="M209" s="44"/>
      <c r="N209" s="24"/>
      <c r="O209" s="53"/>
    </row>
    <row r="210" spans="2:15" x14ac:dyDescent="0.25">
      <c r="B210" s="52"/>
      <c r="C210" s="24"/>
      <c r="D210" s="24"/>
      <c r="E210" s="44"/>
      <c r="F210" s="24"/>
      <c r="G210" s="44"/>
      <c r="H210" s="24"/>
      <c r="I210" s="44"/>
      <c r="J210" s="45"/>
      <c r="K210" s="44"/>
      <c r="L210" s="24"/>
      <c r="M210" s="44"/>
      <c r="N210" s="24"/>
      <c r="O210" s="53"/>
    </row>
    <row r="211" spans="2:15" x14ac:dyDescent="0.25">
      <c r="B211" s="52"/>
      <c r="C211" s="24"/>
      <c r="D211" s="24"/>
      <c r="E211" s="44"/>
      <c r="F211" s="24"/>
      <c r="G211" s="44"/>
      <c r="H211" s="24"/>
      <c r="I211" s="44"/>
      <c r="J211" s="45"/>
      <c r="K211" s="44"/>
      <c r="L211" s="24"/>
      <c r="M211" s="44"/>
      <c r="N211" s="24"/>
      <c r="O211" s="53"/>
    </row>
    <row r="212" spans="2:15" x14ac:dyDescent="0.25">
      <c r="B212" s="52"/>
      <c r="C212" s="24"/>
      <c r="D212" s="24"/>
      <c r="E212" s="44"/>
      <c r="F212" s="24"/>
      <c r="G212" s="44"/>
      <c r="H212" s="24"/>
      <c r="I212" s="44"/>
      <c r="J212" s="45"/>
      <c r="K212" s="44"/>
      <c r="L212" s="24"/>
      <c r="M212" s="44"/>
      <c r="N212" s="24"/>
      <c r="O212" s="53"/>
    </row>
    <row r="213" spans="2:15" x14ac:dyDescent="0.25">
      <c r="B213" s="52"/>
      <c r="C213" s="24"/>
      <c r="D213" s="24"/>
      <c r="E213" s="44"/>
      <c r="F213" s="24"/>
      <c r="G213" s="44"/>
      <c r="H213" s="24"/>
      <c r="I213" s="44"/>
      <c r="J213" s="45"/>
      <c r="K213" s="44"/>
      <c r="L213" s="24"/>
      <c r="M213" s="44"/>
      <c r="N213" s="24"/>
      <c r="O213" s="53"/>
    </row>
    <row r="214" spans="2:15" x14ac:dyDescent="0.25">
      <c r="B214" s="52"/>
      <c r="C214" s="24"/>
      <c r="D214" s="24"/>
      <c r="E214" s="44"/>
      <c r="F214" s="24"/>
      <c r="G214" s="44"/>
      <c r="H214" s="24"/>
      <c r="I214" s="44"/>
      <c r="J214" s="45"/>
      <c r="K214" s="44"/>
      <c r="L214" s="24"/>
      <c r="M214" s="44"/>
      <c r="N214" s="24"/>
      <c r="O214" s="53"/>
    </row>
    <row r="215" spans="2:15" x14ac:dyDescent="0.25">
      <c r="B215" s="52"/>
      <c r="C215" s="24"/>
      <c r="D215" s="24"/>
      <c r="E215" s="44"/>
      <c r="F215" s="24"/>
      <c r="G215" s="44"/>
      <c r="H215" s="24"/>
      <c r="I215" s="44"/>
      <c r="J215" s="45"/>
      <c r="K215" s="44"/>
      <c r="L215" s="24"/>
      <c r="M215" s="44"/>
      <c r="N215" s="24"/>
      <c r="O215" s="53"/>
    </row>
    <row r="216" spans="2:15" x14ac:dyDescent="0.25">
      <c r="B216" s="52"/>
      <c r="C216" s="24"/>
      <c r="D216" s="24"/>
      <c r="E216" s="44"/>
      <c r="F216" s="24"/>
      <c r="G216" s="44"/>
      <c r="H216" s="24"/>
      <c r="I216" s="44"/>
      <c r="J216" s="45"/>
      <c r="K216" s="44"/>
      <c r="L216" s="24"/>
      <c r="M216" s="44"/>
      <c r="N216" s="24"/>
      <c r="O216" s="53"/>
    </row>
    <row r="217" spans="2:15" x14ac:dyDescent="0.25">
      <c r="B217" s="52"/>
      <c r="C217" s="24"/>
      <c r="D217" s="24"/>
      <c r="E217" s="44"/>
      <c r="F217" s="24"/>
      <c r="G217" s="44"/>
      <c r="H217" s="24"/>
      <c r="I217" s="44"/>
      <c r="J217" s="45"/>
      <c r="K217" s="44"/>
      <c r="L217" s="24"/>
      <c r="M217" s="44"/>
      <c r="N217" s="24"/>
      <c r="O217" s="53"/>
    </row>
    <row r="218" spans="2:15" x14ac:dyDescent="0.25">
      <c r="B218" s="52"/>
      <c r="C218" s="24"/>
      <c r="D218" s="24"/>
      <c r="E218" s="44"/>
      <c r="F218" s="24"/>
      <c r="G218" s="44"/>
      <c r="H218" s="24"/>
      <c r="I218" s="44"/>
      <c r="J218" s="45"/>
      <c r="K218" s="44"/>
      <c r="L218" s="24"/>
      <c r="M218" s="44"/>
      <c r="N218" s="24"/>
      <c r="O218" s="53"/>
    </row>
    <row r="219" spans="2:15" x14ac:dyDescent="0.25">
      <c r="B219" s="52"/>
      <c r="C219" s="24"/>
      <c r="D219" s="24"/>
      <c r="E219" s="44"/>
      <c r="F219" s="24"/>
      <c r="G219" s="44"/>
      <c r="H219" s="24"/>
      <c r="I219" s="44"/>
      <c r="J219" s="45"/>
      <c r="K219" s="44"/>
      <c r="L219" s="24"/>
      <c r="M219" s="44"/>
      <c r="N219" s="24"/>
      <c r="O219" s="53"/>
    </row>
    <row r="220" spans="2:15" ht="13.5" thickBot="1" x14ac:dyDescent="0.3">
      <c r="B220" s="54"/>
      <c r="C220" s="55"/>
      <c r="D220" s="55"/>
      <c r="E220" s="56"/>
      <c r="F220" s="55"/>
      <c r="G220" s="56"/>
      <c r="H220" s="55"/>
      <c r="I220" s="56"/>
      <c r="J220" s="57"/>
      <c r="K220" s="56"/>
      <c r="L220" s="55"/>
      <c r="M220" s="56"/>
      <c r="N220" s="55"/>
      <c r="O220" s="58"/>
    </row>
    <row r="222" spans="2:15" ht="13.5" thickBot="1" x14ac:dyDescent="0.3"/>
    <row r="223" spans="2:15" x14ac:dyDescent="0.25">
      <c r="B223" s="47"/>
      <c r="C223" s="48"/>
      <c r="D223" s="48"/>
      <c r="E223" s="49"/>
      <c r="F223" s="48"/>
      <c r="G223" s="49"/>
      <c r="H223" s="48"/>
      <c r="I223" s="49"/>
      <c r="J223" s="50"/>
      <c r="K223" s="49"/>
      <c r="L223" s="48"/>
      <c r="M223" s="49"/>
      <c r="N223" s="48"/>
      <c r="O223" s="51"/>
    </row>
    <row r="224" spans="2:15" x14ac:dyDescent="0.25">
      <c r="B224" s="52"/>
      <c r="C224" s="24"/>
      <c r="D224" s="24"/>
      <c r="E224" s="44"/>
      <c r="F224" s="24"/>
      <c r="G224" s="44"/>
      <c r="H224" s="24"/>
      <c r="I224" s="44"/>
      <c r="J224" s="45"/>
      <c r="K224" s="44"/>
      <c r="L224" s="24"/>
      <c r="M224" s="44"/>
      <c r="N224" s="24"/>
      <c r="O224" s="53"/>
    </row>
    <row r="225" spans="2:15" x14ac:dyDescent="0.25">
      <c r="B225" s="52"/>
      <c r="C225" s="100"/>
      <c r="D225" s="24"/>
      <c r="E225" s="44"/>
      <c r="F225" s="24"/>
      <c r="G225" s="44"/>
      <c r="H225" s="24"/>
      <c r="I225" s="44"/>
      <c r="J225" s="45"/>
      <c r="K225" s="44"/>
      <c r="L225" s="24"/>
      <c r="M225" s="44"/>
      <c r="N225" s="24"/>
      <c r="O225" s="53"/>
    </row>
    <row r="226" spans="2:15" ht="23.25" x14ac:dyDescent="0.25">
      <c r="B226" s="52"/>
      <c r="C226" s="59" t="s">
        <v>71</v>
      </c>
      <c r="D226" s="24"/>
      <c r="E226" s="44"/>
      <c r="F226" s="24"/>
      <c r="G226" s="44"/>
      <c r="H226" s="24"/>
      <c r="I226" s="44"/>
      <c r="J226" s="45"/>
      <c r="K226" s="44"/>
      <c r="L226" s="24"/>
      <c r="M226" s="44"/>
      <c r="N226" s="24"/>
      <c r="O226" s="53"/>
    </row>
    <row r="227" spans="2:15" x14ac:dyDescent="0.25">
      <c r="B227" s="52"/>
      <c r="C227" s="24"/>
      <c r="D227" s="24"/>
      <c r="E227" s="44"/>
      <c r="F227" s="24"/>
      <c r="G227" s="44"/>
      <c r="H227" s="24"/>
      <c r="I227" s="44"/>
      <c r="J227" s="45"/>
      <c r="K227" s="44"/>
      <c r="L227" s="24"/>
      <c r="M227" s="44"/>
      <c r="N227" s="24"/>
      <c r="O227" s="53"/>
    </row>
    <row r="228" spans="2:15" x14ac:dyDescent="0.25">
      <c r="B228" s="52"/>
      <c r="C228" s="24"/>
      <c r="D228" s="24"/>
      <c r="E228" s="44"/>
      <c r="F228" s="24"/>
      <c r="G228" s="44"/>
      <c r="H228" s="24"/>
      <c r="I228" s="44"/>
      <c r="J228" s="45"/>
      <c r="K228" s="44"/>
      <c r="L228" s="24"/>
      <c r="M228" s="44"/>
      <c r="N228" s="24"/>
      <c r="O228" s="53"/>
    </row>
    <row r="229" spans="2:15" x14ac:dyDescent="0.25">
      <c r="B229" s="52"/>
      <c r="C229" s="24"/>
      <c r="D229" s="24"/>
      <c r="E229" s="44"/>
      <c r="F229" s="24"/>
      <c r="G229" s="44"/>
      <c r="H229" s="24"/>
      <c r="I229" s="44"/>
      <c r="J229" s="45"/>
      <c r="K229" s="44"/>
      <c r="L229" s="24"/>
      <c r="M229" s="44"/>
      <c r="N229" s="24"/>
      <c r="O229" s="53"/>
    </row>
    <row r="230" spans="2:15" x14ac:dyDescent="0.25">
      <c r="B230" s="52"/>
      <c r="C230" s="24"/>
      <c r="D230" s="24"/>
      <c r="E230" s="44"/>
      <c r="F230" s="24"/>
      <c r="G230" s="44"/>
      <c r="H230" s="24"/>
      <c r="I230" s="44"/>
      <c r="J230" s="45"/>
      <c r="K230" s="44"/>
      <c r="L230" s="24"/>
      <c r="M230" s="44"/>
      <c r="N230" s="24"/>
      <c r="O230" s="53"/>
    </row>
    <row r="231" spans="2:15" x14ac:dyDescent="0.25">
      <c r="B231" s="52"/>
      <c r="C231" s="24"/>
      <c r="D231" s="24"/>
      <c r="E231" s="44"/>
      <c r="F231" s="24"/>
      <c r="G231" s="44"/>
      <c r="H231" s="24"/>
      <c r="I231" s="44"/>
      <c r="J231" s="45"/>
      <c r="K231" s="44"/>
      <c r="L231" s="24"/>
      <c r="M231" s="44"/>
      <c r="N231" s="24"/>
      <c r="O231" s="53"/>
    </row>
    <row r="232" spans="2:15" ht="18" x14ac:dyDescent="0.25">
      <c r="B232" s="52"/>
      <c r="C232" s="46"/>
      <c r="D232" s="24"/>
      <c r="E232" s="44"/>
      <c r="F232" s="24"/>
      <c r="G232" s="44"/>
      <c r="H232" s="24"/>
      <c r="I232" s="44"/>
      <c r="J232" s="45"/>
      <c r="K232" s="44"/>
      <c r="L232" s="24"/>
      <c r="M232" s="44"/>
      <c r="N232" s="24"/>
      <c r="O232" s="53"/>
    </row>
    <row r="233" spans="2:15" x14ac:dyDescent="0.25">
      <c r="B233" s="52"/>
      <c r="C233" s="24"/>
      <c r="D233" s="24"/>
      <c r="E233" s="44"/>
      <c r="F233" s="24"/>
      <c r="G233" s="44"/>
      <c r="H233" s="24"/>
      <c r="I233" s="44"/>
      <c r="J233" s="45"/>
      <c r="K233" s="44"/>
      <c r="L233" s="24"/>
      <c r="M233" s="44"/>
      <c r="N233" s="24"/>
      <c r="O233" s="53"/>
    </row>
    <row r="234" spans="2:15" x14ac:dyDescent="0.25">
      <c r="B234" s="52"/>
      <c r="C234" s="24"/>
      <c r="D234" s="24"/>
      <c r="E234" s="44"/>
      <c r="F234" s="24"/>
      <c r="G234" s="44"/>
      <c r="H234" s="24"/>
      <c r="I234" s="44"/>
      <c r="J234" s="45"/>
      <c r="K234" s="44"/>
      <c r="L234" s="24"/>
      <c r="M234" s="44"/>
      <c r="N234" s="24"/>
      <c r="O234" s="53"/>
    </row>
    <row r="235" spans="2:15" x14ac:dyDescent="0.25">
      <c r="B235" s="52"/>
      <c r="C235" s="24"/>
      <c r="D235" s="24"/>
      <c r="E235" s="44"/>
      <c r="F235" s="24"/>
      <c r="G235" s="44"/>
      <c r="H235" s="24"/>
      <c r="I235" s="44"/>
      <c r="J235" s="45"/>
      <c r="K235" s="44"/>
      <c r="L235" s="24"/>
      <c r="M235" s="44"/>
      <c r="N235" s="24"/>
      <c r="O235" s="53"/>
    </row>
    <row r="236" spans="2:15" x14ac:dyDescent="0.25">
      <c r="B236" s="52"/>
      <c r="C236" s="24"/>
      <c r="D236" s="24"/>
      <c r="E236" s="44"/>
      <c r="F236" s="24"/>
      <c r="G236" s="44"/>
      <c r="H236" s="24"/>
      <c r="I236" s="44"/>
      <c r="J236" s="45"/>
      <c r="K236" s="44"/>
      <c r="L236" s="24"/>
      <c r="M236" s="44"/>
      <c r="N236" s="24"/>
      <c r="O236" s="53"/>
    </row>
    <row r="237" spans="2:15" x14ac:dyDescent="0.25">
      <c r="B237" s="52"/>
      <c r="C237" s="24"/>
      <c r="D237" s="24"/>
      <c r="E237" s="44"/>
      <c r="F237" s="24"/>
      <c r="G237" s="44"/>
      <c r="H237" s="24"/>
      <c r="I237" s="44"/>
      <c r="J237" s="45"/>
      <c r="K237" s="44"/>
      <c r="L237" s="24"/>
      <c r="M237" s="44"/>
      <c r="N237" s="24"/>
      <c r="O237" s="53"/>
    </row>
    <row r="238" spans="2:15" x14ac:dyDescent="0.25">
      <c r="B238" s="52"/>
      <c r="C238" s="24"/>
      <c r="D238" s="24"/>
      <c r="E238" s="44"/>
      <c r="F238" s="24"/>
      <c r="G238" s="44"/>
      <c r="H238" s="24"/>
      <c r="I238" s="44"/>
      <c r="J238" s="45"/>
      <c r="K238" s="44"/>
      <c r="L238" s="24"/>
      <c r="M238" s="44"/>
      <c r="N238" s="24"/>
      <c r="O238" s="53"/>
    </row>
    <row r="239" spans="2:15" x14ac:dyDescent="0.25">
      <c r="B239" s="52"/>
      <c r="C239" s="24"/>
      <c r="D239" s="24"/>
      <c r="E239" s="44"/>
      <c r="F239" s="24"/>
      <c r="G239" s="44"/>
      <c r="H239" s="24"/>
      <c r="I239" s="44"/>
      <c r="J239" s="45"/>
      <c r="K239" s="44"/>
      <c r="L239" s="24"/>
      <c r="M239" s="44"/>
      <c r="N239" s="24"/>
      <c r="O239" s="53"/>
    </row>
    <row r="240" spans="2:15" ht="18" x14ac:dyDescent="0.25">
      <c r="B240" s="52"/>
      <c r="C240" s="46"/>
      <c r="D240" s="24"/>
      <c r="E240" s="44"/>
      <c r="F240" s="24"/>
      <c r="G240" s="44"/>
      <c r="H240" s="24"/>
      <c r="I240" s="44"/>
      <c r="J240" s="45"/>
      <c r="K240" s="44"/>
      <c r="L240" s="24"/>
      <c r="M240" s="44"/>
      <c r="N240" s="24"/>
      <c r="O240" s="53"/>
    </row>
    <row r="241" spans="2:15" x14ac:dyDescent="0.25">
      <c r="B241" s="52"/>
      <c r="C241" s="24"/>
      <c r="D241" s="24"/>
      <c r="E241" s="44"/>
      <c r="F241" s="24"/>
      <c r="G241" s="44"/>
      <c r="H241" s="24"/>
      <c r="I241" s="44"/>
      <c r="J241" s="45"/>
      <c r="K241" s="44"/>
      <c r="L241" s="24"/>
      <c r="M241" s="44"/>
      <c r="N241" s="24"/>
      <c r="O241" s="53"/>
    </row>
    <row r="242" spans="2:15" x14ac:dyDescent="0.25">
      <c r="B242" s="52"/>
      <c r="C242" s="24"/>
      <c r="D242" s="24"/>
      <c r="E242" s="44"/>
      <c r="F242" s="24"/>
      <c r="G242" s="44"/>
      <c r="H242" s="24"/>
      <c r="I242" s="44"/>
      <c r="J242" s="45"/>
      <c r="K242" s="44"/>
      <c r="L242" s="24"/>
      <c r="M242" s="44"/>
      <c r="N242" s="24"/>
      <c r="O242" s="53"/>
    </row>
    <row r="243" spans="2:15" x14ac:dyDescent="0.25">
      <c r="B243" s="52"/>
      <c r="C243" s="24"/>
      <c r="D243" s="24"/>
      <c r="E243" s="44"/>
      <c r="F243" s="24"/>
      <c r="G243" s="44"/>
      <c r="H243" s="24"/>
      <c r="I243" s="44"/>
      <c r="J243" s="45"/>
      <c r="K243" s="44"/>
      <c r="L243" s="24"/>
      <c r="M243" s="44"/>
      <c r="N243" s="24"/>
      <c r="O243" s="53"/>
    </row>
    <row r="244" spans="2:15" x14ac:dyDescent="0.25">
      <c r="B244" s="52"/>
      <c r="C244" s="24"/>
      <c r="D244" s="24"/>
      <c r="E244" s="44"/>
      <c r="F244" s="24"/>
      <c r="G244" s="44"/>
      <c r="H244" s="24"/>
      <c r="I244" s="44"/>
      <c r="J244" s="45"/>
      <c r="K244" s="44"/>
      <c r="L244" s="24"/>
      <c r="M244" s="44"/>
      <c r="N244" s="24"/>
      <c r="O244" s="53"/>
    </row>
    <row r="245" spans="2:15" x14ac:dyDescent="0.25">
      <c r="B245" s="52"/>
      <c r="C245" s="24"/>
      <c r="D245" s="24"/>
      <c r="E245" s="44"/>
      <c r="F245" s="24"/>
      <c r="G245" s="44"/>
      <c r="H245" s="24"/>
      <c r="I245" s="44"/>
      <c r="J245" s="45"/>
      <c r="K245" s="44"/>
      <c r="L245" s="24"/>
      <c r="M245" s="44"/>
      <c r="N245" s="24"/>
      <c r="O245" s="53"/>
    </row>
    <row r="246" spans="2:15" x14ac:dyDescent="0.25">
      <c r="B246" s="52"/>
      <c r="C246" s="24"/>
      <c r="D246" s="24"/>
      <c r="E246" s="44"/>
      <c r="F246" s="24"/>
      <c r="G246" s="44"/>
      <c r="H246" s="24"/>
      <c r="I246" s="44"/>
      <c r="J246" s="45"/>
      <c r="K246" s="44"/>
      <c r="L246" s="24"/>
      <c r="M246" s="44"/>
      <c r="N246" s="24"/>
      <c r="O246" s="53"/>
    </row>
    <row r="247" spans="2:15" x14ac:dyDescent="0.25">
      <c r="B247" s="52"/>
      <c r="C247" s="24"/>
      <c r="D247" s="24"/>
      <c r="E247" s="44"/>
      <c r="F247" s="24"/>
      <c r="G247" s="44"/>
      <c r="H247" s="24"/>
      <c r="I247" s="44"/>
      <c r="J247" s="45"/>
      <c r="K247" s="44"/>
      <c r="L247" s="24"/>
      <c r="M247" s="44"/>
      <c r="N247" s="24"/>
      <c r="O247" s="53"/>
    </row>
    <row r="248" spans="2:15" x14ac:dyDescent="0.25">
      <c r="B248" s="52"/>
      <c r="C248" s="24"/>
      <c r="D248" s="24"/>
      <c r="E248" s="44"/>
      <c r="F248" s="24"/>
      <c r="G248" s="44"/>
      <c r="H248" s="24"/>
      <c r="I248" s="44"/>
      <c r="J248" s="45"/>
      <c r="K248" s="44"/>
      <c r="L248" s="24"/>
      <c r="M248" s="44"/>
      <c r="N248" s="24"/>
      <c r="O248" s="53"/>
    </row>
    <row r="249" spans="2:15" x14ac:dyDescent="0.25">
      <c r="B249" s="52"/>
      <c r="C249" s="24"/>
      <c r="D249" s="24"/>
      <c r="E249" s="44"/>
      <c r="F249" s="24"/>
      <c r="G249" s="44"/>
      <c r="H249" s="24"/>
      <c r="I249" s="44"/>
      <c r="J249" s="45"/>
      <c r="K249" s="44"/>
      <c r="L249" s="24"/>
      <c r="M249" s="44"/>
      <c r="N249" s="24"/>
      <c r="O249" s="53"/>
    </row>
    <row r="250" spans="2:15" x14ac:dyDescent="0.25">
      <c r="B250" s="52"/>
      <c r="C250" s="24"/>
      <c r="D250" s="24"/>
      <c r="E250" s="44"/>
      <c r="F250" s="24"/>
      <c r="G250" s="44"/>
      <c r="H250" s="24"/>
      <c r="I250" s="44"/>
      <c r="J250" s="45"/>
      <c r="K250" s="44"/>
      <c r="L250" s="24"/>
      <c r="M250" s="44"/>
      <c r="N250" s="24"/>
      <c r="O250" s="53"/>
    </row>
    <row r="251" spans="2:15" x14ac:dyDescent="0.25">
      <c r="B251" s="52"/>
      <c r="C251" s="24"/>
      <c r="D251" s="24"/>
      <c r="E251" s="44"/>
      <c r="F251" s="24"/>
      <c r="G251" s="44"/>
      <c r="H251" s="24"/>
      <c r="I251" s="44"/>
      <c r="J251" s="45"/>
      <c r="K251" s="44"/>
      <c r="L251" s="24"/>
      <c r="M251" s="44"/>
      <c r="N251" s="24"/>
      <c r="O251" s="53"/>
    </row>
    <row r="252" spans="2:15" x14ac:dyDescent="0.25">
      <c r="B252" s="52"/>
      <c r="C252" s="24"/>
      <c r="D252" s="24"/>
      <c r="E252" s="44"/>
      <c r="F252" s="24"/>
      <c r="G252" s="44"/>
      <c r="H252" s="24"/>
      <c r="I252" s="44"/>
      <c r="J252" s="45"/>
      <c r="K252" s="44"/>
      <c r="L252" s="24"/>
      <c r="M252" s="44"/>
      <c r="N252" s="24"/>
      <c r="O252" s="53"/>
    </row>
    <row r="253" spans="2:15" x14ac:dyDescent="0.25">
      <c r="B253" s="52"/>
      <c r="C253" s="24"/>
      <c r="D253" s="24"/>
      <c r="E253" s="44"/>
      <c r="F253" s="24"/>
      <c r="G253" s="44"/>
      <c r="H253" s="24"/>
      <c r="I253" s="44"/>
      <c r="J253" s="45"/>
      <c r="K253" s="44"/>
      <c r="L253" s="24"/>
      <c r="M253" s="44"/>
      <c r="N253" s="24"/>
      <c r="O253" s="53"/>
    </row>
    <row r="254" spans="2:15" x14ac:dyDescent="0.25">
      <c r="B254" s="52"/>
      <c r="C254" s="24"/>
      <c r="D254" s="24"/>
      <c r="E254" s="44"/>
      <c r="F254" s="24"/>
      <c r="G254" s="44"/>
      <c r="H254" s="24"/>
      <c r="I254" s="44"/>
      <c r="J254" s="45"/>
      <c r="K254" s="44"/>
      <c r="L254" s="24"/>
      <c r="M254" s="44"/>
      <c r="N254" s="24"/>
      <c r="O254" s="53"/>
    </row>
    <row r="255" spans="2:15" x14ac:dyDescent="0.25">
      <c r="B255" s="52"/>
      <c r="C255" s="24"/>
      <c r="D255" s="24"/>
      <c r="E255" s="44"/>
      <c r="F255" s="24"/>
      <c r="G255" s="44"/>
      <c r="H255" s="24"/>
      <c r="I255" s="44"/>
      <c r="J255" s="45"/>
      <c r="K255" s="44"/>
      <c r="L255" s="24"/>
      <c r="M255" s="44"/>
      <c r="N255" s="24"/>
      <c r="O255" s="53"/>
    </row>
    <row r="256" spans="2:15" x14ac:dyDescent="0.25">
      <c r="B256" s="52"/>
      <c r="C256" s="24"/>
      <c r="D256" s="24"/>
      <c r="E256" s="44"/>
      <c r="F256" s="24"/>
      <c r="G256" s="44"/>
      <c r="H256" s="24"/>
      <c r="I256" s="44"/>
      <c r="J256" s="45"/>
      <c r="K256" s="44"/>
      <c r="L256" s="24"/>
      <c r="M256" s="44"/>
      <c r="N256" s="24"/>
      <c r="O256" s="53"/>
    </row>
    <row r="257" spans="1:67" x14ac:dyDescent="0.25">
      <c r="B257" s="52"/>
      <c r="C257" s="24"/>
      <c r="D257" s="24"/>
      <c r="E257" s="44"/>
      <c r="F257" s="24"/>
      <c r="G257" s="44"/>
      <c r="H257" s="24"/>
      <c r="I257" s="44"/>
      <c r="J257" s="45"/>
      <c r="K257" s="44"/>
      <c r="L257" s="24"/>
      <c r="M257" s="44"/>
      <c r="N257" s="24"/>
      <c r="O257" s="53"/>
    </row>
    <row r="258" spans="1:67" x14ac:dyDescent="0.25">
      <c r="B258" s="52"/>
      <c r="C258" s="24"/>
      <c r="D258" s="24"/>
      <c r="E258" s="44"/>
      <c r="F258" s="24"/>
      <c r="G258" s="44"/>
      <c r="H258" s="24"/>
      <c r="I258" s="44"/>
      <c r="J258" s="45"/>
      <c r="K258" s="44"/>
      <c r="L258" s="24"/>
      <c r="M258" s="44"/>
      <c r="N258" s="24"/>
      <c r="O258" s="53"/>
    </row>
    <row r="259" spans="1:67" x14ac:dyDescent="0.25">
      <c r="B259" s="52"/>
      <c r="C259" s="24"/>
      <c r="D259" s="24"/>
      <c r="E259" s="44"/>
      <c r="F259" s="24"/>
      <c r="G259" s="44"/>
      <c r="H259" s="24"/>
      <c r="I259" s="44"/>
      <c r="J259" s="45"/>
      <c r="K259" s="44"/>
      <c r="L259" s="24"/>
      <c r="M259" s="44"/>
      <c r="N259" s="24"/>
      <c r="O259" s="53"/>
    </row>
    <row r="260" spans="1:67" x14ac:dyDescent="0.25">
      <c r="B260" s="52"/>
      <c r="C260" s="24"/>
      <c r="D260" s="24"/>
      <c r="E260" s="44"/>
      <c r="F260" s="24"/>
      <c r="G260" s="44"/>
      <c r="H260" s="24"/>
      <c r="I260" s="44"/>
      <c r="J260" s="45"/>
      <c r="K260" s="44"/>
      <c r="L260" s="24"/>
      <c r="M260" s="44"/>
      <c r="N260" s="24"/>
      <c r="O260" s="53"/>
    </row>
    <row r="261" spans="1:67" x14ac:dyDescent="0.25">
      <c r="B261" s="52"/>
      <c r="C261" s="24"/>
      <c r="D261" s="24"/>
      <c r="E261" s="44"/>
      <c r="F261" s="24"/>
      <c r="G261" s="44"/>
      <c r="H261" s="24"/>
      <c r="I261" s="44"/>
      <c r="J261" s="45"/>
      <c r="K261" s="44"/>
      <c r="L261" s="24"/>
      <c r="M261" s="44"/>
      <c r="N261" s="24"/>
      <c r="O261" s="53"/>
    </row>
    <row r="262" spans="1:67" x14ac:dyDescent="0.25">
      <c r="B262" s="52"/>
      <c r="C262" s="24"/>
      <c r="D262" s="24"/>
      <c r="E262" s="44"/>
      <c r="F262" s="24"/>
      <c r="G262" s="44"/>
      <c r="H262" s="24"/>
      <c r="I262" s="44"/>
      <c r="J262" s="45"/>
      <c r="K262" s="44"/>
      <c r="L262" s="24"/>
      <c r="M262" s="44"/>
      <c r="N262" s="24"/>
      <c r="O262" s="53"/>
    </row>
    <row r="263" spans="1:67" x14ac:dyDescent="0.25">
      <c r="B263" s="52"/>
      <c r="C263" s="24"/>
      <c r="D263" s="24"/>
      <c r="E263" s="44"/>
      <c r="F263" s="24"/>
      <c r="G263" s="44"/>
      <c r="H263" s="24"/>
      <c r="I263" s="44"/>
      <c r="J263" s="45"/>
      <c r="K263" s="44"/>
      <c r="L263" s="24"/>
      <c r="M263" s="44"/>
      <c r="N263" s="24"/>
      <c r="O263" s="53"/>
    </row>
    <row r="264" spans="1:67" x14ac:dyDescent="0.25">
      <c r="B264" s="52"/>
      <c r="C264" s="24"/>
      <c r="D264" s="24"/>
      <c r="E264" s="44"/>
      <c r="F264" s="24"/>
      <c r="G264" s="44"/>
      <c r="H264" s="24"/>
      <c r="I264" s="44"/>
      <c r="J264" s="45"/>
      <c r="K264" s="44"/>
      <c r="L264" s="24"/>
      <c r="M264" s="44"/>
      <c r="N264" s="24"/>
      <c r="O264" s="53"/>
    </row>
    <row r="265" spans="1:67" s="3" customFormat="1" ht="13.5" thickBot="1" x14ac:dyDescent="0.3">
      <c r="A265" s="35"/>
      <c r="B265" s="54"/>
      <c r="C265" s="55"/>
      <c r="D265" s="55"/>
      <c r="E265" s="56"/>
      <c r="F265" s="55"/>
      <c r="G265" s="56"/>
      <c r="H265" s="55"/>
      <c r="I265" s="56"/>
      <c r="J265" s="57"/>
      <c r="K265" s="56"/>
      <c r="L265" s="55"/>
      <c r="M265" s="56"/>
      <c r="N265" s="55"/>
      <c r="O265" s="58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F265" s="35"/>
      <c r="AG265" s="35"/>
      <c r="AH265" s="35"/>
      <c r="AI265" s="35"/>
      <c r="AJ265" s="35"/>
      <c r="AK265" s="35"/>
      <c r="AL265" s="35"/>
      <c r="AM265" s="35"/>
      <c r="AN265" s="35"/>
      <c r="AO265" s="35"/>
      <c r="AP265" s="35"/>
      <c r="AQ265" s="35"/>
      <c r="AR265" s="35"/>
      <c r="AS265" s="35"/>
      <c r="AT265" s="35"/>
      <c r="AU265" s="35"/>
      <c r="AV265" s="35"/>
      <c r="AW265" s="35"/>
      <c r="AX265" s="35"/>
      <c r="AY265" s="35"/>
      <c r="AZ265" s="35"/>
      <c r="BA265" s="35"/>
      <c r="BB265" s="35"/>
      <c r="BC265" s="35"/>
      <c r="BD265" s="35"/>
      <c r="BE265" s="35"/>
      <c r="BF265" s="35"/>
      <c r="BG265" s="35"/>
      <c r="BH265" s="35"/>
      <c r="BI265" s="35"/>
      <c r="BJ265" s="35"/>
      <c r="BK265" s="35"/>
      <c r="BL265" s="35"/>
      <c r="BM265" s="35"/>
      <c r="BN265" s="35"/>
      <c r="BO265" s="35"/>
    </row>
    <row r="267" spans="1:67" ht="13.5" thickBot="1" x14ac:dyDescent="0.3"/>
    <row r="268" spans="1:67" s="3" customFormat="1" x14ac:dyDescent="0.25">
      <c r="A268" s="35"/>
      <c r="B268" s="47"/>
      <c r="C268" s="48"/>
      <c r="D268" s="48"/>
      <c r="E268" s="49"/>
      <c r="F268" s="48"/>
      <c r="G268" s="49"/>
      <c r="H268" s="48"/>
      <c r="I268" s="49"/>
      <c r="J268" s="50"/>
      <c r="K268" s="49"/>
      <c r="L268" s="48"/>
      <c r="M268" s="49"/>
      <c r="N268" s="48"/>
      <c r="O268" s="51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F268" s="35"/>
      <c r="AG268" s="35"/>
      <c r="AH268" s="35"/>
      <c r="AI268" s="35"/>
      <c r="AJ268" s="35"/>
      <c r="AK268" s="35"/>
      <c r="AL268" s="35"/>
      <c r="AM268" s="35"/>
      <c r="AN268" s="35"/>
      <c r="AO268" s="35"/>
      <c r="AP268" s="35"/>
      <c r="AQ268" s="35"/>
      <c r="AR268" s="35"/>
      <c r="AS268" s="35"/>
      <c r="AT268" s="35"/>
      <c r="AU268" s="35"/>
      <c r="AV268" s="35"/>
      <c r="AW268" s="35"/>
      <c r="AX268" s="35"/>
      <c r="AY268" s="35"/>
      <c r="AZ268" s="35"/>
      <c r="BA268" s="35"/>
      <c r="BB268" s="35"/>
      <c r="BC268" s="35"/>
      <c r="BD268" s="35"/>
      <c r="BE268" s="35"/>
      <c r="BF268" s="35"/>
      <c r="BG268" s="35"/>
      <c r="BH268" s="35"/>
      <c r="BI268" s="35"/>
      <c r="BJ268" s="35"/>
      <c r="BK268" s="35"/>
      <c r="BL268" s="35"/>
      <c r="BM268" s="35"/>
      <c r="BN268" s="35"/>
      <c r="BO268" s="35"/>
    </row>
    <row r="269" spans="1:67" s="3" customFormat="1" x14ac:dyDescent="0.25">
      <c r="A269" s="35"/>
      <c r="B269" s="52"/>
      <c r="C269" s="24"/>
      <c r="D269" s="24"/>
      <c r="E269" s="44"/>
      <c r="F269" s="24"/>
      <c r="G269" s="44"/>
      <c r="H269" s="24"/>
      <c r="I269" s="44"/>
      <c r="J269" s="45"/>
      <c r="K269" s="44"/>
      <c r="L269" s="24"/>
      <c r="M269" s="44"/>
      <c r="N269" s="24"/>
      <c r="O269" s="53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F269" s="35"/>
      <c r="AG269" s="35"/>
      <c r="AH269" s="35"/>
      <c r="AI269" s="35"/>
      <c r="AJ269" s="35"/>
      <c r="AK269" s="35"/>
      <c r="AL269" s="35"/>
      <c r="AM269" s="35"/>
      <c r="AN269" s="35"/>
      <c r="AO269" s="35"/>
      <c r="AP269" s="35"/>
      <c r="AQ269" s="35"/>
      <c r="AR269" s="35"/>
      <c r="AS269" s="35"/>
      <c r="AT269" s="35"/>
      <c r="AU269" s="35"/>
      <c r="AV269" s="35"/>
      <c r="AW269" s="35"/>
      <c r="AX269" s="35"/>
      <c r="AY269" s="35"/>
      <c r="AZ269" s="35"/>
      <c r="BA269" s="35"/>
      <c r="BB269" s="35"/>
      <c r="BC269" s="35"/>
      <c r="BD269" s="35"/>
      <c r="BE269" s="35"/>
      <c r="BF269" s="35"/>
      <c r="BG269" s="35"/>
      <c r="BH269" s="35"/>
      <c r="BI269" s="35"/>
      <c r="BJ269" s="35"/>
      <c r="BK269" s="35"/>
      <c r="BL269" s="35"/>
      <c r="BM269" s="35"/>
      <c r="BN269" s="35"/>
      <c r="BO269" s="35"/>
    </row>
    <row r="270" spans="1:67" s="3" customFormat="1" x14ac:dyDescent="0.25">
      <c r="A270" s="35"/>
      <c r="B270" s="52"/>
      <c r="D270" s="24"/>
      <c r="E270" s="44"/>
      <c r="F270" s="24"/>
      <c r="G270" s="44"/>
      <c r="H270" s="24"/>
      <c r="I270" s="44"/>
      <c r="J270" s="45"/>
      <c r="K270" s="44"/>
      <c r="L270" s="24"/>
      <c r="M270" s="44"/>
      <c r="N270" s="24"/>
      <c r="O270" s="53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F270" s="35"/>
      <c r="AG270" s="35"/>
      <c r="AH270" s="35"/>
      <c r="AI270" s="35"/>
      <c r="AJ270" s="35"/>
      <c r="AK270" s="35"/>
      <c r="AL270" s="35"/>
      <c r="AM270" s="35"/>
      <c r="AN270" s="35"/>
      <c r="AO270" s="35"/>
      <c r="AP270" s="35"/>
      <c r="AQ270" s="35"/>
      <c r="AR270" s="35"/>
      <c r="AS270" s="35"/>
      <c r="AT270" s="35"/>
      <c r="AU270" s="35"/>
      <c r="AV270" s="35"/>
      <c r="AW270" s="35"/>
      <c r="AX270" s="35"/>
      <c r="AY270" s="35"/>
      <c r="AZ270" s="35"/>
      <c r="BA270" s="35"/>
      <c r="BB270" s="35"/>
      <c r="BC270" s="35"/>
      <c r="BD270" s="35"/>
      <c r="BE270" s="35"/>
      <c r="BF270" s="35"/>
      <c r="BG270" s="35"/>
      <c r="BH270" s="35"/>
      <c r="BI270" s="35"/>
      <c r="BJ270" s="35"/>
      <c r="BK270" s="35"/>
      <c r="BL270" s="35"/>
      <c r="BM270" s="35"/>
      <c r="BN270" s="35"/>
      <c r="BO270" s="35"/>
    </row>
    <row r="271" spans="1:67" s="3" customFormat="1" ht="23.25" x14ac:dyDescent="0.25">
      <c r="A271" s="35"/>
      <c r="B271" s="52"/>
      <c r="C271" s="59" t="s">
        <v>74</v>
      </c>
      <c r="D271" s="24"/>
      <c r="E271" s="44"/>
      <c r="F271" s="24"/>
      <c r="G271" s="44"/>
      <c r="H271" s="24"/>
      <c r="I271" s="44"/>
      <c r="J271" s="45"/>
      <c r="K271" s="44"/>
      <c r="L271" s="24"/>
      <c r="M271" s="44"/>
      <c r="N271" s="24"/>
      <c r="O271" s="53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F271" s="35"/>
      <c r="AG271" s="35"/>
      <c r="AH271" s="35"/>
      <c r="AI271" s="35"/>
      <c r="AJ271" s="35"/>
      <c r="AK271" s="35"/>
      <c r="AL271" s="35"/>
      <c r="AM271" s="35"/>
      <c r="AN271" s="35"/>
      <c r="AO271" s="35"/>
      <c r="AP271" s="35"/>
      <c r="AQ271" s="35"/>
      <c r="AR271" s="35"/>
      <c r="AS271" s="35"/>
      <c r="AT271" s="35"/>
      <c r="AU271" s="35"/>
      <c r="AV271" s="35"/>
      <c r="AW271" s="35"/>
      <c r="AX271" s="35"/>
      <c r="AY271" s="35"/>
      <c r="AZ271" s="35"/>
      <c r="BA271" s="35"/>
      <c r="BB271" s="35"/>
      <c r="BC271" s="35"/>
      <c r="BD271" s="35"/>
      <c r="BE271" s="35"/>
      <c r="BF271" s="35"/>
      <c r="BG271" s="35"/>
      <c r="BH271" s="35"/>
      <c r="BI271" s="35"/>
      <c r="BJ271" s="35"/>
      <c r="BK271" s="35"/>
      <c r="BL271" s="35"/>
      <c r="BM271" s="35"/>
      <c r="BN271" s="35"/>
      <c r="BO271" s="35"/>
    </row>
    <row r="272" spans="1:67" s="3" customFormat="1" x14ac:dyDescent="0.25">
      <c r="A272" s="35"/>
      <c r="B272" s="52"/>
      <c r="C272" s="24"/>
      <c r="D272" s="24"/>
      <c r="E272" s="44"/>
      <c r="F272" s="24"/>
      <c r="G272" s="44"/>
      <c r="H272" s="24"/>
      <c r="I272" s="44"/>
      <c r="J272" s="45"/>
      <c r="K272" s="44"/>
      <c r="L272" s="24"/>
      <c r="M272" s="44"/>
      <c r="N272" s="24"/>
      <c r="O272" s="53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F272" s="35"/>
      <c r="AG272" s="35"/>
      <c r="AH272" s="35"/>
      <c r="AI272" s="35"/>
      <c r="AJ272" s="35"/>
      <c r="AK272" s="35"/>
      <c r="AL272" s="35"/>
      <c r="AM272" s="35"/>
      <c r="AN272" s="35"/>
      <c r="AO272" s="35"/>
      <c r="AP272" s="35"/>
      <c r="AQ272" s="35"/>
      <c r="AR272" s="35"/>
      <c r="AS272" s="35"/>
      <c r="AT272" s="35"/>
      <c r="AU272" s="35"/>
      <c r="AV272" s="35"/>
      <c r="AW272" s="35"/>
      <c r="AX272" s="35"/>
      <c r="AY272" s="35"/>
      <c r="AZ272" s="35"/>
      <c r="BA272" s="35"/>
      <c r="BB272" s="35"/>
      <c r="BC272" s="35"/>
      <c r="BD272" s="35"/>
      <c r="BE272" s="35"/>
      <c r="BF272" s="35"/>
      <c r="BG272" s="35"/>
      <c r="BH272" s="35"/>
      <c r="BI272" s="35"/>
      <c r="BJ272" s="35"/>
      <c r="BK272" s="35"/>
      <c r="BL272" s="35"/>
      <c r="BM272" s="35"/>
      <c r="BN272" s="35"/>
      <c r="BO272" s="35"/>
    </row>
    <row r="273" spans="1:67" s="3" customFormat="1" x14ac:dyDescent="0.25">
      <c r="A273" s="35"/>
      <c r="B273" s="52"/>
      <c r="C273" s="24"/>
      <c r="D273" s="24"/>
      <c r="E273" s="44"/>
      <c r="F273" s="24"/>
      <c r="G273" s="44"/>
      <c r="H273" s="24"/>
      <c r="I273" s="44"/>
      <c r="J273" s="45"/>
      <c r="K273" s="44"/>
      <c r="L273" s="24"/>
      <c r="M273" s="44"/>
      <c r="N273" s="24"/>
      <c r="O273" s="53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F273" s="35"/>
      <c r="AG273" s="35"/>
      <c r="AH273" s="35"/>
      <c r="AI273" s="35"/>
      <c r="AJ273" s="35"/>
      <c r="AK273" s="35"/>
      <c r="AL273" s="35"/>
      <c r="AM273" s="35"/>
      <c r="AN273" s="35"/>
      <c r="AO273" s="35"/>
      <c r="AP273" s="35"/>
      <c r="AQ273" s="35"/>
      <c r="AR273" s="35"/>
      <c r="AS273" s="35"/>
      <c r="AT273" s="35"/>
      <c r="AU273" s="35"/>
      <c r="AV273" s="35"/>
      <c r="AW273" s="35"/>
      <c r="AX273" s="35"/>
      <c r="AY273" s="35"/>
      <c r="AZ273" s="35"/>
      <c r="BA273" s="35"/>
      <c r="BB273" s="35"/>
      <c r="BC273" s="35"/>
      <c r="BD273" s="35"/>
      <c r="BE273" s="35"/>
      <c r="BF273" s="35"/>
      <c r="BG273" s="35"/>
      <c r="BH273" s="35"/>
      <c r="BI273" s="35"/>
      <c r="BJ273" s="35"/>
      <c r="BK273" s="35"/>
      <c r="BL273" s="35"/>
      <c r="BM273" s="35"/>
      <c r="BN273" s="35"/>
      <c r="BO273" s="35"/>
    </row>
    <row r="274" spans="1:67" s="3" customFormat="1" x14ac:dyDescent="0.25">
      <c r="A274" s="35"/>
      <c r="B274" s="52"/>
      <c r="C274" s="24"/>
      <c r="D274" s="24"/>
      <c r="E274" s="44"/>
      <c r="F274" s="24"/>
      <c r="G274" s="44"/>
      <c r="H274" s="24"/>
      <c r="I274" s="44"/>
      <c r="J274" s="45"/>
      <c r="K274" s="44"/>
      <c r="L274" s="24"/>
      <c r="M274" s="44"/>
      <c r="N274" s="24"/>
      <c r="O274" s="53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F274" s="35"/>
      <c r="AG274" s="35"/>
      <c r="AH274" s="35"/>
      <c r="AI274" s="35"/>
      <c r="AJ274" s="35"/>
      <c r="AK274" s="35"/>
      <c r="AL274" s="35"/>
      <c r="AM274" s="35"/>
      <c r="AN274" s="35"/>
      <c r="AO274" s="35"/>
      <c r="AP274" s="35"/>
      <c r="AQ274" s="35"/>
      <c r="AR274" s="35"/>
      <c r="AS274" s="35"/>
      <c r="AT274" s="35"/>
      <c r="AU274" s="35"/>
      <c r="AV274" s="35"/>
      <c r="AW274" s="35"/>
      <c r="AX274" s="35"/>
      <c r="AY274" s="35"/>
      <c r="AZ274" s="35"/>
      <c r="BA274" s="35"/>
      <c r="BB274" s="35"/>
      <c r="BC274" s="35"/>
      <c r="BD274" s="35"/>
      <c r="BE274" s="35"/>
      <c r="BF274" s="35"/>
      <c r="BG274" s="35"/>
      <c r="BH274" s="35"/>
      <c r="BI274" s="35"/>
      <c r="BJ274" s="35"/>
      <c r="BK274" s="35"/>
      <c r="BL274" s="35"/>
      <c r="BM274" s="35"/>
      <c r="BN274" s="35"/>
      <c r="BO274" s="35"/>
    </row>
    <row r="275" spans="1:67" s="3" customFormat="1" x14ac:dyDescent="0.25">
      <c r="A275" s="35"/>
      <c r="B275" s="52"/>
      <c r="C275" s="24"/>
      <c r="D275" s="24"/>
      <c r="E275" s="44"/>
      <c r="F275" s="24"/>
      <c r="G275" s="44"/>
      <c r="H275" s="24"/>
      <c r="I275" s="44"/>
      <c r="J275" s="45"/>
      <c r="K275" s="44"/>
      <c r="L275" s="24"/>
      <c r="M275" s="44"/>
      <c r="N275" s="24"/>
      <c r="O275" s="53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F275" s="35"/>
      <c r="AG275" s="35"/>
      <c r="AH275" s="35"/>
      <c r="AI275" s="35"/>
      <c r="AJ275" s="35"/>
      <c r="AK275" s="35"/>
      <c r="AL275" s="35"/>
      <c r="AM275" s="35"/>
      <c r="AN275" s="35"/>
      <c r="AO275" s="35"/>
      <c r="AP275" s="35"/>
      <c r="AQ275" s="35"/>
      <c r="AR275" s="35"/>
      <c r="AS275" s="35"/>
      <c r="AT275" s="35"/>
      <c r="AU275" s="35"/>
      <c r="AV275" s="35"/>
      <c r="AW275" s="35"/>
      <c r="AX275" s="35"/>
      <c r="AY275" s="35"/>
      <c r="AZ275" s="35"/>
      <c r="BA275" s="35"/>
      <c r="BB275" s="35"/>
      <c r="BC275" s="35"/>
      <c r="BD275" s="35"/>
      <c r="BE275" s="35"/>
      <c r="BF275" s="35"/>
      <c r="BG275" s="35"/>
      <c r="BH275" s="35"/>
      <c r="BI275" s="35"/>
      <c r="BJ275" s="35"/>
      <c r="BK275" s="35"/>
      <c r="BL275" s="35"/>
      <c r="BM275" s="35"/>
      <c r="BN275" s="35"/>
      <c r="BO275" s="35"/>
    </row>
    <row r="276" spans="1:67" s="3" customFormat="1" x14ac:dyDescent="0.25">
      <c r="A276" s="35"/>
      <c r="B276" s="52"/>
      <c r="C276" s="24"/>
      <c r="D276" s="24"/>
      <c r="E276" s="44"/>
      <c r="F276" s="24"/>
      <c r="G276" s="44"/>
      <c r="H276" s="24"/>
      <c r="I276" s="44"/>
      <c r="J276" s="45"/>
      <c r="K276" s="44"/>
      <c r="L276" s="24"/>
      <c r="M276" s="44"/>
      <c r="N276" s="24"/>
      <c r="O276" s="53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F276" s="35"/>
      <c r="AG276" s="35"/>
      <c r="AH276" s="35"/>
      <c r="AI276" s="35"/>
      <c r="AJ276" s="35"/>
      <c r="AK276" s="35"/>
      <c r="AL276" s="35"/>
      <c r="AM276" s="35"/>
      <c r="AN276" s="35"/>
      <c r="AO276" s="35"/>
      <c r="AP276" s="35"/>
      <c r="AQ276" s="35"/>
      <c r="AR276" s="35"/>
      <c r="AS276" s="35"/>
      <c r="AT276" s="35"/>
      <c r="AU276" s="35"/>
      <c r="AV276" s="35"/>
      <c r="AW276" s="35"/>
      <c r="AX276" s="35"/>
      <c r="AY276" s="35"/>
      <c r="AZ276" s="35"/>
      <c r="BA276" s="35"/>
      <c r="BB276" s="35"/>
      <c r="BC276" s="35"/>
      <c r="BD276" s="35"/>
      <c r="BE276" s="35"/>
      <c r="BF276" s="35"/>
      <c r="BG276" s="35"/>
      <c r="BH276" s="35"/>
      <c r="BI276" s="35"/>
      <c r="BJ276" s="35"/>
      <c r="BK276" s="35"/>
      <c r="BL276" s="35"/>
      <c r="BM276" s="35"/>
      <c r="BN276" s="35"/>
      <c r="BO276" s="35"/>
    </row>
    <row r="277" spans="1:67" s="3" customFormat="1" ht="18" x14ac:dyDescent="0.25">
      <c r="A277" s="35"/>
      <c r="B277" s="52"/>
      <c r="C277" s="46"/>
      <c r="D277" s="24"/>
      <c r="E277" s="44"/>
      <c r="F277" s="24"/>
      <c r="G277" s="44"/>
      <c r="H277" s="24"/>
      <c r="I277" s="44"/>
      <c r="J277" s="45"/>
      <c r="K277" s="44"/>
      <c r="L277" s="24"/>
      <c r="M277" s="44"/>
      <c r="N277" s="24"/>
      <c r="O277" s="53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F277" s="35"/>
      <c r="AG277" s="35"/>
      <c r="AH277" s="35"/>
      <c r="AI277" s="35"/>
      <c r="AJ277" s="35"/>
      <c r="AK277" s="35"/>
      <c r="AL277" s="35"/>
      <c r="AM277" s="35"/>
      <c r="AN277" s="35"/>
      <c r="AO277" s="35"/>
      <c r="AP277" s="35"/>
      <c r="AQ277" s="35"/>
      <c r="AR277" s="35"/>
      <c r="AS277" s="35"/>
      <c r="AT277" s="35"/>
      <c r="AU277" s="35"/>
      <c r="AV277" s="35"/>
      <c r="AW277" s="35"/>
      <c r="AX277" s="35"/>
      <c r="AY277" s="35"/>
      <c r="AZ277" s="35"/>
      <c r="BA277" s="35"/>
      <c r="BB277" s="35"/>
      <c r="BC277" s="35"/>
      <c r="BD277" s="35"/>
      <c r="BE277" s="35"/>
      <c r="BF277" s="35"/>
      <c r="BG277" s="35"/>
      <c r="BH277" s="35"/>
      <c r="BI277" s="35"/>
      <c r="BJ277" s="35"/>
      <c r="BK277" s="35"/>
      <c r="BL277" s="35"/>
      <c r="BM277" s="35"/>
      <c r="BN277" s="35"/>
      <c r="BO277" s="35"/>
    </row>
    <row r="278" spans="1:67" s="3" customFormat="1" x14ac:dyDescent="0.25">
      <c r="A278" s="35"/>
      <c r="B278" s="52"/>
      <c r="C278" s="24"/>
      <c r="D278" s="24"/>
      <c r="E278" s="44"/>
      <c r="F278" s="24"/>
      <c r="G278" s="44"/>
      <c r="H278" s="24"/>
      <c r="I278" s="44"/>
      <c r="J278" s="45"/>
      <c r="K278" s="44"/>
      <c r="L278" s="24"/>
      <c r="M278" s="44"/>
      <c r="N278" s="24"/>
      <c r="O278" s="53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F278" s="35"/>
      <c r="AG278" s="35"/>
      <c r="AH278" s="35"/>
      <c r="AI278" s="35"/>
      <c r="AJ278" s="35"/>
      <c r="AK278" s="35"/>
      <c r="AL278" s="35"/>
      <c r="AM278" s="35"/>
      <c r="AN278" s="35"/>
      <c r="AO278" s="35"/>
      <c r="AP278" s="35"/>
      <c r="AQ278" s="35"/>
      <c r="AR278" s="35"/>
      <c r="AS278" s="35"/>
      <c r="AT278" s="35"/>
      <c r="AU278" s="35"/>
      <c r="AV278" s="35"/>
      <c r="AW278" s="35"/>
      <c r="AX278" s="35"/>
      <c r="AY278" s="35"/>
      <c r="AZ278" s="35"/>
      <c r="BA278" s="35"/>
      <c r="BB278" s="35"/>
      <c r="BC278" s="35"/>
      <c r="BD278" s="35"/>
      <c r="BE278" s="35"/>
      <c r="BF278" s="35"/>
      <c r="BG278" s="35"/>
      <c r="BH278" s="35"/>
      <c r="BI278" s="35"/>
      <c r="BJ278" s="35"/>
      <c r="BK278" s="35"/>
      <c r="BL278" s="35"/>
      <c r="BM278" s="35"/>
      <c r="BN278" s="35"/>
      <c r="BO278" s="35"/>
    </row>
    <row r="279" spans="1:67" s="3" customFormat="1" x14ac:dyDescent="0.25">
      <c r="A279" s="35"/>
      <c r="B279" s="52"/>
      <c r="C279" s="24"/>
      <c r="D279" s="24"/>
      <c r="E279" s="44"/>
      <c r="F279" s="24"/>
      <c r="G279" s="44"/>
      <c r="H279" s="24"/>
      <c r="I279" s="44"/>
      <c r="J279" s="45"/>
      <c r="K279" s="44"/>
      <c r="L279" s="24"/>
      <c r="M279" s="44"/>
      <c r="N279" s="24"/>
      <c r="O279" s="53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F279" s="35"/>
      <c r="AG279" s="35"/>
      <c r="AH279" s="35"/>
      <c r="AI279" s="35"/>
      <c r="AJ279" s="35"/>
      <c r="AK279" s="35"/>
      <c r="AL279" s="35"/>
      <c r="AM279" s="35"/>
      <c r="AN279" s="35"/>
      <c r="AO279" s="35"/>
      <c r="AP279" s="35"/>
      <c r="AQ279" s="35"/>
      <c r="AR279" s="35"/>
      <c r="AS279" s="35"/>
      <c r="AT279" s="35"/>
      <c r="AU279" s="35"/>
      <c r="AV279" s="35"/>
      <c r="AW279" s="35"/>
      <c r="AX279" s="35"/>
      <c r="AY279" s="35"/>
      <c r="AZ279" s="35"/>
      <c r="BA279" s="35"/>
      <c r="BB279" s="35"/>
      <c r="BC279" s="35"/>
      <c r="BD279" s="35"/>
      <c r="BE279" s="35"/>
      <c r="BF279" s="35"/>
      <c r="BG279" s="35"/>
      <c r="BH279" s="35"/>
      <c r="BI279" s="35"/>
      <c r="BJ279" s="35"/>
      <c r="BK279" s="35"/>
      <c r="BL279" s="35"/>
      <c r="BM279" s="35"/>
      <c r="BN279" s="35"/>
      <c r="BO279" s="35"/>
    </row>
    <row r="280" spans="1:67" s="3" customFormat="1" x14ac:dyDescent="0.25">
      <c r="A280" s="35"/>
      <c r="B280" s="52"/>
      <c r="C280" s="24"/>
      <c r="D280" s="24"/>
      <c r="E280" s="44"/>
      <c r="F280" s="24"/>
      <c r="G280" s="44"/>
      <c r="H280" s="24"/>
      <c r="I280" s="44"/>
      <c r="J280" s="45"/>
      <c r="K280" s="44"/>
      <c r="L280" s="24"/>
      <c r="M280" s="44"/>
      <c r="N280" s="24"/>
      <c r="O280" s="53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F280" s="35"/>
      <c r="AG280" s="35"/>
      <c r="AH280" s="35"/>
      <c r="AI280" s="35"/>
      <c r="AJ280" s="35"/>
      <c r="AK280" s="35"/>
      <c r="AL280" s="35"/>
      <c r="AM280" s="35"/>
      <c r="AN280" s="35"/>
      <c r="AO280" s="35"/>
      <c r="AP280" s="35"/>
      <c r="AQ280" s="35"/>
      <c r="AR280" s="35"/>
      <c r="AS280" s="35"/>
      <c r="AT280" s="35"/>
      <c r="AU280" s="35"/>
      <c r="AV280" s="35"/>
      <c r="AW280" s="35"/>
      <c r="AX280" s="35"/>
      <c r="AY280" s="35"/>
      <c r="AZ280" s="35"/>
      <c r="BA280" s="35"/>
      <c r="BB280" s="35"/>
      <c r="BC280" s="35"/>
      <c r="BD280" s="35"/>
      <c r="BE280" s="35"/>
      <c r="BF280" s="35"/>
      <c r="BG280" s="35"/>
      <c r="BH280" s="35"/>
      <c r="BI280" s="35"/>
      <c r="BJ280" s="35"/>
      <c r="BK280" s="35"/>
      <c r="BL280" s="35"/>
      <c r="BM280" s="35"/>
      <c r="BN280" s="35"/>
      <c r="BO280" s="35"/>
    </row>
    <row r="281" spans="1:67" s="3" customFormat="1" x14ac:dyDescent="0.25">
      <c r="A281" s="35"/>
      <c r="B281" s="52"/>
      <c r="C281" s="24"/>
      <c r="D281" s="24"/>
      <c r="E281" s="44"/>
      <c r="F281" s="24"/>
      <c r="G281" s="44"/>
      <c r="H281" s="24"/>
      <c r="I281" s="44"/>
      <c r="J281" s="45"/>
      <c r="K281" s="44"/>
      <c r="L281" s="24"/>
      <c r="M281" s="44"/>
      <c r="N281" s="24"/>
      <c r="O281" s="53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F281" s="35"/>
      <c r="AG281" s="35"/>
      <c r="AH281" s="35"/>
      <c r="AI281" s="35"/>
      <c r="AJ281" s="35"/>
      <c r="AK281" s="35"/>
      <c r="AL281" s="35"/>
      <c r="AM281" s="35"/>
      <c r="AN281" s="35"/>
      <c r="AO281" s="35"/>
      <c r="AP281" s="35"/>
      <c r="AQ281" s="35"/>
      <c r="AR281" s="35"/>
      <c r="AS281" s="35"/>
      <c r="AT281" s="35"/>
      <c r="AU281" s="35"/>
      <c r="AV281" s="35"/>
      <c r="AW281" s="35"/>
      <c r="AX281" s="35"/>
      <c r="AY281" s="35"/>
      <c r="AZ281" s="35"/>
      <c r="BA281" s="35"/>
      <c r="BB281" s="35"/>
      <c r="BC281" s="35"/>
      <c r="BD281" s="35"/>
      <c r="BE281" s="35"/>
      <c r="BF281" s="35"/>
      <c r="BG281" s="35"/>
      <c r="BH281" s="35"/>
      <c r="BI281" s="35"/>
      <c r="BJ281" s="35"/>
      <c r="BK281" s="35"/>
      <c r="BL281" s="35"/>
      <c r="BM281" s="35"/>
      <c r="BN281" s="35"/>
      <c r="BO281" s="35"/>
    </row>
    <row r="282" spans="1:67" s="3" customFormat="1" x14ac:dyDescent="0.25">
      <c r="A282" s="35"/>
      <c r="B282" s="52"/>
      <c r="C282" s="24"/>
      <c r="D282" s="24"/>
      <c r="E282" s="44"/>
      <c r="F282" s="24"/>
      <c r="G282" s="44"/>
      <c r="H282" s="24"/>
      <c r="I282" s="44"/>
      <c r="J282" s="45"/>
      <c r="K282" s="44"/>
      <c r="L282" s="24"/>
      <c r="M282" s="44"/>
      <c r="N282" s="24"/>
      <c r="O282" s="53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F282" s="35"/>
      <c r="AG282" s="35"/>
      <c r="AH282" s="35"/>
      <c r="AI282" s="35"/>
      <c r="AJ282" s="35"/>
      <c r="AK282" s="35"/>
      <c r="AL282" s="35"/>
      <c r="AM282" s="35"/>
      <c r="AN282" s="35"/>
      <c r="AO282" s="35"/>
      <c r="AP282" s="35"/>
      <c r="AQ282" s="35"/>
      <c r="AR282" s="35"/>
      <c r="AS282" s="35"/>
      <c r="AT282" s="35"/>
      <c r="AU282" s="35"/>
      <c r="AV282" s="35"/>
      <c r="AW282" s="35"/>
      <c r="AX282" s="35"/>
      <c r="AY282" s="35"/>
      <c r="AZ282" s="35"/>
      <c r="BA282" s="35"/>
      <c r="BB282" s="35"/>
      <c r="BC282" s="35"/>
      <c r="BD282" s="35"/>
      <c r="BE282" s="35"/>
      <c r="BF282" s="35"/>
      <c r="BG282" s="35"/>
      <c r="BH282" s="35"/>
      <c r="BI282" s="35"/>
      <c r="BJ282" s="35"/>
      <c r="BK282" s="35"/>
      <c r="BL282" s="35"/>
      <c r="BM282" s="35"/>
      <c r="BN282" s="35"/>
      <c r="BO282" s="35"/>
    </row>
    <row r="283" spans="1:67" s="3" customFormat="1" x14ac:dyDescent="0.25">
      <c r="A283" s="35"/>
      <c r="B283" s="52"/>
      <c r="C283" s="24"/>
      <c r="D283" s="24"/>
      <c r="E283" s="44"/>
      <c r="F283" s="24"/>
      <c r="G283" s="44"/>
      <c r="H283" s="24"/>
      <c r="I283" s="44"/>
      <c r="J283" s="45"/>
      <c r="K283" s="44"/>
      <c r="L283" s="24"/>
      <c r="M283" s="44"/>
      <c r="N283" s="24"/>
      <c r="O283" s="53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35"/>
      <c r="AH283" s="35"/>
      <c r="AI283" s="35"/>
      <c r="AJ283" s="35"/>
      <c r="AK283" s="35"/>
      <c r="AL283" s="35"/>
      <c r="AM283" s="35"/>
      <c r="AN283" s="35"/>
      <c r="AO283" s="35"/>
      <c r="AP283" s="35"/>
      <c r="AQ283" s="35"/>
      <c r="AR283" s="35"/>
      <c r="AS283" s="35"/>
      <c r="AT283" s="35"/>
      <c r="AU283" s="35"/>
      <c r="AV283" s="35"/>
      <c r="AW283" s="35"/>
      <c r="AX283" s="35"/>
      <c r="AY283" s="35"/>
      <c r="AZ283" s="35"/>
      <c r="BA283" s="35"/>
      <c r="BB283" s="35"/>
      <c r="BC283" s="35"/>
      <c r="BD283" s="35"/>
      <c r="BE283" s="35"/>
      <c r="BF283" s="35"/>
      <c r="BG283" s="35"/>
      <c r="BH283" s="35"/>
      <c r="BI283" s="35"/>
      <c r="BJ283" s="35"/>
      <c r="BK283" s="35"/>
      <c r="BL283" s="35"/>
      <c r="BM283" s="35"/>
      <c r="BN283" s="35"/>
      <c r="BO283" s="35"/>
    </row>
    <row r="284" spans="1:67" s="3" customFormat="1" x14ac:dyDescent="0.25">
      <c r="A284" s="35"/>
      <c r="B284" s="52"/>
      <c r="C284" s="24"/>
      <c r="D284" s="24"/>
      <c r="E284" s="44"/>
      <c r="F284" s="24"/>
      <c r="G284" s="44"/>
      <c r="H284" s="24"/>
      <c r="I284" s="44"/>
      <c r="J284" s="45"/>
      <c r="K284" s="44"/>
      <c r="L284" s="24"/>
      <c r="M284" s="44"/>
      <c r="N284" s="24"/>
      <c r="O284" s="53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F284" s="35"/>
      <c r="AG284" s="35"/>
      <c r="AH284" s="35"/>
      <c r="AI284" s="35"/>
      <c r="AJ284" s="35"/>
      <c r="AK284" s="35"/>
      <c r="AL284" s="35"/>
      <c r="AM284" s="35"/>
      <c r="AN284" s="35"/>
      <c r="AO284" s="35"/>
      <c r="AP284" s="35"/>
      <c r="AQ284" s="35"/>
      <c r="AR284" s="35"/>
      <c r="AS284" s="35"/>
      <c r="AT284" s="35"/>
      <c r="AU284" s="35"/>
      <c r="AV284" s="35"/>
      <c r="AW284" s="35"/>
      <c r="AX284" s="35"/>
      <c r="AY284" s="35"/>
      <c r="AZ284" s="35"/>
      <c r="BA284" s="35"/>
      <c r="BB284" s="35"/>
      <c r="BC284" s="35"/>
      <c r="BD284" s="35"/>
      <c r="BE284" s="35"/>
      <c r="BF284" s="35"/>
      <c r="BG284" s="35"/>
      <c r="BH284" s="35"/>
      <c r="BI284" s="35"/>
      <c r="BJ284" s="35"/>
      <c r="BK284" s="35"/>
      <c r="BL284" s="35"/>
      <c r="BM284" s="35"/>
      <c r="BN284" s="35"/>
      <c r="BO284" s="35"/>
    </row>
    <row r="285" spans="1:67" s="3" customFormat="1" ht="18" x14ac:dyDescent="0.25">
      <c r="A285" s="35"/>
      <c r="B285" s="52"/>
      <c r="C285" s="46"/>
      <c r="D285" s="24"/>
      <c r="E285" s="44"/>
      <c r="F285" s="24"/>
      <c r="G285" s="44"/>
      <c r="H285" s="24"/>
      <c r="I285" s="44"/>
      <c r="J285" s="45"/>
      <c r="K285" s="44"/>
      <c r="L285" s="24"/>
      <c r="M285" s="44"/>
      <c r="N285" s="24"/>
      <c r="O285" s="53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F285" s="35"/>
      <c r="AG285" s="35"/>
      <c r="AH285" s="35"/>
      <c r="AI285" s="35"/>
      <c r="AJ285" s="35"/>
      <c r="AK285" s="35"/>
      <c r="AL285" s="35"/>
      <c r="AM285" s="35"/>
      <c r="AN285" s="35"/>
      <c r="AO285" s="35"/>
      <c r="AP285" s="35"/>
      <c r="AQ285" s="35"/>
      <c r="AR285" s="35"/>
      <c r="AS285" s="35"/>
      <c r="AT285" s="35"/>
      <c r="AU285" s="35"/>
      <c r="AV285" s="35"/>
      <c r="AW285" s="35"/>
      <c r="AX285" s="35"/>
      <c r="AY285" s="35"/>
      <c r="AZ285" s="35"/>
      <c r="BA285" s="35"/>
      <c r="BB285" s="35"/>
      <c r="BC285" s="35"/>
      <c r="BD285" s="35"/>
      <c r="BE285" s="35"/>
      <c r="BF285" s="35"/>
      <c r="BG285" s="35"/>
      <c r="BH285" s="35"/>
      <c r="BI285" s="35"/>
      <c r="BJ285" s="35"/>
      <c r="BK285" s="35"/>
      <c r="BL285" s="35"/>
      <c r="BM285" s="35"/>
      <c r="BN285" s="35"/>
      <c r="BO285" s="35"/>
    </row>
    <row r="286" spans="1:67" s="3" customFormat="1" x14ac:dyDescent="0.25">
      <c r="A286" s="35"/>
      <c r="B286" s="52"/>
      <c r="C286" s="24"/>
      <c r="D286" s="24"/>
      <c r="E286" s="44"/>
      <c r="F286" s="24"/>
      <c r="G286" s="44"/>
      <c r="H286" s="24"/>
      <c r="I286" s="44"/>
      <c r="J286" s="45"/>
      <c r="K286" s="44"/>
      <c r="L286" s="24"/>
      <c r="M286" s="44"/>
      <c r="N286" s="24"/>
      <c r="O286" s="53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F286" s="35"/>
      <c r="AG286" s="35"/>
      <c r="AH286" s="35"/>
      <c r="AI286" s="35"/>
      <c r="AJ286" s="35"/>
      <c r="AK286" s="35"/>
      <c r="AL286" s="35"/>
      <c r="AM286" s="35"/>
      <c r="AN286" s="35"/>
      <c r="AO286" s="35"/>
      <c r="AP286" s="35"/>
      <c r="AQ286" s="35"/>
      <c r="AR286" s="35"/>
      <c r="AS286" s="35"/>
      <c r="AT286" s="35"/>
      <c r="AU286" s="35"/>
      <c r="AV286" s="35"/>
      <c r="AW286" s="35"/>
      <c r="AX286" s="35"/>
      <c r="AY286" s="35"/>
      <c r="AZ286" s="35"/>
      <c r="BA286" s="35"/>
      <c r="BB286" s="35"/>
      <c r="BC286" s="35"/>
      <c r="BD286" s="35"/>
      <c r="BE286" s="35"/>
      <c r="BF286" s="35"/>
      <c r="BG286" s="35"/>
      <c r="BH286" s="35"/>
      <c r="BI286" s="35"/>
      <c r="BJ286" s="35"/>
      <c r="BK286" s="35"/>
      <c r="BL286" s="35"/>
      <c r="BM286" s="35"/>
      <c r="BN286" s="35"/>
      <c r="BO286" s="35"/>
    </row>
    <row r="287" spans="1:67" s="3" customFormat="1" x14ac:dyDescent="0.25">
      <c r="A287" s="35"/>
      <c r="B287" s="52"/>
      <c r="C287" s="24"/>
      <c r="D287" s="24"/>
      <c r="E287" s="44"/>
      <c r="F287" s="24"/>
      <c r="G287" s="44"/>
      <c r="H287" s="24"/>
      <c r="I287" s="44"/>
      <c r="J287" s="45"/>
      <c r="K287" s="44"/>
      <c r="L287" s="24"/>
      <c r="M287" s="44"/>
      <c r="N287" s="24"/>
      <c r="O287" s="53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F287" s="35"/>
      <c r="AG287" s="35"/>
      <c r="AH287" s="35"/>
      <c r="AI287" s="35"/>
      <c r="AJ287" s="35"/>
      <c r="AK287" s="35"/>
      <c r="AL287" s="35"/>
      <c r="AM287" s="35"/>
      <c r="AN287" s="35"/>
      <c r="AO287" s="35"/>
      <c r="AP287" s="35"/>
      <c r="AQ287" s="35"/>
      <c r="AR287" s="35"/>
      <c r="AS287" s="35"/>
      <c r="AT287" s="35"/>
      <c r="AU287" s="35"/>
      <c r="AV287" s="35"/>
      <c r="AW287" s="35"/>
      <c r="AX287" s="35"/>
      <c r="AY287" s="35"/>
      <c r="AZ287" s="35"/>
      <c r="BA287" s="35"/>
      <c r="BB287" s="35"/>
      <c r="BC287" s="35"/>
      <c r="BD287" s="35"/>
      <c r="BE287" s="35"/>
      <c r="BF287" s="35"/>
      <c r="BG287" s="35"/>
      <c r="BH287" s="35"/>
      <c r="BI287" s="35"/>
      <c r="BJ287" s="35"/>
      <c r="BK287" s="35"/>
      <c r="BL287" s="35"/>
      <c r="BM287" s="35"/>
      <c r="BN287" s="35"/>
      <c r="BO287" s="35"/>
    </row>
    <row r="288" spans="1:67" s="3" customFormat="1" x14ac:dyDescent="0.25">
      <c r="A288" s="35"/>
      <c r="B288" s="52"/>
      <c r="C288" s="24"/>
      <c r="D288" s="24"/>
      <c r="E288" s="44"/>
      <c r="F288" s="24"/>
      <c r="G288" s="44"/>
      <c r="H288" s="24"/>
      <c r="I288" s="44"/>
      <c r="J288" s="45"/>
      <c r="K288" s="44"/>
      <c r="L288" s="24"/>
      <c r="M288" s="44"/>
      <c r="N288" s="24"/>
      <c r="O288" s="53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F288" s="35"/>
      <c r="AG288" s="35"/>
      <c r="AH288" s="35"/>
      <c r="AI288" s="35"/>
      <c r="AJ288" s="35"/>
      <c r="AK288" s="35"/>
      <c r="AL288" s="35"/>
      <c r="AM288" s="35"/>
      <c r="AN288" s="35"/>
      <c r="AO288" s="35"/>
      <c r="AP288" s="35"/>
      <c r="AQ288" s="35"/>
      <c r="AR288" s="35"/>
      <c r="AS288" s="35"/>
      <c r="AT288" s="35"/>
      <c r="AU288" s="35"/>
      <c r="AV288" s="35"/>
      <c r="AW288" s="35"/>
      <c r="AX288" s="35"/>
      <c r="AY288" s="35"/>
      <c r="AZ288" s="35"/>
      <c r="BA288" s="35"/>
      <c r="BB288" s="35"/>
      <c r="BC288" s="35"/>
      <c r="BD288" s="35"/>
      <c r="BE288" s="35"/>
      <c r="BF288" s="35"/>
      <c r="BG288" s="35"/>
      <c r="BH288" s="35"/>
      <c r="BI288" s="35"/>
      <c r="BJ288" s="35"/>
      <c r="BK288" s="35"/>
      <c r="BL288" s="35"/>
      <c r="BM288" s="35"/>
      <c r="BN288" s="35"/>
      <c r="BO288" s="35"/>
    </row>
    <row r="289" spans="1:67" s="3" customFormat="1" x14ac:dyDescent="0.25">
      <c r="A289" s="35"/>
      <c r="B289" s="52"/>
      <c r="C289" s="24"/>
      <c r="D289" s="24"/>
      <c r="E289" s="44"/>
      <c r="F289" s="24"/>
      <c r="G289" s="44"/>
      <c r="H289" s="24"/>
      <c r="I289" s="44"/>
      <c r="J289" s="45"/>
      <c r="K289" s="44"/>
      <c r="L289" s="24"/>
      <c r="M289" s="44"/>
      <c r="N289" s="24"/>
      <c r="O289" s="53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F289" s="35"/>
      <c r="AG289" s="35"/>
      <c r="AH289" s="35"/>
      <c r="AI289" s="35"/>
      <c r="AJ289" s="35"/>
      <c r="AK289" s="35"/>
      <c r="AL289" s="35"/>
      <c r="AM289" s="35"/>
      <c r="AN289" s="35"/>
      <c r="AO289" s="35"/>
      <c r="AP289" s="35"/>
      <c r="AQ289" s="35"/>
      <c r="AR289" s="35"/>
      <c r="AS289" s="35"/>
      <c r="AT289" s="35"/>
      <c r="AU289" s="35"/>
      <c r="AV289" s="35"/>
      <c r="AW289" s="35"/>
      <c r="AX289" s="35"/>
      <c r="AY289" s="35"/>
      <c r="AZ289" s="35"/>
      <c r="BA289" s="35"/>
      <c r="BB289" s="35"/>
      <c r="BC289" s="35"/>
      <c r="BD289" s="35"/>
      <c r="BE289" s="35"/>
      <c r="BF289" s="35"/>
      <c r="BG289" s="35"/>
      <c r="BH289" s="35"/>
      <c r="BI289" s="35"/>
      <c r="BJ289" s="35"/>
      <c r="BK289" s="35"/>
      <c r="BL289" s="35"/>
      <c r="BM289" s="35"/>
      <c r="BN289" s="35"/>
      <c r="BO289" s="35"/>
    </row>
    <row r="290" spans="1:67" s="3" customFormat="1" x14ac:dyDescent="0.25">
      <c r="A290" s="35"/>
      <c r="B290" s="52"/>
      <c r="C290" s="24"/>
      <c r="D290" s="24"/>
      <c r="E290" s="44"/>
      <c r="F290" s="24"/>
      <c r="G290" s="44"/>
      <c r="H290" s="24"/>
      <c r="I290" s="44"/>
      <c r="J290" s="45"/>
      <c r="K290" s="44"/>
      <c r="L290" s="24"/>
      <c r="M290" s="44"/>
      <c r="N290" s="24"/>
      <c r="O290" s="53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F290" s="35"/>
      <c r="AG290" s="35"/>
      <c r="AH290" s="35"/>
      <c r="AI290" s="35"/>
      <c r="AJ290" s="35"/>
      <c r="AK290" s="35"/>
      <c r="AL290" s="35"/>
      <c r="AM290" s="35"/>
      <c r="AN290" s="35"/>
      <c r="AO290" s="35"/>
      <c r="AP290" s="35"/>
      <c r="AQ290" s="35"/>
      <c r="AR290" s="35"/>
      <c r="AS290" s="35"/>
      <c r="AT290" s="35"/>
      <c r="AU290" s="35"/>
      <c r="AV290" s="35"/>
      <c r="AW290" s="35"/>
      <c r="AX290" s="35"/>
      <c r="AY290" s="35"/>
      <c r="AZ290" s="35"/>
      <c r="BA290" s="35"/>
      <c r="BB290" s="35"/>
      <c r="BC290" s="35"/>
      <c r="BD290" s="35"/>
      <c r="BE290" s="35"/>
      <c r="BF290" s="35"/>
      <c r="BG290" s="35"/>
      <c r="BH290" s="35"/>
      <c r="BI290" s="35"/>
      <c r="BJ290" s="35"/>
      <c r="BK290" s="35"/>
      <c r="BL290" s="35"/>
      <c r="BM290" s="35"/>
      <c r="BN290" s="35"/>
      <c r="BO290" s="35"/>
    </row>
    <row r="291" spans="1:67" s="3" customFormat="1" x14ac:dyDescent="0.25">
      <c r="A291" s="35"/>
      <c r="B291" s="52"/>
      <c r="C291" s="24"/>
      <c r="D291" s="24"/>
      <c r="E291" s="44"/>
      <c r="F291" s="24"/>
      <c r="G291" s="44"/>
      <c r="H291" s="24"/>
      <c r="I291" s="44"/>
      <c r="J291" s="45"/>
      <c r="K291" s="44"/>
      <c r="L291" s="24"/>
      <c r="M291" s="44"/>
      <c r="N291" s="24"/>
      <c r="O291" s="53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F291" s="35"/>
      <c r="AG291" s="35"/>
      <c r="AH291" s="35"/>
      <c r="AI291" s="35"/>
      <c r="AJ291" s="35"/>
      <c r="AK291" s="35"/>
      <c r="AL291" s="35"/>
      <c r="AM291" s="35"/>
      <c r="AN291" s="35"/>
      <c r="AO291" s="35"/>
      <c r="AP291" s="35"/>
      <c r="AQ291" s="35"/>
      <c r="AR291" s="35"/>
      <c r="AS291" s="35"/>
      <c r="AT291" s="35"/>
      <c r="AU291" s="35"/>
      <c r="AV291" s="35"/>
      <c r="AW291" s="35"/>
      <c r="AX291" s="35"/>
      <c r="AY291" s="35"/>
      <c r="AZ291" s="35"/>
      <c r="BA291" s="35"/>
      <c r="BB291" s="35"/>
      <c r="BC291" s="35"/>
      <c r="BD291" s="35"/>
      <c r="BE291" s="35"/>
      <c r="BF291" s="35"/>
      <c r="BG291" s="35"/>
      <c r="BH291" s="35"/>
      <c r="BI291" s="35"/>
      <c r="BJ291" s="35"/>
      <c r="BK291" s="35"/>
      <c r="BL291" s="35"/>
      <c r="BM291" s="35"/>
      <c r="BN291" s="35"/>
      <c r="BO291" s="35"/>
    </row>
    <row r="292" spans="1:67" s="3" customFormat="1" x14ac:dyDescent="0.25">
      <c r="A292" s="35"/>
      <c r="B292" s="52"/>
      <c r="C292" s="24"/>
      <c r="D292" s="24"/>
      <c r="E292" s="44"/>
      <c r="F292" s="24"/>
      <c r="G292" s="44"/>
      <c r="H292" s="24"/>
      <c r="I292" s="44"/>
      <c r="J292" s="45"/>
      <c r="K292" s="44"/>
      <c r="L292" s="24"/>
      <c r="M292" s="44"/>
      <c r="N292" s="24"/>
      <c r="O292" s="53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35"/>
      <c r="AH292" s="35"/>
      <c r="AI292" s="35"/>
      <c r="AJ292" s="35"/>
      <c r="AK292" s="35"/>
      <c r="AL292" s="35"/>
      <c r="AM292" s="35"/>
      <c r="AN292" s="35"/>
      <c r="AO292" s="35"/>
      <c r="AP292" s="35"/>
      <c r="AQ292" s="35"/>
      <c r="AR292" s="35"/>
      <c r="AS292" s="35"/>
      <c r="AT292" s="35"/>
      <c r="AU292" s="35"/>
      <c r="AV292" s="35"/>
      <c r="AW292" s="35"/>
      <c r="AX292" s="35"/>
      <c r="AY292" s="35"/>
      <c r="AZ292" s="35"/>
      <c r="BA292" s="35"/>
      <c r="BB292" s="35"/>
      <c r="BC292" s="35"/>
      <c r="BD292" s="35"/>
      <c r="BE292" s="35"/>
      <c r="BF292" s="35"/>
      <c r="BG292" s="35"/>
      <c r="BH292" s="35"/>
      <c r="BI292" s="35"/>
      <c r="BJ292" s="35"/>
      <c r="BK292" s="35"/>
      <c r="BL292" s="35"/>
      <c r="BM292" s="35"/>
      <c r="BN292" s="35"/>
      <c r="BO292" s="35"/>
    </row>
    <row r="293" spans="1:67" s="3" customFormat="1" x14ac:dyDescent="0.25">
      <c r="A293" s="35"/>
      <c r="B293" s="52"/>
      <c r="C293" s="24"/>
      <c r="D293" s="24"/>
      <c r="E293" s="44"/>
      <c r="F293" s="24"/>
      <c r="G293" s="44"/>
      <c r="H293" s="24"/>
      <c r="I293" s="44"/>
      <c r="J293" s="45"/>
      <c r="K293" s="44"/>
      <c r="L293" s="24"/>
      <c r="M293" s="44"/>
      <c r="N293" s="24"/>
      <c r="O293" s="53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F293" s="35"/>
      <c r="AG293" s="35"/>
      <c r="AH293" s="35"/>
      <c r="AI293" s="35"/>
      <c r="AJ293" s="35"/>
      <c r="AK293" s="35"/>
      <c r="AL293" s="35"/>
      <c r="AM293" s="35"/>
      <c r="AN293" s="35"/>
      <c r="AO293" s="35"/>
      <c r="AP293" s="35"/>
      <c r="AQ293" s="35"/>
      <c r="AR293" s="35"/>
      <c r="AS293" s="35"/>
      <c r="AT293" s="35"/>
      <c r="AU293" s="35"/>
      <c r="AV293" s="35"/>
      <c r="AW293" s="35"/>
      <c r="AX293" s="35"/>
      <c r="AY293" s="35"/>
      <c r="AZ293" s="35"/>
      <c r="BA293" s="35"/>
      <c r="BB293" s="35"/>
      <c r="BC293" s="35"/>
      <c r="BD293" s="35"/>
      <c r="BE293" s="35"/>
      <c r="BF293" s="35"/>
      <c r="BG293" s="35"/>
      <c r="BH293" s="35"/>
      <c r="BI293" s="35"/>
      <c r="BJ293" s="35"/>
      <c r="BK293" s="35"/>
      <c r="BL293" s="35"/>
      <c r="BM293" s="35"/>
      <c r="BN293" s="35"/>
      <c r="BO293" s="35"/>
    </row>
    <row r="294" spans="1:67" s="3" customFormat="1" x14ac:dyDescent="0.25">
      <c r="A294" s="35"/>
      <c r="B294" s="52"/>
      <c r="C294" s="24"/>
      <c r="D294" s="24"/>
      <c r="E294" s="44"/>
      <c r="F294" s="24"/>
      <c r="G294" s="44"/>
      <c r="H294" s="24"/>
      <c r="I294" s="44"/>
      <c r="J294" s="45"/>
      <c r="K294" s="44"/>
      <c r="L294" s="24"/>
      <c r="M294" s="44"/>
      <c r="N294" s="24"/>
      <c r="O294" s="53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F294" s="35"/>
      <c r="AG294" s="35"/>
      <c r="AH294" s="35"/>
      <c r="AI294" s="35"/>
      <c r="AJ294" s="35"/>
      <c r="AK294" s="35"/>
      <c r="AL294" s="35"/>
      <c r="AM294" s="35"/>
      <c r="AN294" s="35"/>
      <c r="AO294" s="35"/>
      <c r="AP294" s="35"/>
      <c r="AQ294" s="35"/>
      <c r="AR294" s="35"/>
      <c r="AS294" s="35"/>
      <c r="AT294" s="35"/>
      <c r="AU294" s="35"/>
      <c r="AV294" s="35"/>
      <c r="AW294" s="35"/>
      <c r="AX294" s="35"/>
      <c r="AY294" s="35"/>
      <c r="AZ294" s="35"/>
      <c r="BA294" s="35"/>
      <c r="BB294" s="35"/>
      <c r="BC294" s="35"/>
      <c r="BD294" s="35"/>
      <c r="BE294" s="35"/>
      <c r="BF294" s="35"/>
      <c r="BG294" s="35"/>
      <c r="BH294" s="35"/>
      <c r="BI294" s="35"/>
      <c r="BJ294" s="35"/>
      <c r="BK294" s="35"/>
      <c r="BL294" s="35"/>
      <c r="BM294" s="35"/>
      <c r="BN294" s="35"/>
      <c r="BO294" s="35"/>
    </row>
    <row r="295" spans="1:67" s="3" customFormat="1" x14ac:dyDescent="0.25">
      <c r="A295" s="35"/>
      <c r="B295" s="52"/>
      <c r="C295" s="24"/>
      <c r="D295" s="24"/>
      <c r="E295" s="44"/>
      <c r="F295" s="24"/>
      <c r="G295" s="44"/>
      <c r="H295" s="24"/>
      <c r="I295" s="44"/>
      <c r="J295" s="45"/>
      <c r="K295" s="44"/>
      <c r="L295" s="24"/>
      <c r="M295" s="44"/>
      <c r="N295" s="24"/>
      <c r="O295" s="53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F295" s="35"/>
      <c r="AG295" s="35"/>
      <c r="AH295" s="35"/>
      <c r="AI295" s="35"/>
      <c r="AJ295" s="35"/>
      <c r="AK295" s="35"/>
      <c r="AL295" s="35"/>
      <c r="AM295" s="35"/>
      <c r="AN295" s="35"/>
      <c r="AO295" s="35"/>
      <c r="AP295" s="35"/>
      <c r="AQ295" s="35"/>
      <c r="AR295" s="35"/>
      <c r="AS295" s="35"/>
      <c r="AT295" s="35"/>
      <c r="AU295" s="35"/>
      <c r="AV295" s="35"/>
      <c r="AW295" s="35"/>
      <c r="AX295" s="35"/>
      <c r="AY295" s="35"/>
      <c r="AZ295" s="35"/>
      <c r="BA295" s="35"/>
      <c r="BB295" s="35"/>
      <c r="BC295" s="35"/>
      <c r="BD295" s="35"/>
      <c r="BE295" s="35"/>
      <c r="BF295" s="35"/>
      <c r="BG295" s="35"/>
      <c r="BH295" s="35"/>
      <c r="BI295" s="35"/>
      <c r="BJ295" s="35"/>
      <c r="BK295" s="35"/>
      <c r="BL295" s="35"/>
      <c r="BM295" s="35"/>
      <c r="BN295" s="35"/>
      <c r="BO295" s="35"/>
    </row>
    <row r="296" spans="1:67" s="3" customFormat="1" x14ac:dyDescent="0.25">
      <c r="A296" s="35"/>
      <c r="B296" s="52"/>
      <c r="C296" s="24"/>
      <c r="D296" s="24"/>
      <c r="E296" s="44"/>
      <c r="F296" s="24"/>
      <c r="G296" s="44"/>
      <c r="H296" s="24"/>
      <c r="I296" s="44"/>
      <c r="J296" s="45"/>
      <c r="K296" s="44"/>
      <c r="L296" s="24"/>
      <c r="M296" s="44"/>
      <c r="N296" s="24"/>
      <c r="O296" s="53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35"/>
      <c r="AH296" s="35"/>
      <c r="AI296" s="35"/>
      <c r="AJ296" s="35"/>
      <c r="AK296" s="35"/>
      <c r="AL296" s="35"/>
      <c r="AM296" s="35"/>
      <c r="AN296" s="35"/>
      <c r="AO296" s="35"/>
      <c r="AP296" s="35"/>
      <c r="AQ296" s="35"/>
      <c r="AR296" s="35"/>
      <c r="AS296" s="35"/>
      <c r="AT296" s="35"/>
      <c r="AU296" s="35"/>
      <c r="AV296" s="35"/>
      <c r="AW296" s="35"/>
      <c r="AX296" s="35"/>
      <c r="AY296" s="35"/>
      <c r="AZ296" s="35"/>
      <c r="BA296" s="35"/>
      <c r="BB296" s="35"/>
      <c r="BC296" s="35"/>
      <c r="BD296" s="35"/>
      <c r="BE296" s="35"/>
      <c r="BF296" s="35"/>
      <c r="BG296" s="35"/>
      <c r="BH296" s="35"/>
      <c r="BI296" s="35"/>
      <c r="BJ296" s="35"/>
      <c r="BK296" s="35"/>
      <c r="BL296" s="35"/>
      <c r="BM296" s="35"/>
      <c r="BN296" s="35"/>
      <c r="BO296" s="35"/>
    </row>
    <row r="297" spans="1:67" s="3" customFormat="1" x14ac:dyDescent="0.25">
      <c r="A297" s="35"/>
      <c r="B297" s="52"/>
      <c r="C297" s="24"/>
      <c r="D297" s="24"/>
      <c r="E297" s="44"/>
      <c r="F297" s="24"/>
      <c r="G297" s="44"/>
      <c r="H297" s="24"/>
      <c r="I297" s="44"/>
      <c r="J297" s="45"/>
      <c r="K297" s="44"/>
      <c r="L297" s="24"/>
      <c r="M297" s="44"/>
      <c r="N297" s="24"/>
      <c r="O297" s="53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F297" s="35"/>
      <c r="AG297" s="35"/>
      <c r="AH297" s="35"/>
      <c r="AI297" s="35"/>
      <c r="AJ297" s="35"/>
      <c r="AK297" s="35"/>
      <c r="AL297" s="35"/>
      <c r="AM297" s="35"/>
      <c r="AN297" s="35"/>
      <c r="AO297" s="35"/>
      <c r="AP297" s="35"/>
      <c r="AQ297" s="35"/>
      <c r="AR297" s="35"/>
      <c r="AS297" s="35"/>
      <c r="AT297" s="35"/>
      <c r="AU297" s="35"/>
      <c r="AV297" s="35"/>
      <c r="AW297" s="35"/>
      <c r="AX297" s="35"/>
      <c r="AY297" s="35"/>
      <c r="AZ297" s="35"/>
      <c r="BA297" s="35"/>
      <c r="BB297" s="35"/>
      <c r="BC297" s="35"/>
      <c r="BD297" s="35"/>
      <c r="BE297" s="35"/>
      <c r="BF297" s="35"/>
      <c r="BG297" s="35"/>
      <c r="BH297" s="35"/>
      <c r="BI297" s="35"/>
      <c r="BJ297" s="35"/>
      <c r="BK297" s="35"/>
      <c r="BL297" s="35"/>
      <c r="BM297" s="35"/>
      <c r="BN297" s="35"/>
      <c r="BO297" s="35"/>
    </row>
    <row r="298" spans="1:67" s="3" customFormat="1" x14ac:dyDescent="0.25">
      <c r="A298" s="35"/>
      <c r="B298" s="52"/>
      <c r="C298" s="24"/>
      <c r="D298" s="24"/>
      <c r="E298" s="44"/>
      <c r="F298" s="24"/>
      <c r="G298" s="44"/>
      <c r="H298" s="24"/>
      <c r="I298" s="44"/>
      <c r="J298" s="45"/>
      <c r="K298" s="44"/>
      <c r="L298" s="24"/>
      <c r="M298" s="44"/>
      <c r="N298" s="24"/>
      <c r="O298" s="53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F298" s="35"/>
      <c r="AG298" s="35"/>
      <c r="AH298" s="35"/>
      <c r="AI298" s="35"/>
      <c r="AJ298" s="35"/>
      <c r="AK298" s="35"/>
      <c r="AL298" s="35"/>
      <c r="AM298" s="35"/>
      <c r="AN298" s="35"/>
      <c r="AO298" s="35"/>
      <c r="AP298" s="35"/>
      <c r="AQ298" s="35"/>
      <c r="AR298" s="35"/>
      <c r="AS298" s="35"/>
      <c r="AT298" s="35"/>
      <c r="AU298" s="35"/>
      <c r="AV298" s="35"/>
      <c r="AW298" s="35"/>
      <c r="AX298" s="35"/>
      <c r="AY298" s="35"/>
      <c r="AZ298" s="35"/>
      <c r="BA298" s="35"/>
      <c r="BB298" s="35"/>
      <c r="BC298" s="35"/>
      <c r="BD298" s="35"/>
      <c r="BE298" s="35"/>
      <c r="BF298" s="35"/>
      <c r="BG298" s="35"/>
      <c r="BH298" s="35"/>
      <c r="BI298" s="35"/>
      <c r="BJ298" s="35"/>
      <c r="BK298" s="35"/>
      <c r="BL298" s="35"/>
      <c r="BM298" s="35"/>
      <c r="BN298" s="35"/>
      <c r="BO298" s="35"/>
    </row>
    <row r="299" spans="1:67" s="3" customFormat="1" x14ac:dyDescent="0.25">
      <c r="A299" s="35"/>
      <c r="B299" s="52"/>
      <c r="C299" s="24"/>
      <c r="D299" s="24"/>
      <c r="E299" s="44"/>
      <c r="F299" s="24"/>
      <c r="G299" s="44"/>
      <c r="H299" s="24"/>
      <c r="I299" s="44"/>
      <c r="J299" s="45"/>
      <c r="K299" s="44"/>
      <c r="L299" s="24"/>
      <c r="M299" s="44"/>
      <c r="N299" s="24"/>
      <c r="O299" s="53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F299" s="35"/>
      <c r="AG299" s="35"/>
      <c r="AH299" s="35"/>
      <c r="AI299" s="35"/>
      <c r="AJ299" s="35"/>
      <c r="AK299" s="35"/>
      <c r="AL299" s="35"/>
      <c r="AM299" s="35"/>
      <c r="AN299" s="35"/>
      <c r="AO299" s="35"/>
      <c r="AP299" s="35"/>
      <c r="AQ299" s="35"/>
      <c r="AR299" s="35"/>
      <c r="AS299" s="35"/>
      <c r="AT299" s="35"/>
      <c r="AU299" s="35"/>
      <c r="AV299" s="35"/>
      <c r="AW299" s="35"/>
      <c r="AX299" s="35"/>
      <c r="AY299" s="35"/>
      <c r="AZ299" s="35"/>
      <c r="BA299" s="35"/>
      <c r="BB299" s="35"/>
      <c r="BC299" s="35"/>
      <c r="BD299" s="35"/>
      <c r="BE299" s="35"/>
      <c r="BF299" s="35"/>
      <c r="BG299" s="35"/>
      <c r="BH299" s="35"/>
      <c r="BI299" s="35"/>
      <c r="BJ299" s="35"/>
      <c r="BK299" s="35"/>
      <c r="BL299" s="35"/>
      <c r="BM299" s="35"/>
      <c r="BN299" s="35"/>
      <c r="BO299" s="35"/>
    </row>
    <row r="300" spans="1:67" s="3" customFormat="1" x14ac:dyDescent="0.25">
      <c r="A300" s="35"/>
      <c r="B300" s="52"/>
      <c r="C300" s="24"/>
      <c r="D300" s="24"/>
      <c r="E300" s="44"/>
      <c r="F300" s="24"/>
      <c r="G300" s="44"/>
      <c r="H300" s="24"/>
      <c r="I300" s="44"/>
      <c r="J300" s="45"/>
      <c r="K300" s="44"/>
      <c r="L300" s="24"/>
      <c r="M300" s="44"/>
      <c r="N300" s="24"/>
      <c r="O300" s="53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F300" s="35"/>
      <c r="AG300" s="35"/>
      <c r="AH300" s="35"/>
      <c r="AI300" s="35"/>
      <c r="AJ300" s="35"/>
      <c r="AK300" s="35"/>
      <c r="AL300" s="35"/>
      <c r="AM300" s="35"/>
      <c r="AN300" s="35"/>
      <c r="AO300" s="35"/>
      <c r="AP300" s="35"/>
      <c r="AQ300" s="35"/>
      <c r="AR300" s="35"/>
      <c r="AS300" s="35"/>
      <c r="AT300" s="35"/>
      <c r="AU300" s="35"/>
      <c r="AV300" s="35"/>
      <c r="AW300" s="35"/>
      <c r="AX300" s="35"/>
      <c r="AY300" s="35"/>
      <c r="AZ300" s="35"/>
      <c r="BA300" s="35"/>
      <c r="BB300" s="35"/>
      <c r="BC300" s="35"/>
      <c r="BD300" s="35"/>
      <c r="BE300" s="35"/>
      <c r="BF300" s="35"/>
      <c r="BG300" s="35"/>
      <c r="BH300" s="35"/>
      <c r="BI300" s="35"/>
      <c r="BJ300" s="35"/>
      <c r="BK300" s="35"/>
      <c r="BL300" s="35"/>
      <c r="BM300" s="35"/>
      <c r="BN300" s="35"/>
      <c r="BO300" s="35"/>
    </row>
    <row r="301" spans="1:67" s="3" customFormat="1" x14ac:dyDescent="0.25">
      <c r="A301" s="35"/>
      <c r="B301" s="52"/>
      <c r="C301" s="24"/>
      <c r="D301" s="24"/>
      <c r="E301" s="44"/>
      <c r="F301" s="24"/>
      <c r="G301" s="44"/>
      <c r="H301" s="24"/>
      <c r="I301" s="44"/>
      <c r="J301" s="45"/>
      <c r="K301" s="44"/>
      <c r="L301" s="24"/>
      <c r="M301" s="44"/>
      <c r="N301" s="24"/>
      <c r="O301" s="53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F301" s="35"/>
      <c r="AG301" s="35"/>
      <c r="AH301" s="35"/>
      <c r="AI301" s="35"/>
      <c r="AJ301" s="35"/>
      <c r="AK301" s="35"/>
      <c r="AL301" s="35"/>
      <c r="AM301" s="35"/>
      <c r="AN301" s="35"/>
      <c r="AO301" s="35"/>
      <c r="AP301" s="35"/>
      <c r="AQ301" s="35"/>
      <c r="AR301" s="35"/>
      <c r="AS301" s="35"/>
      <c r="AT301" s="35"/>
      <c r="AU301" s="35"/>
      <c r="AV301" s="35"/>
      <c r="AW301" s="35"/>
      <c r="AX301" s="35"/>
      <c r="AY301" s="35"/>
      <c r="AZ301" s="35"/>
      <c r="BA301" s="35"/>
      <c r="BB301" s="35"/>
      <c r="BC301" s="35"/>
      <c r="BD301" s="35"/>
      <c r="BE301" s="35"/>
      <c r="BF301" s="35"/>
      <c r="BG301" s="35"/>
      <c r="BH301" s="35"/>
      <c r="BI301" s="35"/>
      <c r="BJ301" s="35"/>
      <c r="BK301" s="35"/>
      <c r="BL301" s="35"/>
      <c r="BM301" s="35"/>
      <c r="BN301" s="35"/>
      <c r="BO301" s="35"/>
    </row>
    <row r="302" spans="1:67" s="3" customFormat="1" x14ac:dyDescent="0.25">
      <c r="A302" s="35"/>
      <c r="B302" s="52"/>
      <c r="C302" s="24"/>
      <c r="D302" s="24"/>
      <c r="E302" s="44"/>
      <c r="F302" s="24"/>
      <c r="G302" s="44"/>
      <c r="H302" s="24"/>
      <c r="I302" s="44"/>
      <c r="J302" s="45"/>
      <c r="K302" s="44"/>
      <c r="L302" s="24"/>
      <c r="M302" s="44"/>
      <c r="N302" s="24"/>
      <c r="O302" s="53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F302" s="35"/>
      <c r="AG302" s="35"/>
      <c r="AH302" s="35"/>
      <c r="AI302" s="35"/>
      <c r="AJ302" s="35"/>
      <c r="AK302" s="35"/>
      <c r="AL302" s="35"/>
      <c r="AM302" s="35"/>
      <c r="AN302" s="35"/>
      <c r="AO302" s="35"/>
      <c r="AP302" s="35"/>
      <c r="AQ302" s="35"/>
      <c r="AR302" s="35"/>
      <c r="AS302" s="35"/>
      <c r="AT302" s="35"/>
      <c r="AU302" s="35"/>
      <c r="AV302" s="35"/>
      <c r="AW302" s="35"/>
      <c r="AX302" s="35"/>
      <c r="AY302" s="35"/>
      <c r="AZ302" s="35"/>
      <c r="BA302" s="35"/>
      <c r="BB302" s="35"/>
      <c r="BC302" s="35"/>
      <c r="BD302" s="35"/>
      <c r="BE302" s="35"/>
      <c r="BF302" s="35"/>
      <c r="BG302" s="35"/>
      <c r="BH302" s="35"/>
      <c r="BI302" s="35"/>
      <c r="BJ302" s="35"/>
      <c r="BK302" s="35"/>
      <c r="BL302" s="35"/>
      <c r="BM302" s="35"/>
      <c r="BN302" s="35"/>
      <c r="BO302" s="35"/>
    </row>
    <row r="303" spans="1:67" s="3" customFormat="1" x14ac:dyDescent="0.25">
      <c r="A303" s="35"/>
      <c r="B303" s="52"/>
      <c r="C303" s="24"/>
      <c r="D303" s="24"/>
      <c r="E303" s="44"/>
      <c r="F303" s="24"/>
      <c r="G303" s="44"/>
      <c r="H303" s="24"/>
      <c r="I303" s="44"/>
      <c r="J303" s="45"/>
      <c r="K303" s="44"/>
      <c r="L303" s="24"/>
      <c r="M303" s="44"/>
      <c r="N303" s="24"/>
      <c r="O303" s="53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F303" s="35"/>
      <c r="AG303" s="35"/>
      <c r="AH303" s="35"/>
      <c r="AI303" s="35"/>
      <c r="AJ303" s="35"/>
      <c r="AK303" s="35"/>
      <c r="AL303" s="35"/>
      <c r="AM303" s="35"/>
      <c r="AN303" s="35"/>
      <c r="AO303" s="35"/>
      <c r="AP303" s="35"/>
      <c r="AQ303" s="35"/>
      <c r="AR303" s="35"/>
      <c r="AS303" s="35"/>
      <c r="AT303" s="35"/>
      <c r="AU303" s="35"/>
      <c r="AV303" s="35"/>
      <c r="AW303" s="35"/>
      <c r="AX303" s="35"/>
      <c r="AY303" s="35"/>
      <c r="AZ303" s="35"/>
      <c r="BA303" s="35"/>
      <c r="BB303" s="35"/>
      <c r="BC303" s="35"/>
      <c r="BD303" s="35"/>
      <c r="BE303" s="35"/>
      <c r="BF303" s="35"/>
      <c r="BG303" s="35"/>
      <c r="BH303" s="35"/>
      <c r="BI303" s="35"/>
      <c r="BJ303" s="35"/>
      <c r="BK303" s="35"/>
      <c r="BL303" s="35"/>
      <c r="BM303" s="35"/>
      <c r="BN303" s="35"/>
      <c r="BO303" s="35"/>
    </row>
    <row r="304" spans="1:67" s="3" customFormat="1" x14ac:dyDescent="0.25">
      <c r="A304" s="35"/>
      <c r="B304" s="52"/>
      <c r="C304" s="24"/>
      <c r="D304" s="24"/>
      <c r="E304" s="44"/>
      <c r="F304" s="24"/>
      <c r="G304" s="44"/>
      <c r="H304" s="24"/>
      <c r="I304" s="44"/>
      <c r="J304" s="45"/>
      <c r="K304" s="44"/>
      <c r="L304" s="24"/>
      <c r="M304" s="44"/>
      <c r="N304" s="24"/>
      <c r="O304" s="53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F304" s="35"/>
      <c r="AG304" s="35"/>
      <c r="AH304" s="35"/>
      <c r="AI304" s="35"/>
      <c r="AJ304" s="35"/>
      <c r="AK304" s="35"/>
      <c r="AL304" s="35"/>
      <c r="AM304" s="35"/>
      <c r="AN304" s="35"/>
      <c r="AO304" s="35"/>
      <c r="AP304" s="35"/>
      <c r="AQ304" s="35"/>
      <c r="AR304" s="35"/>
      <c r="AS304" s="35"/>
      <c r="AT304" s="35"/>
      <c r="AU304" s="35"/>
      <c r="AV304" s="35"/>
      <c r="AW304" s="35"/>
      <c r="AX304" s="35"/>
      <c r="AY304" s="35"/>
      <c r="AZ304" s="35"/>
      <c r="BA304" s="35"/>
      <c r="BB304" s="35"/>
      <c r="BC304" s="35"/>
      <c r="BD304" s="35"/>
      <c r="BE304" s="35"/>
      <c r="BF304" s="35"/>
      <c r="BG304" s="35"/>
      <c r="BH304" s="35"/>
      <c r="BI304" s="35"/>
      <c r="BJ304" s="35"/>
      <c r="BK304" s="35"/>
      <c r="BL304" s="35"/>
      <c r="BM304" s="35"/>
      <c r="BN304" s="35"/>
      <c r="BO304" s="35"/>
    </row>
    <row r="305" spans="1:67" s="3" customFormat="1" x14ac:dyDescent="0.25">
      <c r="A305" s="35"/>
      <c r="B305" s="52"/>
      <c r="C305" s="24"/>
      <c r="D305" s="24"/>
      <c r="E305" s="44"/>
      <c r="F305" s="24"/>
      <c r="G305" s="44"/>
      <c r="H305" s="24"/>
      <c r="I305" s="44"/>
      <c r="J305" s="45"/>
      <c r="K305" s="44"/>
      <c r="L305" s="24"/>
      <c r="M305" s="44"/>
      <c r="N305" s="24"/>
      <c r="O305" s="53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F305" s="35"/>
      <c r="AG305" s="35"/>
      <c r="AH305" s="35"/>
      <c r="AI305" s="35"/>
      <c r="AJ305" s="35"/>
      <c r="AK305" s="35"/>
      <c r="AL305" s="35"/>
      <c r="AM305" s="35"/>
      <c r="AN305" s="35"/>
      <c r="AO305" s="35"/>
      <c r="AP305" s="35"/>
      <c r="AQ305" s="35"/>
      <c r="AR305" s="35"/>
      <c r="AS305" s="35"/>
      <c r="AT305" s="35"/>
      <c r="AU305" s="35"/>
      <c r="AV305" s="35"/>
      <c r="AW305" s="35"/>
      <c r="AX305" s="35"/>
      <c r="AY305" s="35"/>
      <c r="AZ305" s="35"/>
      <c r="BA305" s="35"/>
      <c r="BB305" s="35"/>
      <c r="BC305" s="35"/>
      <c r="BD305" s="35"/>
      <c r="BE305" s="35"/>
      <c r="BF305" s="35"/>
      <c r="BG305" s="35"/>
      <c r="BH305" s="35"/>
      <c r="BI305" s="35"/>
      <c r="BJ305" s="35"/>
      <c r="BK305" s="35"/>
      <c r="BL305" s="35"/>
      <c r="BM305" s="35"/>
      <c r="BN305" s="35"/>
      <c r="BO305" s="35"/>
    </row>
    <row r="306" spans="1:67" s="3" customFormat="1" x14ac:dyDescent="0.25">
      <c r="A306" s="35"/>
      <c r="B306" s="52"/>
      <c r="C306" s="24"/>
      <c r="D306" s="24"/>
      <c r="E306" s="44"/>
      <c r="F306" s="24"/>
      <c r="G306" s="44"/>
      <c r="H306" s="24"/>
      <c r="I306" s="44"/>
      <c r="J306" s="45"/>
      <c r="K306" s="44"/>
      <c r="L306" s="24"/>
      <c r="M306" s="44"/>
      <c r="N306" s="24"/>
      <c r="O306" s="53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F306" s="35"/>
      <c r="AG306" s="35"/>
      <c r="AH306" s="35"/>
      <c r="AI306" s="35"/>
      <c r="AJ306" s="35"/>
      <c r="AK306" s="35"/>
      <c r="AL306" s="35"/>
      <c r="AM306" s="35"/>
      <c r="AN306" s="35"/>
      <c r="AO306" s="35"/>
      <c r="AP306" s="35"/>
      <c r="AQ306" s="35"/>
      <c r="AR306" s="35"/>
      <c r="AS306" s="35"/>
      <c r="AT306" s="35"/>
      <c r="AU306" s="35"/>
      <c r="AV306" s="35"/>
      <c r="AW306" s="35"/>
      <c r="AX306" s="35"/>
      <c r="AY306" s="35"/>
      <c r="AZ306" s="35"/>
      <c r="BA306" s="35"/>
      <c r="BB306" s="35"/>
      <c r="BC306" s="35"/>
      <c r="BD306" s="35"/>
      <c r="BE306" s="35"/>
      <c r="BF306" s="35"/>
      <c r="BG306" s="35"/>
      <c r="BH306" s="35"/>
      <c r="BI306" s="35"/>
      <c r="BJ306" s="35"/>
      <c r="BK306" s="35"/>
      <c r="BL306" s="35"/>
      <c r="BM306" s="35"/>
      <c r="BN306" s="35"/>
      <c r="BO306" s="35"/>
    </row>
    <row r="307" spans="1:67" s="3" customFormat="1" x14ac:dyDescent="0.25">
      <c r="A307" s="35"/>
      <c r="B307" s="52"/>
      <c r="C307" s="24"/>
      <c r="D307" s="24"/>
      <c r="E307" s="44"/>
      <c r="F307" s="24"/>
      <c r="G307" s="44"/>
      <c r="H307" s="24"/>
      <c r="I307" s="44"/>
      <c r="J307" s="45"/>
      <c r="K307" s="44"/>
      <c r="L307" s="24"/>
      <c r="M307" s="44"/>
      <c r="N307" s="24"/>
      <c r="O307" s="53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F307" s="35"/>
      <c r="AG307" s="35"/>
      <c r="AH307" s="35"/>
      <c r="AI307" s="35"/>
      <c r="AJ307" s="35"/>
      <c r="AK307" s="35"/>
      <c r="AL307" s="35"/>
      <c r="AM307" s="35"/>
      <c r="AN307" s="35"/>
      <c r="AO307" s="35"/>
      <c r="AP307" s="35"/>
      <c r="AQ307" s="35"/>
      <c r="AR307" s="35"/>
      <c r="AS307" s="35"/>
      <c r="AT307" s="35"/>
      <c r="AU307" s="35"/>
      <c r="AV307" s="35"/>
      <c r="AW307" s="35"/>
      <c r="AX307" s="35"/>
      <c r="AY307" s="35"/>
      <c r="AZ307" s="35"/>
      <c r="BA307" s="35"/>
      <c r="BB307" s="35"/>
      <c r="BC307" s="35"/>
      <c r="BD307" s="35"/>
      <c r="BE307" s="35"/>
      <c r="BF307" s="35"/>
      <c r="BG307" s="35"/>
      <c r="BH307" s="35"/>
      <c r="BI307" s="35"/>
      <c r="BJ307" s="35"/>
      <c r="BK307" s="35"/>
      <c r="BL307" s="35"/>
      <c r="BM307" s="35"/>
      <c r="BN307" s="35"/>
      <c r="BO307" s="35"/>
    </row>
    <row r="308" spans="1:67" s="3" customFormat="1" x14ac:dyDescent="0.25">
      <c r="A308" s="35"/>
      <c r="B308" s="52"/>
      <c r="C308" s="24"/>
      <c r="D308" s="24"/>
      <c r="E308" s="44"/>
      <c r="F308" s="24"/>
      <c r="G308" s="44"/>
      <c r="H308" s="24"/>
      <c r="I308" s="44"/>
      <c r="J308" s="45"/>
      <c r="K308" s="44"/>
      <c r="L308" s="24"/>
      <c r="M308" s="44"/>
      <c r="N308" s="24"/>
      <c r="O308" s="53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F308" s="35"/>
      <c r="AG308" s="35"/>
      <c r="AH308" s="35"/>
      <c r="AI308" s="35"/>
      <c r="AJ308" s="35"/>
      <c r="AK308" s="35"/>
      <c r="AL308" s="35"/>
      <c r="AM308" s="35"/>
      <c r="AN308" s="35"/>
      <c r="AO308" s="35"/>
      <c r="AP308" s="35"/>
      <c r="AQ308" s="35"/>
      <c r="AR308" s="35"/>
      <c r="AS308" s="35"/>
      <c r="AT308" s="35"/>
      <c r="AU308" s="35"/>
      <c r="AV308" s="35"/>
      <c r="AW308" s="35"/>
      <c r="AX308" s="35"/>
      <c r="AY308" s="35"/>
      <c r="AZ308" s="35"/>
      <c r="BA308" s="35"/>
      <c r="BB308" s="35"/>
      <c r="BC308" s="35"/>
      <c r="BD308" s="35"/>
      <c r="BE308" s="35"/>
      <c r="BF308" s="35"/>
      <c r="BG308" s="35"/>
      <c r="BH308" s="35"/>
      <c r="BI308" s="35"/>
      <c r="BJ308" s="35"/>
      <c r="BK308" s="35"/>
      <c r="BL308" s="35"/>
      <c r="BM308" s="35"/>
      <c r="BN308" s="35"/>
      <c r="BO308" s="35"/>
    </row>
    <row r="309" spans="1:67" s="3" customFormat="1" x14ac:dyDescent="0.25">
      <c r="A309" s="35"/>
      <c r="B309" s="52"/>
      <c r="C309" s="24"/>
      <c r="D309" s="24"/>
      <c r="E309" s="44"/>
      <c r="F309" s="24"/>
      <c r="G309" s="44"/>
      <c r="H309" s="24"/>
      <c r="I309" s="44"/>
      <c r="J309" s="45"/>
      <c r="K309" s="44"/>
      <c r="L309" s="24"/>
      <c r="M309" s="44"/>
      <c r="N309" s="24"/>
      <c r="O309" s="53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F309" s="35"/>
      <c r="AG309" s="35"/>
      <c r="AH309" s="35"/>
      <c r="AI309" s="35"/>
      <c r="AJ309" s="35"/>
      <c r="AK309" s="35"/>
      <c r="AL309" s="35"/>
      <c r="AM309" s="35"/>
      <c r="AN309" s="35"/>
      <c r="AO309" s="35"/>
      <c r="AP309" s="35"/>
      <c r="AQ309" s="35"/>
      <c r="AR309" s="35"/>
      <c r="AS309" s="35"/>
      <c r="AT309" s="35"/>
      <c r="AU309" s="35"/>
      <c r="AV309" s="35"/>
      <c r="AW309" s="35"/>
      <c r="AX309" s="35"/>
      <c r="AY309" s="35"/>
      <c r="AZ309" s="35"/>
      <c r="BA309" s="35"/>
      <c r="BB309" s="35"/>
      <c r="BC309" s="35"/>
      <c r="BD309" s="35"/>
      <c r="BE309" s="35"/>
      <c r="BF309" s="35"/>
      <c r="BG309" s="35"/>
      <c r="BH309" s="35"/>
      <c r="BI309" s="35"/>
      <c r="BJ309" s="35"/>
      <c r="BK309" s="35"/>
      <c r="BL309" s="35"/>
      <c r="BM309" s="35"/>
      <c r="BN309" s="35"/>
      <c r="BO309" s="35"/>
    </row>
    <row r="310" spans="1:67" s="3" customFormat="1" ht="13.5" thickBot="1" x14ac:dyDescent="0.3">
      <c r="A310" s="35"/>
      <c r="B310" s="54"/>
      <c r="C310" s="55"/>
      <c r="D310" s="55"/>
      <c r="E310" s="56"/>
      <c r="F310" s="55"/>
      <c r="G310" s="56"/>
      <c r="H310" s="55"/>
      <c r="I310" s="56"/>
      <c r="J310" s="57"/>
      <c r="K310" s="56"/>
      <c r="L310" s="55"/>
      <c r="M310" s="56"/>
      <c r="N310" s="55"/>
      <c r="O310" s="58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F310" s="35"/>
      <c r="AG310" s="35"/>
      <c r="AH310" s="35"/>
      <c r="AI310" s="35"/>
      <c r="AJ310" s="35"/>
      <c r="AK310" s="35"/>
      <c r="AL310" s="35"/>
      <c r="AM310" s="35"/>
      <c r="AN310" s="35"/>
      <c r="AO310" s="35"/>
      <c r="AP310" s="35"/>
      <c r="AQ310" s="35"/>
      <c r="AR310" s="35"/>
      <c r="AS310" s="35"/>
      <c r="AT310" s="35"/>
      <c r="AU310" s="35"/>
      <c r="AV310" s="35"/>
      <c r="AW310" s="35"/>
      <c r="AX310" s="35"/>
      <c r="AY310" s="35"/>
      <c r="AZ310" s="35"/>
      <c r="BA310" s="35"/>
      <c r="BB310" s="35"/>
      <c r="BC310" s="35"/>
      <c r="BD310" s="35"/>
      <c r="BE310" s="35"/>
      <c r="BF310" s="35"/>
      <c r="BG310" s="35"/>
      <c r="BH310" s="35"/>
      <c r="BI310" s="35"/>
      <c r="BJ310" s="35"/>
      <c r="BK310" s="35"/>
      <c r="BL310" s="35"/>
      <c r="BM310" s="35"/>
      <c r="BN310" s="35"/>
      <c r="BO310" s="35"/>
    </row>
  </sheetData>
  <mergeCells count="11">
    <mergeCell ref="L22:M22"/>
    <mergeCell ref="C18:M18"/>
    <mergeCell ref="C19:N19"/>
    <mergeCell ref="C20:M20"/>
    <mergeCell ref="D22:D23"/>
    <mergeCell ref="E22:E23"/>
    <mergeCell ref="F22:F23"/>
    <mergeCell ref="G22:G23"/>
    <mergeCell ref="H22:I22"/>
    <mergeCell ref="J22:J23"/>
    <mergeCell ref="K22:K23"/>
  </mergeCell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/>
  <dimension ref="C3:I47"/>
  <sheetViews>
    <sheetView topLeftCell="A4" workbookViewId="0">
      <selection activeCell="M60" sqref="M60"/>
    </sheetView>
  </sheetViews>
  <sheetFormatPr baseColWidth="10" defaultRowHeight="15" x14ac:dyDescent="0.25"/>
  <cols>
    <col min="3" max="3" width="28.5703125" bestFit="1" customWidth="1"/>
    <col min="8" max="8" width="27.140625" bestFit="1" customWidth="1"/>
  </cols>
  <sheetData>
    <row r="3" spans="3:9" x14ac:dyDescent="0.25">
      <c r="D3" s="103">
        <f>SUM(D4:D12)</f>
        <v>688945292</v>
      </c>
    </row>
    <row r="4" spans="3:9" x14ac:dyDescent="0.25">
      <c r="C4" t="s">
        <v>26</v>
      </c>
      <c r="D4" s="103">
        <v>232328268</v>
      </c>
      <c r="E4" s="104">
        <f t="shared" ref="E4:E10" si="0">+D4/$D$3</f>
        <v>0.33722310130831112</v>
      </c>
      <c r="F4" s="104"/>
      <c r="G4" s="104"/>
      <c r="H4" t="s">
        <v>24</v>
      </c>
      <c r="I4" s="103">
        <v>231900</v>
      </c>
    </row>
    <row r="5" spans="3:9" x14ac:dyDescent="0.25">
      <c r="C5" t="s">
        <v>37</v>
      </c>
      <c r="D5" s="103">
        <v>230043688</v>
      </c>
      <c r="E5" s="104">
        <f t="shared" si="0"/>
        <v>0.33390704700541013</v>
      </c>
      <c r="F5" s="104"/>
      <c r="G5" s="104"/>
      <c r="H5" s="4" t="s">
        <v>24</v>
      </c>
      <c r="I5" s="11">
        <v>231900</v>
      </c>
    </row>
    <row r="6" spans="3:9" x14ac:dyDescent="0.25">
      <c r="C6" t="s">
        <v>21</v>
      </c>
      <c r="D6" s="103">
        <v>65207430</v>
      </c>
      <c r="E6" s="104">
        <f t="shared" si="0"/>
        <v>9.464819740723332E-2</v>
      </c>
      <c r="F6" s="104"/>
      <c r="G6" s="104"/>
      <c r="H6" t="s">
        <v>27</v>
      </c>
      <c r="I6" s="103">
        <v>33155748</v>
      </c>
    </row>
    <row r="7" spans="3:9" x14ac:dyDescent="0.25">
      <c r="C7" t="s">
        <v>78</v>
      </c>
      <c r="D7" s="103">
        <v>83179253</v>
      </c>
      <c r="E7" s="104">
        <f t="shared" si="0"/>
        <v>0.12073419176511334</v>
      </c>
      <c r="F7" s="104"/>
      <c r="G7" s="104"/>
      <c r="H7" s="4" t="s">
        <v>27</v>
      </c>
      <c r="I7" s="11">
        <v>33155748</v>
      </c>
    </row>
    <row r="8" spans="3:9" x14ac:dyDescent="0.25">
      <c r="C8" t="s">
        <v>27</v>
      </c>
      <c r="D8" s="103">
        <v>33155748</v>
      </c>
      <c r="E8" s="104">
        <f t="shared" si="0"/>
        <v>4.8125371324839537E-2</v>
      </c>
      <c r="F8" s="104"/>
      <c r="G8" s="104"/>
      <c r="H8" t="s">
        <v>35</v>
      </c>
      <c r="I8" s="103">
        <v>2240000</v>
      </c>
    </row>
    <row r="9" spans="3:9" x14ac:dyDescent="0.25">
      <c r="C9" t="s">
        <v>18</v>
      </c>
      <c r="D9" s="103">
        <v>22840040</v>
      </c>
      <c r="E9" s="104">
        <f t="shared" si="0"/>
        <v>3.315218242321627E-2</v>
      </c>
      <c r="F9" s="104"/>
      <c r="G9" s="104"/>
      <c r="H9" s="4" t="s">
        <v>35</v>
      </c>
      <c r="I9" s="11">
        <v>2240000</v>
      </c>
    </row>
    <row r="10" spans="3:9" x14ac:dyDescent="0.25">
      <c r="C10" t="s">
        <v>17</v>
      </c>
      <c r="D10" s="103">
        <v>22190865</v>
      </c>
      <c r="E10" s="104">
        <f t="shared" si="0"/>
        <v>3.2209908765876288E-2</v>
      </c>
      <c r="F10" s="104"/>
      <c r="G10" s="104"/>
      <c r="H10" t="s">
        <v>33</v>
      </c>
      <c r="I10" s="103">
        <v>3384540</v>
      </c>
    </row>
    <row r="11" spans="3:9" x14ac:dyDescent="0.25">
      <c r="D11" s="103"/>
      <c r="E11" s="104"/>
      <c r="F11" s="104"/>
      <c r="G11" s="104"/>
      <c r="H11" s="4" t="s">
        <v>33</v>
      </c>
      <c r="I11" s="11">
        <v>3384540</v>
      </c>
    </row>
    <row r="12" spans="3:9" x14ac:dyDescent="0.25">
      <c r="D12" s="103"/>
      <c r="E12" s="104"/>
      <c r="F12" s="104"/>
      <c r="G12" s="104"/>
      <c r="H12" t="s">
        <v>19</v>
      </c>
      <c r="I12" s="103">
        <v>2193724</v>
      </c>
    </row>
    <row r="13" spans="3:9" x14ac:dyDescent="0.25">
      <c r="H13" s="4" t="s">
        <v>19</v>
      </c>
      <c r="I13" s="11">
        <v>2193724</v>
      </c>
    </row>
    <row r="14" spans="3:9" x14ac:dyDescent="0.25">
      <c r="C14" t="s">
        <v>77</v>
      </c>
      <c r="D14" s="103">
        <f>SUM(D16:D32)</f>
        <v>83179253</v>
      </c>
      <c r="H14" t="s">
        <v>37</v>
      </c>
      <c r="I14" s="103">
        <v>230043688</v>
      </c>
    </row>
    <row r="15" spans="3:9" x14ac:dyDescent="0.25">
      <c r="H15" s="4" t="s">
        <v>37</v>
      </c>
      <c r="I15" s="11">
        <v>230043688</v>
      </c>
    </row>
    <row r="16" spans="3:9" x14ac:dyDescent="0.25">
      <c r="C16" t="s">
        <v>36</v>
      </c>
      <c r="D16" s="103">
        <v>11839330</v>
      </c>
      <c r="H16" t="s">
        <v>26</v>
      </c>
      <c r="I16" s="103">
        <v>232328268</v>
      </c>
    </row>
    <row r="17" spans="3:9" x14ac:dyDescent="0.25">
      <c r="C17" t="s">
        <v>12</v>
      </c>
      <c r="D17" s="103">
        <v>9068956</v>
      </c>
      <c r="H17" s="4" t="s">
        <v>26</v>
      </c>
      <c r="I17" s="11">
        <v>232328268</v>
      </c>
    </row>
    <row r="18" spans="3:9" x14ac:dyDescent="0.25">
      <c r="C18" t="s">
        <v>30</v>
      </c>
      <c r="D18" s="103">
        <v>6490477</v>
      </c>
      <c r="H18" t="s">
        <v>48</v>
      </c>
      <c r="I18" s="103">
        <v>0</v>
      </c>
    </row>
    <row r="19" spans="3:9" x14ac:dyDescent="0.25">
      <c r="C19" t="s">
        <v>32</v>
      </c>
      <c r="D19" s="103">
        <v>3596394</v>
      </c>
      <c r="H19" s="4" t="s">
        <v>48</v>
      </c>
      <c r="I19" s="11">
        <v>0</v>
      </c>
    </row>
    <row r="20" spans="3:9" x14ac:dyDescent="0.25">
      <c r="C20" t="s">
        <v>33</v>
      </c>
      <c r="D20" s="103">
        <v>3384540</v>
      </c>
      <c r="H20" t="s">
        <v>29</v>
      </c>
      <c r="I20" s="103">
        <v>1031647</v>
      </c>
    </row>
    <row r="21" spans="3:9" x14ac:dyDescent="0.25">
      <c r="C21" t="s">
        <v>20</v>
      </c>
      <c r="D21" s="103">
        <v>3042553</v>
      </c>
      <c r="H21" s="4" t="s">
        <v>29</v>
      </c>
      <c r="I21" s="11">
        <v>1031647</v>
      </c>
    </row>
    <row r="22" spans="3:9" x14ac:dyDescent="0.25">
      <c r="C22" t="s">
        <v>34</v>
      </c>
      <c r="D22" s="103">
        <v>2856204</v>
      </c>
      <c r="H22" t="s">
        <v>32</v>
      </c>
      <c r="I22" s="103">
        <v>3596394</v>
      </c>
    </row>
    <row r="23" spans="3:9" x14ac:dyDescent="0.25">
      <c r="C23" t="s">
        <v>25</v>
      </c>
      <c r="D23" s="103">
        <v>2294297</v>
      </c>
      <c r="H23" s="4" t="s">
        <v>32</v>
      </c>
      <c r="I23" s="11">
        <v>3596394</v>
      </c>
    </row>
    <row r="24" spans="3:9" x14ac:dyDescent="0.25">
      <c r="C24" t="s">
        <v>35</v>
      </c>
      <c r="D24" s="103">
        <v>2240000</v>
      </c>
      <c r="H24" t="s">
        <v>28</v>
      </c>
      <c r="I24" s="103">
        <v>475200</v>
      </c>
    </row>
    <row r="25" spans="3:9" x14ac:dyDescent="0.25">
      <c r="C25" t="s">
        <v>19</v>
      </c>
      <c r="D25" s="103">
        <v>2193724</v>
      </c>
      <c r="H25" s="4" t="s">
        <v>28</v>
      </c>
      <c r="I25" s="11">
        <v>475200</v>
      </c>
    </row>
    <row r="26" spans="3:9" x14ac:dyDescent="0.25">
      <c r="C26" t="s">
        <v>29</v>
      </c>
      <c r="D26" s="103">
        <v>1031647</v>
      </c>
      <c r="H26" t="s">
        <v>25</v>
      </c>
      <c r="I26" s="103">
        <v>2294297</v>
      </c>
    </row>
    <row r="27" spans="3:9" x14ac:dyDescent="0.25">
      <c r="C27" t="s">
        <v>31</v>
      </c>
      <c r="D27" s="103">
        <v>763300</v>
      </c>
      <c r="H27" s="4" t="s">
        <v>25</v>
      </c>
      <c r="I27" s="11">
        <v>2294297</v>
      </c>
    </row>
    <row r="28" spans="3:9" x14ac:dyDescent="0.25">
      <c r="C28" t="s">
        <v>28</v>
      </c>
      <c r="D28" s="103">
        <v>475200</v>
      </c>
      <c r="H28" t="s">
        <v>31</v>
      </c>
      <c r="I28" s="103">
        <v>763300</v>
      </c>
    </row>
    <row r="29" spans="3:9" x14ac:dyDescent="0.25">
      <c r="C29" t="s">
        <v>24</v>
      </c>
      <c r="D29" s="103">
        <v>231900</v>
      </c>
      <c r="H29" s="4" t="s">
        <v>31</v>
      </c>
      <c r="I29" s="11">
        <v>763300</v>
      </c>
    </row>
    <row r="30" spans="3:9" x14ac:dyDescent="0.25">
      <c r="C30" t="s">
        <v>48</v>
      </c>
      <c r="D30" s="103">
        <v>0</v>
      </c>
    </row>
    <row r="31" spans="3:9" x14ac:dyDescent="0.25">
      <c r="C31" s="4" t="s">
        <v>22</v>
      </c>
      <c r="D31" s="13">
        <v>18150811</v>
      </c>
      <c r="H31" t="s">
        <v>17</v>
      </c>
      <c r="I31" s="103">
        <v>22190865</v>
      </c>
    </row>
    <row r="32" spans="3:9" x14ac:dyDescent="0.25">
      <c r="C32" s="4" t="s">
        <v>23</v>
      </c>
      <c r="D32" s="13">
        <v>15519920</v>
      </c>
      <c r="H32" s="4" t="s">
        <v>17</v>
      </c>
      <c r="I32" s="11">
        <v>22190865</v>
      </c>
    </row>
    <row r="33" spans="8:9" x14ac:dyDescent="0.25">
      <c r="H33" t="s">
        <v>18</v>
      </c>
      <c r="I33" s="103">
        <v>22840040</v>
      </c>
    </row>
    <row r="34" spans="8:9" x14ac:dyDescent="0.25">
      <c r="H34" s="4" t="s">
        <v>18</v>
      </c>
      <c r="I34" s="11">
        <v>22840040</v>
      </c>
    </row>
    <row r="36" spans="8:9" x14ac:dyDescent="0.25">
      <c r="H36" t="s">
        <v>12</v>
      </c>
      <c r="I36" s="103">
        <v>9068956</v>
      </c>
    </row>
    <row r="37" spans="8:9" x14ac:dyDescent="0.25">
      <c r="H37" s="4" t="s">
        <v>12</v>
      </c>
      <c r="I37" s="11">
        <v>9068956</v>
      </c>
    </row>
    <row r="38" spans="8:9" x14ac:dyDescent="0.25">
      <c r="H38" t="s">
        <v>20</v>
      </c>
      <c r="I38" s="103">
        <v>3042553</v>
      </c>
    </row>
    <row r="39" spans="8:9" x14ac:dyDescent="0.25">
      <c r="H39" s="4" t="s">
        <v>20</v>
      </c>
      <c r="I39" s="11">
        <v>3042553</v>
      </c>
    </row>
    <row r="40" spans="8:9" x14ac:dyDescent="0.25">
      <c r="H40" t="s">
        <v>21</v>
      </c>
      <c r="I40" s="103">
        <v>65207430</v>
      </c>
    </row>
    <row r="41" spans="8:9" x14ac:dyDescent="0.25">
      <c r="H41" s="4" t="s">
        <v>21</v>
      </c>
      <c r="I41" s="11">
        <v>65207430</v>
      </c>
    </row>
    <row r="42" spans="8:9" x14ac:dyDescent="0.25">
      <c r="H42" t="s">
        <v>36</v>
      </c>
      <c r="I42" s="103">
        <v>11839330</v>
      </c>
    </row>
    <row r="43" spans="8:9" x14ac:dyDescent="0.25">
      <c r="H43" s="4" t="s">
        <v>36</v>
      </c>
      <c r="I43" s="11">
        <v>11839330</v>
      </c>
    </row>
    <row r="44" spans="8:9" x14ac:dyDescent="0.25">
      <c r="H44" t="s">
        <v>34</v>
      </c>
      <c r="I44" s="103">
        <v>2856204</v>
      </c>
    </row>
    <row r="45" spans="8:9" x14ac:dyDescent="0.25">
      <c r="H45" s="4" t="s">
        <v>34</v>
      </c>
      <c r="I45" s="11">
        <v>2856204</v>
      </c>
    </row>
    <row r="46" spans="8:9" x14ac:dyDescent="0.25">
      <c r="H46" t="s">
        <v>30</v>
      </c>
      <c r="I46" s="103">
        <v>6490477</v>
      </c>
    </row>
    <row r="47" spans="8:9" x14ac:dyDescent="0.25">
      <c r="H47" s="4" t="s">
        <v>30</v>
      </c>
      <c r="I47" s="11">
        <v>6490477</v>
      </c>
    </row>
  </sheetData>
  <autoFilter ref="H3:I3">
    <sortState ref="H4:I51">
      <sortCondition ref="H3"/>
    </sortState>
  </autoFilter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/>
  <dimension ref="C2:I114"/>
  <sheetViews>
    <sheetView showGridLines="0" topLeftCell="A73" workbookViewId="0">
      <selection activeCell="J94" sqref="J94"/>
    </sheetView>
  </sheetViews>
  <sheetFormatPr baseColWidth="10" defaultRowHeight="15" x14ac:dyDescent="0.25"/>
  <cols>
    <col min="3" max="3" width="23.140625" customWidth="1"/>
    <col min="4" max="4" width="14.85546875" customWidth="1"/>
    <col min="5" max="5" width="18.85546875" customWidth="1"/>
    <col min="9" max="9" width="16.7109375" bestFit="1" customWidth="1"/>
  </cols>
  <sheetData>
    <row r="2" spans="3:5" x14ac:dyDescent="0.25">
      <c r="C2" s="4" t="s">
        <v>4</v>
      </c>
      <c r="D2" s="4"/>
      <c r="E2" s="25">
        <v>565074850</v>
      </c>
    </row>
    <row r="3" spans="3:5" x14ac:dyDescent="0.25">
      <c r="C3" s="4" t="s">
        <v>5</v>
      </c>
      <c r="D3" s="4"/>
      <c r="E3" s="25">
        <v>146814600</v>
      </c>
    </row>
    <row r="4" spans="3:5" x14ac:dyDescent="0.25">
      <c r="C4" s="4" t="s">
        <v>8</v>
      </c>
      <c r="D4" s="4"/>
      <c r="E4" s="25">
        <v>98829500</v>
      </c>
    </row>
    <row r="5" spans="3:5" x14ac:dyDescent="0.25">
      <c r="C5" s="4" t="s">
        <v>11</v>
      </c>
      <c r="D5" s="4"/>
      <c r="E5" s="25">
        <v>51181000</v>
      </c>
    </row>
    <row r="6" spans="3:5" x14ac:dyDescent="0.25">
      <c r="C6" s="24" t="s">
        <v>59</v>
      </c>
      <c r="D6" s="24"/>
      <c r="E6" s="25">
        <f>+E14</f>
        <v>169114806</v>
      </c>
    </row>
    <row r="7" spans="3:5" x14ac:dyDescent="0.25">
      <c r="C7" s="24"/>
      <c r="D7" s="24"/>
      <c r="E7" s="25">
        <f>SUM(E2:E6)</f>
        <v>1031014756</v>
      </c>
    </row>
    <row r="8" spans="3:5" x14ac:dyDescent="0.25">
      <c r="C8" s="4"/>
      <c r="D8" s="4"/>
      <c r="E8" s="10"/>
    </row>
    <row r="9" spans="3:5" x14ac:dyDescent="0.25">
      <c r="C9" s="4" t="s">
        <v>12</v>
      </c>
      <c r="D9" s="4"/>
      <c r="E9" s="10">
        <v>101376719</v>
      </c>
    </row>
    <row r="10" spans="3:5" x14ac:dyDescent="0.25">
      <c r="C10" s="4" t="s">
        <v>6</v>
      </c>
      <c r="D10" s="4"/>
      <c r="E10" s="10">
        <v>66625569</v>
      </c>
    </row>
    <row r="11" spans="3:5" x14ac:dyDescent="0.25">
      <c r="C11" s="4" t="s">
        <v>9</v>
      </c>
      <c r="D11" s="4"/>
      <c r="E11" s="10">
        <v>1042500</v>
      </c>
    </row>
    <row r="12" spans="3:5" x14ac:dyDescent="0.25">
      <c r="C12" s="4" t="s">
        <v>7</v>
      </c>
      <c r="D12" s="4"/>
      <c r="E12" s="10">
        <v>70018</v>
      </c>
    </row>
    <row r="13" spans="3:5" x14ac:dyDescent="0.25">
      <c r="C13" s="4" t="s">
        <v>10</v>
      </c>
      <c r="D13" s="4"/>
      <c r="E13" s="10">
        <v>0</v>
      </c>
    </row>
    <row r="14" spans="3:5" x14ac:dyDescent="0.25">
      <c r="C14" s="24" t="s">
        <v>59</v>
      </c>
      <c r="D14" s="24"/>
      <c r="E14" s="1">
        <f>SUM(E9:E13)</f>
        <v>169114806</v>
      </c>
    </row>
    <row r="22" spans="3:6" x14ac:dyDescent="0.25">
      <c r="C22" s="2" t="s">
        <v>61</v>
      </c>
      <c r="D22" s="2"/>
      <c r="E22" s="2" t="s">
        <v>62</v>
      </c>
      <c r="F22" s="2" t="s">
        <v>62</v>
      </c>
    </row>
    <row r="23" spans="3:6" x14ac:dyDescent="0.25">
      <c r="C23" t="s">
        <v>65</v>
      </c>
      <c r="E23">
        <v>1</v>
      </c>
      <c r="F23" s="219">
        <f>+E23/$E$28</f>
        <v>2.1739130434782608E-2</v>
      </c>
    </row>
    <row r="24" spans="3:6" x14ac:dyDescent="0.25">
      <c r="C24" t="s">
        <v>4</v>
      </c>
      <c r="E24">
        <v>3</v>
      </c>
      <c r="F24" s="219">
        <f t="shared" ref="F24:F28" si="0">+E24/$E$28</f>
        <v>6.5217391304347824E-2</v>
      </c>
    </row>
    <row r="25" spans="3:6" x14ac:dyDescent="0.25">
      <c r="C25" t="s">
        <v>63</v>
      </c>
      <c r="E25">
        <v>6</v>
      </c>
      <c r="F25" s="219">
        <f t="shared" si="0"/>
        <v>0.13043478260869565</v>
      </c>
    </row>
    <row r="26" spans="3:6" x14ac:dyDescent="0.25">
      <c r="C26" t="s">
        <v>66</v>
      </c>
      <c r="E26">
        <v>8</v>
      </c>
      <c r="F26" s="219">
        <f t="shared" si="0"/>
        <v>0.17391304347826086</v>
      </c>
    </row>
    <row r="27" spans="3:6" x14ac:dyDescent="0.25">
      <c r="C27" t="s">
        <v>64</v>
      </c>
      <c r="E27">
        <v>28</v>
      </c>
      <c r="F27" s="219">
        <f t="shared" si="0"/>
        <v>0.60869565217391308</v>
      </c>
    </row>
    <row r="28" spans="3:6" x14ac:dyDescent="0.25">
      <c r="E28">
        <f>SUM(E23:E27)</f>
        <v>46</v>
      </c>
      <c r="F28" s="219">
        <f t="shared" si="0"/>
        <v>1</v>
      </c>
    </row>
    <row r="40" spans="3:5" x14ac:dyDescent="0.25">
      <c r="C40" t="s">
        <v>75</v>
      </c>
      <c r="E40" s="92">
        <f>1031014756/1000000</f>
        <v>1031.014756</v>
      </c>
    </row>
    <row r="41" spans="3:5" x14ac:dyDescent="0.25">
      <c r="C41" t="s">
        <v>76</v>
      </c>
      <c r="E41" s="92">
        <f>1898816490/1000000</f>
        <v>1898.8164899999999</v>
      </c>
    </row>
    <row r="42" spans="3:5" x14ac:dyDescent="0.25">
      <c r="E42" s="92"/>
    </row>
    <row r="43" spans="3:5" x14ac:dyDescent="0.25">
      <c r="E43" s="93"/>
    </row>
    <row r="54" spans="3:5" x14ac:dyDescent="0.25">
      <c r="C54" s="4" t="s">
        <v>16</v>
      </c>
      <c r="D54" s="4"/>
    </row>
    <row r="55" spans="3:5" x14ac:dyDescent="0.25">
      <c r="C55" t="s">
        <v>75</v>
      </c>
      <c r="E55" s="92">
        <f>525632407/1000000</f>
        <v>525.63240699999994</v>
      </c>
    </row>
    <row r="56" spans="3:5" x14ac:dyDescent="0.25">
      <c r="C56" t="s">
        <v>76</v>
      </c>
      <c r="E56" s="92">
        <f>648272495/1000000</f>
        <v>648.27249500000005</v>
      </c>
    </row>
    <row r="73" spans="3:6" x14ac:dyDescent="0.25">
      <c r="E73" s="103"/>
    </row>
    <row r="75" spans="3:6" x14ac:dyDescent="0.25">
      <c r="E75" s="103">
        <f>SUM(E76:E84)</f>
        <v>688945292</v>
      </c>
    </row>
    <row r="76" spans="3:6" x14ac:dyDescent="0.25">
      <c r="C76" t="s">
        <v>26</v>
      </c>
      <c r="D76" s="105">
        <f>+E76/1000000</f>
        <v>232.32826800000001</v>
      </c>
      <c r="E76" s="103">
        <v>232328268</v>
      </c>
      <c r="F76" s="104">
        <f t="shared" ref="F76:F82" si="1">+E76/$E$3</f>
        <v>1.5824602457793706</v>
      </c>
    </row>
    <row r="77" spans="3:6" x14ac:dyDescent="0.25">
      <c r="C77" t="s">
        <v>37</v>
      </c>
      <c r="D77" s="105">
        <f t="shared" ref="D77:D82" si="2">+E77/1000000</f>
        <v>230.043688</v>
      </c>
      <c r="E77" s="103">
        <v>230043688</v>
      </c>
      <c r="F77" s="104">
        <f t="shared" si="1"/>
        <v>1.5668992593379678</v>
      </c>
    </row>
    <row r="78" spans="3:6" x14ac:dyDescent="0.25">
      <c r="C78" t="s">
        <v>21</v>
      </c>
      <c r="D78" s="105">
        <f t="shared" si="2"/>
        <v>65.207430000000002</v>
      </c>
      <c r="E78" s="103">
        <v>65207430</v>
      </c>
      <c r="F78" s="104">
        <f t="shared" si="1"/>
        <v>0.44414812968192535</v>
      </c>
    </row>
    <row r="79" spans="3:6" x14ac:dyDescent="0.25">
      <c r="C79" t="s">
        <v>78</v>
      </c>
      <c r="D79" s="105">
        <f t="shared" si="2"/>
        <v>83.179253000000003</v>
      </c>
      <c r="E79" s="103">
        <v>83179253</v>
      </c>
      <c r="F79" s="104">
        <f t="shared" si="1"/>
        <v>0.56655981762031837</v>
      </c>
    </row>
    <row r="80" spans="3:6" x14ac:dyDescent="0.25">
      <c r="C80" t="s">
        <v>27</v>
      </c>
      <c r="D80" s="105">
        <f t="shared" si="2"/>
        <v>33.155748000000003</v>
      </c>
      <c r="E80" s="103">
        <v>33155748</v>
      </c>
      <c r="F80" s="104">
        <f t="shared" si="1"/>
        <v>0.22583413366245592</v>
      </c>
    </row>
    <row r="81" spans="3:9" x14ac:dyDescent="0.25">
      <c r="C81" t="s">
        <v>18</v>
      </c>
      <c r="D81" s="105">
        <f t="shared" si="2"/>
        <v>22.840039999999998</v>
      </c>
      <c r="E81" s="103">
        <v>22840040</v>
      </c>
      <c r="F81" s="104">
        <f t="shared" si="1"/>
        <v>0.15557063125874401</v>
      </c>
    </row>
    <row r="82" spans="3:9" x14ac:dyDescent="0.25">
      <c r="C82" t="s">
        <v>17</v>
      </c>
      <c r="D82" s="105">
        <f t="shared" si="2"/>
        <v>22.190864999999999</v>
      </c>
      <c r="E82" s="103">
        <v>22190865</v>
      </c>
      <c r="F82" s="104">
        <f t="shared" si="1"/>
        <v>0.15114889799788303</v>
      </c>
    </row>
    <row r="83" spans="3:9" x14ac:dyDescent="0.25">
      <c r="E83" s="103"/>
      <c r="F83" s="104"/>
    </row>
    <row r="84" spans="3:9" x14ac:dyDescent="0.25">
      <c r="E84" s="103"/>
      <c r="F84" s="104"/>
    </row>
    <row r="86" spans="3:9" x14ac:dyDescent="0.25">
      <c r="C86" t="s">
        <v>77</v>
      </c>
      <c r="E86" s="103">
        <f>SUM(E88:E102)</f>
        <v>49508522</v>
      </c>
    </row>
    <row r="88" spans="3:9" x14ac:dyDescent="0.25">
      <c r="C88" t="s">
        <v>36</v>
      </c>
      <c r="E88" s="103">
        <v>11839330</v>
      </c>
    </row>
    <row r="89" spans="3:9" x14ac:dyDescent="0.25">
      <c r="C89" t="s">
        <v>12</v>
      </c>
      <c r="E89" s="103">
        <v>9068956</v>
      </c>
    </row>
    <row r="90" spans="3:9" x14ac:dyDescent="0.25">
      <c r="C90" t="s">
        <v>30</v>
      </c>
      <c r="E90" s="103">
        <v>6490477</v>
      </c>
    </row>
    <row r="91" spans="3:9" x14ac:dyDescent="0.25">
      <c r="C91" t="s">
        <v>32</v>
      </c>
      <c r="E91" s="103">
        <v>3596394</v>
      </c>
    </row>
    <row r="92" spans="3:9" x14ac:dyDescent="0.25">
      <c r="C92" t="s">
        <v>33</v>
      </c>
      <c r="E92" s="103">
        <v>3384540</v>
      </c>
      <c r="H92" t="s">
        <v>152</v>
      </c>
      <c r="I92" t="s">
        <v>152</v>
      </c>
    </row>
    <row r="93" spans="3:9" x14ac:dyDescent="0.25">
      <c r="C93" t="s">
        <v>20</v>
      </c>
      <c r="E93" s="103">
        <v>3042553</v>
      </c>
      <c r="H93" t="s">
        <v>151</v>
      </c>
      <c r="I93" s="103">
        <v>299879542</v>
      </c>
    </row>
    <row r="94" spans="3:9" x14ac:dyDescent="0.25">
      <c r="C94" t="s">
        <v>34</v>
      </c>
      <c r="E94" s="103">
        <v>2856204</v>
      </c>
      <c r="H94" t="s">
        <v>149</v>
      </c>
      <c r="I94" s="103">
        <v>170773636</v>
      </c>
    </row>
    <row r="95" spans="3:9" x14ac:dyDescent="0.25">
      <c r="C95" t="s">
        <v>25</v>
      </c>
      <c r="E95" s="103">
        <v>2294297</v>
      </c>
      <c r="H95" t="s">
        <v>147</v>
      </c>
      <c r="I95" s="103">
        <v>38140854</v>
      </c>
    </row>
    <row r="96" spans="3:9" x14ac:dyDescent="0.25">
      <c r="C96" t="s">
        <v>35</v>
      </c>
      <c r="E96" s="103">
        <v>2240000</v>
      </c>
      <c r="H96" t="s">
        <v>150</v>
      </c>
      <c r="I96" s="103">
        <v>12959025</v>
      </c>
    </row>
    <row r="97" spans="3:9" x14ac:dyDescent="0.25">
      <c r="C97" t="s">
        <v>19</v>
      </c>
      <c r="E97" s="103">
        <v>2193724</v>
      </c>
      <c r="H97" t="s">
        <v>148</v>
      </c>
      <c r="I97" s="103">
        <v>3879350</v>
      </c>
    </row>
    <row r="98" spans="3:9" x14ac:dyDescent="0.25">
      <c r="C98" t="s">
        <v>29</v>
      </c>
      <c r="E98" s="103">
        <v>1031647</v>
      </c>
    </row>
    <row r="99" spans="3:9" x14ac:dyDescent="0.25">
      <c r="C99" t="s">
        <v>31</v>
      </c>
      <c r="E99" s="103">
        <v>763300</v>
      </c>
    </row>
    <row r="100" spans="3:9" x14ac:dyDescent="0.25">
      <c r="C100" t="s">
        <v>28</v>
      </c>
      <c r="E100" s="103">
        <v>475200</v>
      </c>
    </row>
    <row r="101" spans="3:9" x14ac:dyDescent="0.25">
      <c r="C101" t="s">
        <v>24</v>
      </c>
      <c r="E101" s="103">
        <v>231900</v>
      </c>
    </row>
    <row r="102" spans="3:9" x14ac:dyDescent="0.25">
      <c r="C102" t="s">
        <v>48</v>
      </c>
      <c r="E102" s="103">
        <v>0</v>
      </c>
    </row>
    <row r="103" spans="3:9" x14ac:dyDescent="0.25">
      <c r="C103" t="s">
        <v>22</v>
      </c>
      <c r="E103">
        <v>18150811</v>
      </c>
    </row>
    <row r="104" spans="3:9" x14ac:dyDescent="0.25">
      <c r="C104" t="s">
        <v>23</v>
      </c>
      <c r="E104">
        <v>15519920</v>
      </c>
    </row>
    <row r="109" spans="3:9" x14ac:dyDescent="0.25">
      <c r="C109" s="4" t="s">
        <v>79</v>
      </c>
      <c r="D109" s="4"/>
    </row>
    <row r="110" spans="3:9" x14ac:dyDescent="0.25">
      <c r="C110" t="s">
        <v>75</v>
      </c>
      <c r="E110" s="92">
        <f>688945292/1000000</f>
        <v>688.94529199999999</v>
      </c>
    </row>
    <row r="111" spans="3:9" x14ac:dyDescent="0.25">
      <c r="C111" t="s">
        <v>76</v>
      </c>
      <c r="E111" s="92">
        <f>803136174/1000000</f>
        <v>803.13617399999998</v>
      </c>
    </row>
    <row r="113" spans="5:5" x14ac:dyDescent="0.25">
      <c r="E113" s="93">
        <f>(E110-E111)/E111</f>
        <v>-0.14218122118852536</v>
      </c>
    </row>
    <row r="114" spans="5:5" x14ac:dyDescent="0.25">
      <c r="E114" s="104">
        <f>+E113</f>
        <v>-0.14218122118852536</v>
      </c>
    </row>
  </sheetData>
  <autoFilter ref="H92:I92">
    <sortState ref="H93:I97">
      <sortCondition descending="1" ref="I92"/>
    </sortState>
  </autoFilter>
  <sortState ref="C23:E27">
    <sortCondition ref="E23:E27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INICIO</vt:lpstr>
      <vt:lpstr>BASE OK</vt:lpstr>
      <vt:lpstr>Hoja1</vt:lpstr>
      <vt:lpstr>Graficos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Ludy</dc:creator>
  <cp:lastModifiedBy>ASTRID GOMEZ PINEDA</cp:lastModifiedBy>
  <dcterms:created xsi:type="dcterms:W3CDTF">2021-05-23T21:26:50Z</dcterms:created>
  <dcterms:modified xsi:type="dcterms:W3CDTF">2021-07-13T13:32:26Z</dcterms:modified>
</cp:coreProperties>
</file>