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1.xml" ContentType="application/vnd.openxmlformats-officedocument.spreadsheetml.comments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tables/table2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8E3093C9-AEEF-4DAA-BD28-817BE173D5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entasMes" sheetId="1" r:id="rId1"/>
    <sheet name="VentasAños" sheetId="2" r:id="rId2"/>
    <sheet name="Nomina" sheetId="3" r:id="rId3"/>
    <sheet name="Maquinas" sheetId="4" r:id="rId4"/>
    <sheet name="Gastos" sheetId="5" r:id="rId5"/>
    <sheet name="Compras" sheetId="6" r:id="rId6"/>
    <sheet name="Depre" sheetId="7" r:id="rId7"/>
    <sheet name="Capital" sheetId="8" r:id="rId8"/>
    <sheet name="Amorti" sheetId="10" r:id="rId9"/>
    <sheet name="ER" sheetId="11" r:id="rId10"/>
    <sheet name="ESF" sheetId="12" r:id="rId11"/>
    <sheet name="FlujoCaja" sheetId="13" r:id="rId12"/>
    <sheet name="Propuesta" sheetId="18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7" i="1" l="1"/>
  <c r="N9" i="6" l="1"/>
  <c r="N10" i="6"/>
  <c r="N11" i="6"/>
  <c r="N12" i="6"/>
  <c r="N13" i="6"/>
  <c r="N14" i="6"/>
  <c r="N15" i="6"/>
  <c r="N16" i="6"/>
  <c r="N17" i="6"/>
  <c r="N18" i="6"/>
  <c r="N19" i="6"/>
  <c r="N8" i="6"/>
  <c r="N20" i="6" l="1"/>
  <c r="N21" i="6" s="1"/>
  <c r="N22" i="6" s="1"/>
  <c r="D8" i="12" s="1"/>
  <c r="D23" i="11"/>
  <c r="E23" i="11" s="1"/>
  <c r="F23" i="11" s="1"/>
  <c r="G23" i="11" s="1"/>
  <c r="H10" i="3" l="1"/>
  <c r="H9" i="3"/>
  <c r="H6" i="3"/>
  <c r="H7" i="3"/>
  <c r="H8" i="3"/>
  <c r="F9" i="3"/>
  <c r="E10" i="3"/>
  <c r="G10" i="3" s="1"/>
  <c r="E6" i="3"/>
  <c r="E7" i="3"/>
  <c r="E8" i="3"/>
  <c r="E9" i="3"/>
  <c r="U9" i="1"/>
  <c r="U10" i="1"/>
  <c r="U11" i="1"/>
  <c r="U12" i="1"/>
  <c r="U13" i="1"/>
  <c r="U14" i="1"/>
  <c r="U15" i="1"/>
  <c r="U16" i="1"/>
  <c r="U17" i="1"/>
  <c r="U18" i="1"/>
  <c r="U19" i="1"/>
  <c r="U20" i="1"/>
  <c r="F142" i="4" l="1"/>
  <c r="F143" i="4"/>
  <c r="F144" i="4"/>
  <c r="F145" i="4"/>
  <c r="F146" i="4"/>
  <c r="F147" i="4"/>
  <c r="F148" i="4"/>
  <c r="F149" i="4"/>
  <c r="F128" i="4"/>
  <c r="F129" i="4"/>
  <c r="F130" i="4"/>
  <c r="F131" i="4"/>
  <c r="F132" i="4"/>
  <c r="F133" i="4"/>
  <c r="F134" i="4"/>
  <c r="F135" i="4"/>
  <c r="F136" i="4"/>
  <c r="F137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I10" i="3"/>
  <c r="L10" i="3" s="1"/>
  <c r="G9" i="3"/>
  <c r="E17" i="2"/>
  <c r="G17" i="2" s="1"/>
  <c r="V21" i="1"/>
  <c r="X20" i="1"/>
  <c r="X19" i="1"/>
  <c r="X18" i="1"/>
  <c r="X17" i="1"/>
  <c r="X16" i="1"/>
  <c r="X15" i="1"/>
  <c r="X14" i="1"/>
  <c r="X13" i="1"/>
  <c r="X12" i="1"/>
  <c r="X11" i="1"/>
  <c r="X10" i="1"/>
  <c r="X9" i="1"/>
  <c r="R9" i="1"/>
  <c r="R10" i="1"/>
  <c r="R11" i="1"/>
  <c r="R12" i="1"/>
  <c r="R13" i="1"/>
  <c r="R14" i="1"/>
  <c r="R15" i="1"/>
  <c r="R16" i="1"/>
  <c r="R17" i="1"/>
  <c r="R18" i="1"/>
  <c r="R19" i="1"/>
  <c r="R20" i="1"/>
  <c r="L9" i="1"/>
  <c r="L10" i="1"/>
  <c r="L11" i="1"/>
  <c r="L12" i="1"/>
  <c r="L13" i="1"/>
  <c r="L14" i="1"/>
  <c r="L15" i="1"/>
  <c r="L16" i="1"/>
  <c r="L17" i="1"/>
  <c r="L18" i="1"/>
  <c r="L19" i="1"/>
  <c r="L20" i="1"/>
  <c r="X21" i="1" l="1"/>
  <c r="I9" i="3"/>
  <c r="L9" i="3" s="1"/>
  <c r="F25" i="18" l="1"/>
  <c r="C11" i="18" s="1"/>
  <c r="D17" i="18" s="1"/>
  <c r="D9" i="18"/>
  <c r="D18" i="18" l="1"/>
  <c r="D8" i="13" l="1"/>
  <c r="E8" i="13" s="1"/>
  <c r="F8" i="13" s="1"/>
  <c r="G8" i="13" s="1"/>
  <c r="H8" i="13" s="1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11" i="10"/>
  <c r="G45" i="6"/>
  <c r="G46" i="6"/>
  <c r="G44" i="6"/>
  <c r="G31" i="6"/>
  <c r="G32" i="6"/>
  <c r="G33" i="6"/>
  <c r="G34" i="6"/>
  <c r="G35" i="6"/>
  <c r="G36" i="6"/>
  <c r="G37" i="6"/>
  <c r="G30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8" i="6"/>
  <c r="D8" i="5"/>
  <c r="C16" i="11" s="1"/>
  <c r="D16" i="11" s="1"/>
  <c r="E16" i="11" s="1"/>
  <c r="F16" i="11" s="1"/>
  <c r="G16" i="11" s="1"/>
  <c r="C21" i="5"/>
  <c r="C13" i="5"/>
  <c r="C8" i="5"/>
  <c r="G7" i="3"/>
  <c r="N7" i="3" s="1"/>
  <c r="G8" i="3"/>
  <c r="N8" i="3" s="1"/>
  <c r="G6" i="3"/>
  <c r="J58" i="10" l="1"/>
  <c r="F124" i="4"/>
  <c r="C6" i="7" s="1"/>
  <c r="D11" i="12" s="1"/>
  <c r="F138" i="4"/>
  <c r="C7" i="7" s="1"/>
  <c r="D10" i="12" s="1"/>
  <c r="G47" i="6"/>
  <c r="G48" i="6" s="1"/>
  <c r="D13" i="5"/>
  <c r="C17" i="11" s="1"/>
  <c r="I6" i="3"/>
  <c r="O8" i="3"/>
  <c r="P7" i="3"/>
  <c r="Q8" i="3"/>
  <c r="T7" i="3"/>
  <c r="E21" i="5"/>
  <c r="E15" i="13" s="1"/>
  <c r="E13" i="5"/>
  <c r="D17" i="11" s="1"/>
  <c r="D21" i="5"/>
  <c r="D15" i="13" s="1"/>
  <c r="O7" i="3"/>
  <c r="Q6" i="3"/>
  <c r="R8" i="3"/>
  <c r="S8" i="3" s="1"/>
  <c r="U6" i="3"/>
  <c r="F150" i="4"/>
  <c r="C8" i="7" s="1"/>
  <c r="D12" i="12" s="1"/>
  <c r="J22" i="10"/>
  <c r="P6" i="3"/>
  <c r="R7" i="3"/>
  <c r="S7" i="3" s="1"/>
  <c r="T6" i="3"/>
  <c r="U8" i="3"/>
  <c r="R6" i="3"/>
  <c r="S6" i="3" s="1"/>
  <c r="O6" i="3"/>
  <c r="P8" i="3"/>
  <c r="Q7" i="3"/>
  <c r="T8" i="3"/>
  <c r="U7" i="3"/>
  <c r="J46" i="10"/>
  <c r="J34" i="10"/>
  <c r="G24" i="6"/>
  <c r="G25" i="6" s="1"/>
  <c r="G38" i="6"/>
  <c r="G39" i="6" s="1"/>
  <c r="G40" i="6" s="1"/>
  <c r="C23" i="5"/>
  <c r="I7" i="3"/>
  <c r="N6" i="3"/>
  <c r="I8" i="3"/>
  <c r="D13" i="12" l="1"/>
  <c r="D16" i="13"/>
  <c r="F9" i="7"/>
  <c r="C18" i="11" s="1"/>
  <c r="D18" i="11" s="1"/>
  <c r="E18" i="11" s="1"/>
  <c r="F18" i="11" s="1"/>
  <c r="G18" i="11" s="1"/>
  <c r="D23" i="5"/>
  <c r="I8" i="8" s="1"/>
  <c r="F152" i="4"/>
  <c r="I5" i="8" s="1"/>
  <c r="K8" i="3"/>
  <c r="K7" i="3"/>
  <c r="J6" i="3"/>
  <c r="V6" i="3"/>
  <c r="G26" i="6"/>
  <c r="G50" i="6" s="1"/>
  <c r="V7" i="3"/>
  <c r="E8" i="5"/>
  <c r="F13" i="5"/>
  <c r="E17" i="11" s="1"/>
  <c r="C24" i="13"/>
  <c r="F21" i="5"/>
  <c r="F15" i="13" s="1"/>
  <c r="K6" i="3"/>
  <c r="V8" i="3"/>
  <c r="J7" i="3"/>
  <c r="J8" i="3"/>
  <c r="C9" i="11" l="1"/>
  <c r="D9" i="11" s="1"/>
  <c r="E9" i="11" s="1"/>
  <c r="F9" i="11" s="1"/>
  <c r="G9" i="11" s="1"/>
  <c r="I7" i="8"/>
  <c r="L6" i="3"/>
  <c r="L7" i="3"/>
  <c r="L8" i="3"/>
  <c r="D23" i="13"/>
  <c r="H21" i="5"/>
  <c r="H15" i="13" s="1"/>
  <c r="G21" i="5"/>
  <c r="G15" i="13" s="1"/>
  <c r="F8" i="5"/>
  <c r="E16" i="13"/>
  <c r="E23" i="5"/>
  <c r="V9" i="3"/>
  <c r="H13" i="5"/>
  <c r="G17" i="11" s="1"/>
  <c r="G13" i="5"/>
  <c r="F17" i="11" s="1"/>
  <c r="E23" i="13"/>
  <c r="L11" i="3" l="1"/>
  <c r="I6" i="8" s="1"/>
  <c r="I9" i="8" s="1"/>
  <c r="F16" i="13"/>
  <c r="F23" i="5"/>
  <c r="H8" i="5"/>
  <c r="G8" i="5"/>
  <c r="F23" i="13"/>
  <c r="J9" i="8" l="1"/>
  <c r="C9" i="8" s="1"/>
  <c r="E9" i="8" s="1"/>
  <c r="J10" i="8"/>
  <c r="D10" i="8" s="1"/>
  <c r="E10" i="8" s="1"/>
  <c r="C5" i="10" s="1"/>
  <c r="L12" i="3"/>
  <c r="L13" i="3"/>
  <c r="C14" i="11" s="1"/>
  <c r="D14" i="11" s="1"/>
  <c r="E14" i="11" s="1"/>
  <c r="F14" i="11" s="1"/>
  <c r="G14" i="11" s="1"/>
  <c r="G16" i="13"/>
  <c r="G23" i="5"/>
  <c r="H16" i="13"/>
  <c r="H23" i="5"/>
  <c r="H23" i="13"/>
  <c r="G23" i="13"/>
  <c r="E16" i="8" l="1"/>
  <c r="D11" i="10"/>
  <c r="C9" i="13"/>
  <c r="D13" i="10"/>
  <c r="D17" i="10"/>
  <c r="D21" i="10"/>
  <c r="D25" i="10"/>
  <c r="D29" i="10"/>
  <c r="D33" i="10"/>
  <c r="D37" i="10"/>
  <c r="D41" i="10"/>
  <c r="D45" i="10"/>
  <c r="D49" i="10"/>
  <c r="D53" i="10"/>
  <c r="D57" i="10"/>
  <c r="D61" i="10"/>
  <c r="D65" i="10"/>
  <c r="D69" i="10"/>
  <c r="D18" i="10"/>
  <c r="D30" i="10"/>
  <c r="D38" i="10"/>
  <c r="D42" i="10"/>
  <c r="D50" i="10"/>
  <c r="D54" i="10"/>
  <c r="D62" i="10"/>
  <c r="D70" i="10"/>
  <c r="D15" i="12"/>
  <c r="D17" i="12" s="1"/>
  <c r="D15" i="10"/>
  <c r="D19" i="10"/>
  <c r="D23" i="10"/>
  <c r="D27" i="10"/>
  <c r="D31" i="10"/>
  <c r="D35" i="10"/>
  <c r="D39" i="10"/>
  <c r="D43" i="10"/>
  <c r="D47" i="10"/>
  <c r="D51" i="10"/>
  <c r="D55" i="10"/>
  <c r="D59" i="10"/>
  <c r="D63" i="10"/>
  <c r="D67" i="10"/>
  <c r="C11" i="10"/>
  <c r="D12" i="10"/>
  <c r="D16" i="10"/>
  <c r="D20" i="10"/>
  <c r="D24" i="10"/>
  <c r="D28" i="10"/>
  <c r="D32" i="10"/>
  <c r="D36" i="10"/>
  <c r="D40" i="10"/>
  <c r="D44" i="10"/>
  <c r="D48" i="10"/>
  <c r="D52" i="10"/>
  <c r="D56" i="10"/>
  <c r="D60" i="10"/>
  <c r="D64" i="10"/>
  <c r="D68" i="10"/>
  <c r="D14" i="10"/>
  <c r="D22" i="10"/>
  <c r="D26" i="10"/>
  <c r="D34" i="10"/>
  <c r="D46" i="10"/>
  <c r="D58" i="10"/>
  <c r="D66" i="10"/>
  <c r="C10" i="13" l="1"/>
  <c r="C5" i="18"/>
  <c r="C8" i="18" s="1"/>
  <c r="C11" i="13"/>
  <c r="C31" i="13" s="1"/>
  <c r="H58" i="10"/>
  <c r="H70" i="10"/>
  <c r="E11" i="10"/>
  <c r="G11" i="10" s="1"/>
  <c r="C12" i="10"/>
  <c r="H22" i="10"/>
  <c r="D21" i="13" s="1"/>
  <c r="E21" i="13" s="1"/>
  <c r="F21" i="13" s="1"/>
  <c r="G21" i="13" s="1"/>
  <c r="H21" i="13" s="1"/>
  <c r="H34" i="10"/>
  <c r="H46" i="10"/>
  <c r="C27" i="13"/>
  <c r="C25" i="13"/>
  <c r="C12" i="18"/>
  <c r="C13" i="18" s="1"/>
  <c r="C15" i="18" l="1"/>
  <c r="C16" i="18"/>
  <c r="C17" i="18"/>
  <c r="C14" i="18"/>
  <c r="C13" i="10"/>
  <c r="E12" i="10"/>
  <c r="G12" i="10" s="1"/>
  <c r="C14" i="10" l="1"/>
  <c r="E13" i="10"/>
  <c r="G13" i="10" s="1"/>
  <c r="E14" i="10" l="1"/>
  <c r="G14" i="10" s="1"/>
  <c r="C15" i="10"/>
  <c r="E15" i="10" l="1"/>
  <c r="G15" i="10" s="1"/>
  <c r="C16" i="10"/>
  <c r="E16" i="10" l="1"/>
  <c r="G16" i="10" s="1"/>
  <c r="C17" i="10"/>
  <c r="E17" i="10" s="1"/>
  <c r="G17" i="10" s="1"/>
  <c r="C18" i="10" l="1"/>
  <c r="E18" i="10"/>
  <c r="C19" i="10" l="1"/>
  <c r="G18" i="10"/>
  <c r="E19" i="10" l="1"/>
  <c r="C20" i="10" l="1"/>
  <c r="G19" i="10"/>
  <c r="E20" i="10" l="1"/>
  <c r="C21" i="10" l="1"/>
  <c r="G20" i="10"/>
  <c r="E21" i="10" l="1"/>
  <c r="C22" i="10" l="1"/>
  <c r="G21" i="10"/>
  <c r="E22" i="10" l="1"/>
  <c r="I22" i="10" l="1"/>
  <c r="K23" i="10" s="1"/>
  <c r="C20" i="11" s="1"/>
  <c r="C23" i="10"/>
  <c r="G22" i="10"/>
  <c r="L22" i="10" l="1"/>
  <c r="E23" i="10"/>
  <c r="G23" i="10" l="1"/>
  <c r="C24" i="10"/>
  <c r="E24" i="10" l="1"/>
  <c r="C25" i="10" l="1"/>
  <c r="G24" i="10"/>
  <c r="E25" i="10" l="1"/>
  <c r="C26" i="10" l="1"/>
  <c r="G25" i="10"/>
  <c r="E26" i="10" l="1"/>
  <c r="C27" i="10" l="1"/>
  <c r="G26" i="10"/>
  <c r="E27" i="10" l="1"/>
  <c r="G27" i="10" s="1"/>
  <c r="C28" i="10" l="1"/>
  <c r="E28" i="10" l="1"/>
  <c r="C29" i="10" l="1"/>
  <c r="G28" i="10"/>
  <c r="E29" i="10" l="1"/>
  <c r="C30" i="10" l="1"/>
  <c r="G29" i="10"/>
  <c r="E30" i="10" l="1"/>
  <c r="G30" i="10" s="1"/>
  <c r="C31" i="10" l="1"/>
  <c r="E31" i="10" l="1"/>
  <c r="G31" i="10" l="1"/>
  <c r="C32" i="10"/>
  <c r="E32" i="10" l="1"/>
  <c r="C33" i="10" l="1"/>
  <c r="G32" i="10"/>
  <c r="E33" i="10" l="1"/>
  <c r="C34" i="10" l="1"/>
  <c r="G33" i="10"/>
  <c r="E34" i="10" l="1"/>
  <c r="G34" i="10" l="1"/>
  <c r="L34" i="10" s="1"/>
  <c r="I34" i="10"/>
  <c r="C35" i="10"/>
  <c r="K35" i="10" l="1"/>
  <c r="D20" i="11" s="1"/>
  <c r="E35" i="10"/>
  <c r="C36" i="10" l="1"/>
  <c r="G35" i="10"/>
  <c r="E36" i="10" l="1"/>
  <c r="C37" i="10" l="1"/>
  <c r="G36" i="10"/>
  <c r="E37" i="10" l="1"/>
  <c r="C38" i="10" l="1"/>
  <c r="G37" i="10"/>
  <c r="E38" i="10" l="1"/>
  <c r="G38" i="10" l="1"/>
  <c r="C39" i="10"/>
  <c r="E39" i="10" l="1"/>
  <c r="G39" i="10" l="1"/>
  <c r="C40" i="10"/>
  <c r="E40" i="10" l="1"/>
  <c r="C41" i="10" l="1"/>
  <c r="G40" i="10"/>
  <c r="E41" i="10" l="1"/>
  <c r="C42" i="10" l="1"/>
  <c r="G41" i="10"/>
  <c r="E42" i="10" l="1"/>
  <c r="C43" i="10" l="1"/>
  <c r="G42" i="10"/>
  <c r="E43" i="10" l="1"/>
  <c r="C44" i="10" l="1"/>
  <c r="G43" i="10"/>
  <c r="E44" i="10" l="1"/>
  <c r="C45" i="10" l="1"/>
  <c r="G44" i="10"/>
  <c r="E45" i="10" l="1"/>
  <c r="C46" i="10" l="1"/>
  <c r="G45" i="10"/>
  <c r="E46" i="10" l="1"/>
  <c r="G46" i="10" l="1"/>
  <c r="L46" i="10" s="1"/>
  <c r="I46" i="10"/>
  <c r="C47" i="10"/>
  <c r="K47" i="10" l="1"/>
  <c r="E20" i="11" s="1"/>
  <c r="E47" i="10"/>
  <c r="G47" i="10" l="1"/>
  <c r="C48" i="10"/>
  <c r="E48" i="10" l="1"/>
  <c r="C49" i="10"/>
  <c r="G48" i="10" l="1"/>
  <c r="E49" i="10"/>
  <c r="C50" i="10" l="1"/>
  <c r="G49" i="10"/>
  <c r="C51" i="10" l="1"/>
  <c r="E50" i="10"/>
  <c r="G50" i="10" l="1"/>
  <c r="C52" i="10"/>
  <c r="E51" i="10"/>
  <c r="E52" i="10" l="1"/>
  <c r="G51" i="10"/>
  <c r="C53" i="10" l="1"/>
  <c r="G52" i="10"/>
  <c r="E53" i="10" l="1"/>
  <c r="C54" i="10" l="1"/>
  <c r="G53" i="10"/>
  <c r="E54" i="10" l="1"/>
  <c r="G54" i="10" s="1"/>
  <c r="C55" i="10" l="1"/>
  <c r="E55" i="10" l="1"/>
  <c r="G55" i="10" s="1"/>
  <c r="C56" i="10" l="1"/>
  <c r="E56" i="10" l="1"/>
  <c r="C57" i="10" l="1"/>
  <c r="G56" i="10"/>
  <c r="E57" i="10" l="1"/>
  <c r="C58" i="10" l="1"/>
  <c r="G57" i="10"/>
  <c r="E58" i="10" l="1"/>
  <c r="I58" i="10" s="1"/>
  <c r="K58" i="10" s="1"/>
  <c r="F20" i="11" s="1"/>
  <c r="G58" i="10" l="1"/>
  <c r="L58" i="10" s="1"/>
  <c r="C59" i="10"/>
  <c r="E59" i="10" l="1"/>
  <c r="G59" i="10" l="1"/>
  <c r="C60" i="10"/>
  <c r="E60" i="10" l="1"/>
  <c r="O13" i="1" l="1"/>
  <c r="O17" i="1"/>
  <c r="O10" i="1"/>
  <c r="O14" i="1"/>
  <c r="O18" i="1"/>
  <c r="O11" i="1"/>
  <c r="O15" i="1"/>
  <c r="O19" i="1"/>
  <c r="O12" i="1"/>
  <c r="O16" i="1"/>
  <c r="O20" i="1"/>
  <c r="I17" i="1"/>
  <c r="I12" i="1"/>
  <c r="I16" i="1"/>
  <c r="I20" i="1"/>
  <c r="I13" i="1"/>
  <c r="I10" i="1"/>
  <c r="I14" i="1"/>
  <c r="I18" i="1"/>
  <c r="I11" i="1"/>
  <c r="I15" i="1"/>
  <c r="I19" i="1"/>
  <c r="C61" i="10"/>
  <c r="G60" i="10"/>
  <c r="O9" i="1" l="1"/>
  <c r="P21" i="1"/>
  <c r="J21" i="1"/>
  <c r="I9" i="1"/>
  <c r="E61" i="10"/>
  <c r="R21" i="1" l="1"/>
  <c r="L21" i="1"/>
  <c r="C62" i="10"/>
  <c r="G61" i="10"/>
  <c r="E62" i="10" l="1"/>
  <c r="C63" i="10" l="1"/>
  <c r="G62" i="10"/>
  <c r="E63" i="10" l="1"/>
  <c r="C64" i="10" l="1"/>
  <c r="G63" i="10"/>
  <c r="E64" i="10" l="1"/>
  <c r="C65" i="10" l="1"/>
  <c r="G64" i="10"/>
  <c r="E65" i="10" l="1"/>
  <c r="C66" i="10" l="1"/>
  <c r="G65" i="10"/>
  <c r="E66" i="10" l="1"/>
  <c r="G66" i="10" s="1"/>
  <c r="C67" i="10" l="1"/>
  <c r="E67" i="10" l="1"/>
  <c r="C68" i="10" l="1"/>
  <c r="G67" i="10"/>
  <c r="E68" i="10" l="1"/>
  <c r="C69" i="10" l="1"/>
  <c r="G68" i="10"/>
  <c r="E69" i="10" l="1"/>
  <c r="C70" i="10" l="1"/>
  <c r="G69" i="10"/>
  <c r="E70" i="10" l="1"/>
  <c r="G70" i="10" l="1"/>
  <c r="L70" i="10" s="1"/>
  <c r="I70" i="10"/>
  <c r="K70" i="10" s="1"/>
  <c r="G20" i="11" s="1"/>
  <c r="C10" i="1" l="1"/>
  <c r="C12" i="1"/>
  <c r="C16" i="1"/>
  <c r="C20" i="1"/>
  <c r="C13" i="1"/>
  <c r="C19" i="1"/>
  <c r="C17" i="1"/>
  <c r="C11" i="1"/>
  <c r="C14" i="1"/>
  <c r="C18" i="1"/>
  <c r="C15" i="1"/>
  <c r="K5" i="10" l="1"/>
  <c r="L5" i="10" s="1"/>
  <c r="C9" i="1"/>
  <c r="D21" i="1"/>
  <c r="D19" i="12" l="1"/>
  <c r="D20" i="12" s="1"/>
  <c r="D22" i="12" s="1"/>
  <c r="D13" i="13"/>
  <c r="F21" i="1"/>
  <c r="C6" i="2" l="1"/>
  <c r="D6" i="2" s="1"/>
  <c r="E6" i="2" s="1"/>
  <c r="F6" i="2" s="1"/>
  <c r="G6" i="2" s="1"/>
  <c r="C12" i="2" l="1"/>
  <c r="C13" i="2" s="1"/>
  <c r="C14" i="2" s="1"/>
  <c r="C15" i="2" s="1"/>
  <c r="C16" i="2" s="1"/>
  <c r="K4" i="10"/>
  <c r="K6" i="10" s="1"/>
  <c r="C6" i="11"/>
  <c r="C7" i="11" s="1"/>
  <c r="D6" i="11"/>
  <c r="D6" i="13" l="1"/>
  <c r="D11" i="13" s="1"/>
  <c r="C17" i="2"/>
  <c r="C21" i="11"/>
  <c r="D7" i="11"/>
  <c r="D21" i="11" s="1"/>
  <c r="E6" i="13"/>
  <c r="E6" i="11"/>
  <c r="D29" i="13" l="1"/>
  <c r="E11" i="13"/>
  <c r="E29" i="13"/>
  <c r="G6" i="11"/>
  <c r="F6" i="11"/>
  <c r="E7" i="11"/>
  <c r="E21" i="11" s="1"/>
  <c r="F6" i="13"/>
  <c r="F11" i="13" l="1"/>
  <c r="F29" i="13"/>
  <c r="F7" i="11"/>
  <c r="F21" i="11" s="1"/>
  <c r="G6" i="13"/>
  <c r="G7" i="11"/>
  <c r="G21" i="11" s="1"/>
  <c r="H6" i="13"/>
  <c r="G11" i="13" l="1"/>
  <c r="G29" i="13"/>
  <c r="H11" i="13"/>
  <c r="H29" i="13"/>
  <c r="C10" i="11"/>
  <c r="C11" i="11" s="1"/>
  <c r="C33" i="13" l="1"/>
  <c r="C19" i="11"/>
  <c r="C22" i="11" s="1"/>
  <c r="C12" i="11"/>
  <c r="F13" i="13"/>
  <c r="E13" i="13"/>
  <c r="D10" i="11"/>
  <c r="D11" i="11" s="1"/>
  <c r="G13" i="13" l="1"/>
  <c r="E10" i="11"/>
  <c r="E11" i="11" s="1"/>
  <c r="E19" i="11" s="1"/>
  <c r="E22" i="11" s="1"/>
  <c r="C24" i="11"/>
  <c r="D12" i="11"/>
  <c r="D19" i="11"/>
  <c r="D22" i="11" s="1"/>
  <c r="G10" i="11" l="1"/>
  <c r="G11" i="11" s="1"/>
  <c r="G12" i="11" s="1"/>
  <c r="F10" i="11"/>
  <c r="F11" i="11" s="1"/>
  <c r="F19" i="11" s="1"/>
  <c r="F22" i="11" s="1"/>
  <c r="E12" i="11"/>
  <c r="D22" i="13"/>
  <c r="D24" i="13" s="1"/>
  <c r="D25" i="13" s="1"/>
  <c r="E24" i="11"/>
  <c r="D24" i="11"/>
  <c r="D31" i="13" l="1"/>
  <c r="D30" i="13"/>
  <c r="H13" i="13"/>
  <c r="F12" i="11"/>
  <c r="G19" i="11"/>
  <c r="G22" i="11" s="1"/>
  <c r="E22" i="13"/>
  <c r="E24" i="13" s="1"/>
  <c r="F22" i="13"/>
  <c r="F24" i="13" s="1"/>
  <c r="G22" i="13"/>
  <c r="G24" i="13" s="1"/>
  <c r="G24" i="11" l="1"/>
  <c r="F24" i="11"/>
  <c r="D32" i="13"/>
  <c r="E25" i="13"/>
  <c r="E31" i="13" s="1"/>
  <c r="E30" i="13"/>
  <c r="G25" i="13"/>
  <c r="G31" i="13" s="1"/>
  <c r="G30" i="13"/>
  <c r="F25" i="13"/>
  <c r="F31" i="13" s="1"/>
  <c r="F30" i="13"/>
  <c r="H22" i="13" l="1"/>
  <c r="H24" i="13" s="1"/>
  <c r="H25" i="13" s="1"/>
  <c r="H31" i="13" s="1"/>
  <c r="H38" i="13" s="1"/>
  <c r="E32" i="13"/>
  <c r="F32" i="13" s="1"/>
  <c r="H40" i="13" s="1"/>
  <c r="H30" i="13" l="1"/>
  <c r="C34" i="13" s="1"/>
  <c r="C35" i="13" s="1"/>
  <c r="H39" i="13" s="1"/>
  <c r="H37" i="13"/>
  <c r="G32" i="13"/>
  <c r="H32" i="1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U5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Riesgo 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6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Manual de financiación de FONDO EMPRENDER: </t>
        </r>
        <r>
          <rPr>
            <sz val="9"/>
            <color indexed="81"/>
            <rFont val="Tahoma"/>
            <family val="2"/>
          </rPr>
          <t xml:space="preserve">https://www.sena.edu.co/es-co/transparencia/ProyectoNorma/proyecto_manual_financiero_y_financiaci%C3%B3n_fondo_emprender.pdf. </t>
        </r>
        <r>
          <rPr>
            <b/>
            <sz val="9"/>
            <color indexed="81"/>
            <rFont val="Tahoma"/>
            <family val="2"/>
          </rPr>
          <t xml:space="preserve">
DTF (Depósito a Término Fijo): 1,75%
+
Tiempo de reembolso:
2 años = 0,5</t>
        </r>
        <r>
          <rPr>
            <sz val="9"/>
            <color indexed="81"/>
            <rFont val="Tahoma"/>
            <family val="2"/>
          </rPr>
          <t xml:space="preserve"> // </t>
        </r>
        <r>
          <rPr>
            <b/>
            <sz val="9"/>
            <color indexed="81"/>
            <rFont val="Tahoma"/>
            <family val="2"/>
          </rPr>
          <t xml:space="preserve">3 años = 1 </t>
        </r>
        <r>
          <rPr>
            <sz val="9"/>
            <color indexed="81"/>
            <rFont val="Tahoma"/>
            <family val="2"/>
          </rPr>
          <t xml:space="preserve">// </t>
        </r>
        <r>
          <rPr>
            <b/>
            <sz val="9"/>
            <color indexed="81"/>
            <rFont val="Tahoma"/>
            <family val="2"/>
          </rPr>
          <t xml:space="preserve">4 años = 1,5 </t>
        </r>
        <r>
          <rPr>
            <sz val="9"/>
            <color indexed="81"/>
            <rFont val="Tahoma"/>
            <family val="2"/>
          </rPr>
          <t>//</t>
        </r>
        <r>
          <rPr>
            <b/>
            <sz val="9"/>
            <color indexed="81"/>
            <rFont val="Tahoma"/>
            <family val="2"/>
          </rPr>
          <t xml:space="preserve"> 5 años = 2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H40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a + ((b-c)/d)
a = Año antes de recuperar inversión
b = Inversión
c = Flujo acumulado del año antes de recuperar la inversión
d = Flujo de caja de año en que se recupera la inversión</t>
        </r>
      </text>
    </comment>
  </commentList>
</comments>
</file>

<file path=xl/sharedStrings.xml><?xml version="1.0" encoding="utf-8"?>
<sst xmlns="http://schemas.openxmlformats.org/spreadsheetml/2006/main" count="873" uniqueCount="518">
  <si>
    <t>Unidades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</si>
  <si>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</si>
  <si>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</si>
  <si>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</si>
  <si>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</si>
  <si>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</si>
  <si>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</si>
  <si>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</si>
  <si>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</si>
  <si>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</si>
  <si>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</si>
  <si>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</si>
  <si>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</si>
  <si>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</si>
  <si>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ICBF</t>
  </si>
  <si>
    <t>SENA</t>
  </si>
  <si>
    <t>CCF</t>
  </si>
  <si>
    <t>ARL</t>
  </si>
  <si>
    <t>Cargo</t>
  </si>
  <si>
    <t>Valor
Sueldo</t>
  </si>
  <si>
    <t>Auxilio de
transporte</t>
  </si>
  <si>
    <t>Total
devengado</t>
  </si>
  <si>
    <t>Componente
Prestacional</t>
  </si>
  <si>
    <t>Subtotal</t>
  </si>
  <si>
    <t>Gerente</t>
  </si>
  <si>
    <t>Contador</t>
  </si>
  <si>
    <t>Total trimestral</t>
  </si>
  <si>
    <t>Total anual</t>
  </si>
  <si>
    <t>MAQUINARIA Y EQUIPO 1520</t>
  </si>
  <si>
    <t>Nombre</t>
  </si>
  <si>
    <t>Cantidad</t>
  </si>
  <si>
    <t>Costo</t>
  </si>
  <si>
    <t xml:space="preserve"> EQUIPO DE OFICINA - MUEBLES Y ENSERES 1524</t>
  </si>
  <si>
    <t>EQUIPO DE COMPUTACIÓN Y COMUNICACIÓN 1528</t>
  </si>
  <si>
    <t>Total Presupuesto Maquinaria</t>
  </si>
  <si>
    <t>GASTOS ADMINISTRATIVOS</t>
  </si>
  <si>
    <t>Costo (Mes)</t>
  </si>
  <si>
    <t>Año 1</t>
  </si>
  <si>
    <t>Año 2</t>
  </si>
  <si>
    <t>Año 3</t>
  </si>
  <si>
    <t>Año 4</t>
  </si>
  <si>
    <t>Año 5</t>
  </si>
  <si>
    <t>GASTOS DE VENTAS</t>
  </si>
  <si>
    <t>GASTOS OPERATIVOS</t>
  </si>
  <si>
    <t>Internet</t>
  </si>
  <si>
    <t>Servicio de agua</t>
  </si>
  <si>
    <t>Total Gastos</t>
  </si>
  <si>
    <t>Total Trimestral</t>
  </si>
  <si>
    <t>Tiempo</t>
  </si>
  <si>
    <t>Unidad de
medida</t>
  </si>
  <si>
    <t>Precio</t>
  </si>
  <si>
    <t>Total mensual</t>
  </si>
  <si>
    <t>Total Anual</t>
  </si>
  <si>
    <t xml:space="preserve">Resma de papel carta </t>
  </si>
  <si>
    <t>SEMESTRAL</t>
  </si>
  <si>
    <t>Paq. X 500 h</t>
  </si>
  <si>
    <t xml:space="preserve">Resma de papel oficio </t>
  </si>
  <si>
    <t xml:space="preserve">Tinta negra Impresoras </t>
  </si>
  <si>
    <t>4 und</t>
  </si>
  <si>
    <t xml:space="preserve">Tinta color impresoras </t>
  </si>
  <si>
    <t>AZ Carta</t>
  </si>
  <si>
    <t>und</t>
  </si>
  <si>
    <t xml:space="preserve">AZ oficio </t>
  </si>
  <si>
    <t>Bolígrafo</t>
  </si>
  <si>
    <t>caja x 12 und</t>
  </si>
  <si>
    <t>Tijeras</t>
  </si>
  <si>
    <t>und acero inoxidable</t>
  </si>
  <si>
    <t>Pegante en barra</t>
  </si>
  <si>
    <t>paq. X 3 und</t>
  </si>
  <si>
    <t>Resaltadores</t>
  </si>
  <si>
    <t>paq. X 10 Und</t>
  </si>
  <si>
    <t>Grapadora</t>
  </si>
  <si>
    <t xml:space="preserve">Caja ganchos cosedora </t>
  </si>
  <si>
    <t>Saca ganchos</t>
  </si>
  <si>
    <t>Cinta de enmascarar</t>
  </si>
  <si>
    <t>Perforadora</t>
  </si>
  <si>
    <t>INSUMOS DE ASEO</t>
  </si>
  <si>
    <t>TRIMESTRAL</t>
  </si>
  <si>
    <t>Gel antibacterial</t>
  </si>
  <si>
    <t xml:space="preserve">Tapabocas </t>
  </si>
  <si>
    <t>caja x 100</t>
  </si>
  <si>
    <t>Escoba</t>
  </si>
  <si>
    <t>Recogedor</t>
  </si>
  <si>
    <t>Trapero</t>
  </si>
  <si>
    <t>OTROS INSUMOS Y SERVICIOS</t>
  </si>
  <si>
    <t>ANUAL</t>
  </si>
  <si>
    <t>Extintor</t>
  </si>
  <si>
    <t>und X 20 Libras</t>
  </si>
  <si>
    <t>Concepto</t>
  </si>
  <si>
    <t>Monto</t>
  </si>
  <si>
    <t>Aporte del emprendedor</t>
  </si>
  <si>
    <t>Otras fuentes</t>
  </si>
  <si>
    <t>MUEBLES Y ENSERES</t>
  </si>
  <si>
    <t>Valor</t>
  </si>
  <si>
    <t>Ingresos mes 1</t>
  </si>
  <si>
    <t>Egresos pa iniciar</t>
  </si>
  <si>
    <t>Intereses</t>
  </si>
  <si>
    <t>Plazo (Mes)</t>
  </si>
  <si>
    <t>Seguro (Mes)</t>
  </si>
  <si>
    <t>Saldo</t>
  </si>
  <si>
    <t>Abono a capital</t>
  </si>
  <si>
    <t>Seguro</t>
  </si>
  <si>
    <t>Valor de cuota</t>
  </si>
  <si>
    <t xml:space="preserve">ESTADO RESULTADO </t>
  </si>
  <si>
    <t>INGRESOS OPERACIONALES</t>
  </si>
  <si>
    <t>Ventas Brutas</t>
  </si>
  <si>
    <t>TOTAL INGRESOS BRUTOS</t>
  </si>
  <si>
    <t>COSTO VENTA</t>
  </si>
  <si>
    <t>Costo de venta</t>
  </si>
  <si>
    <t>TOTAL COSTO DE VENTA</t>
  </si>
  <si>
    <t>UTILIDAD BRUTA</t>
  </si>
  <si>
    <t>RENTABILIDAD BRUTA</t>
  </si>
  <si>
    <t>GASTOS OPERACIONALES</t>
  </si>
  <si>
    <t xml:space="preserve">Gastos de personal </t>
  </si>
  <si>
    <t xml:space="preserve">Gastos administrativos </t>
  </si>
  <si>
    <t>Gastos de venta</t>
  </si>
  <si>
    <t>UTILIDAD OPERACIONAL</t>
  </si>
  <si>
    <t>Otros Gastos/Gastos financieros</t>
  </si>
  <si>
    <t xml:space="preserve">Impuesto de industria y comercio </t>
  </si>
  <si>
    <t>Impuesto de renta y complementarios</t>
  </si>
  <si>
    <t>UTILIDAD NETA</t>
  </si>
  <si>
    <t>Representante Legal</t>
  </si>
  <si>
    <t>ACTIVOS</t>
  </si>
  <si>
    <t>EFECTIVO Y EQUIVALENTE DE EFECTIVO</t>
  </si>
  <si>
    <t>EFECTIVO/CAJA</t>
  </si>
  <si>
    <t>CUENTAS POR COBRAR</t>
  </si>
  <si>
    <t>INVENTARIOS</t>
  </si>
  <si>
    <t>PROPIEDAD PLANTA Y EQUIPO</t>
  </si>
  <si>
    <t>MAQUINARIA, EQUIPO y adecuaciones</t>
  </si>
  <si>
    <t xml:space="preserve">EQUIPO DE COMPUTACIÓN Y COMUNICACIÓN </t>
  </si>
  <si>
    <t>TOTAL ACTIVO</t>
  </si>
  <si>
    <t>PASIVO</t>
  </si>
  <si>
    <t>OBLIGACIONES FINANCIERAS</t>
  </si>
  <si>
    <t>OTROS PASIVOS</t>
  </si>
  <si>
    <t>TOTAL PASIVO</t>
  </si>
  <si>
    <t>PATRIMONIO</t>
  </si>
  <si>
    <t>CAPITAL SOCIAL</t>
  </si>
  <si>
    <t>TOTAL PATRIMONIO</t>
  </si>
  <si>
    <t>FLUJO DE CAJA PROYECTADO</t>
  </si>
  <si>
    <t>INGRESOS</t>
  </si>
  <si>
    <t>INGRESOS POR VENTAS DE CONTADO</t>
  </si>
  <si>
    <t>CAJA INICIAL</t>
  </si>
  <si>
    <t>APORTES DE CAPITAL</t>
  </si>
  <si>
    <t>TOTAL INGRESOS</t>
  </si>
  <si>
    <t>EGRESOS</t>
  </si>
  <si>
    <t>COSTOS DE OPERACIÓN</t>
  </si>
  <si>
    <t>GASTOS ADMINISTRATIVOS Y VENTAS</t>
  </si>
  <si>
    <t>GASTOS DE PERSONAL</t>
  </si>
  <si>
    <t>COMPRA ACTIVOS FIJOS</t>
  </si>
  <si>
    <t>PAGO DE INTERESES</t>
  </si>
  <si>
    <t>DEPRECIACIÓN</t>
  </si>
  <si>
    <t>TOTAL EGRESOS</t>
  </si>
  <si>
    <t>SALDO DE CAJA</t>
  </si>
  <si>
    <t>Capital</t>
  </si>
  <si>
    <t>Política de crédito</t>
  </si>
  <si>
    <t>Proyección de Ventas por Mes</t>
  </si>
  <si>
    <t>Capacidad mensual</t>
  </si>
  <si>
    <t>Ocupación</t>
  </si>
  <si>
    <t>Ventas Anuales</t>
  </si>
  <si>
    <t>Presupuesto de Ventas Proyectado Anualmente</t>
  </si>
  <si>
    <t>Años</t>
  </si>
  <si>
    <t>Mes</t>
  </si>
  <si>
    <t>Deducciones
(Salud-Pensión)</t>
  </si>
  <si>
    <t>Nómina</t>
  </si>
  <si>
    <t>Total
Nómina</t>
  </si>
  <si>
    <t>Componente seg. social (Pensión)
y parafiscales (ARL y CCF)</t>
  </si>
  <si>
    <t>Salud</t>
  </si>
  <si>
    <t>Pensión</t>
  </si>
  <si>
    <t>Cesantías</t>
  </si>
  <si>
    <t>Int. Cesantías</t>
  </si>
  <si>
    <t>Presupuesto Maquinaria</t>
  </si>
  <si>
    <t xml:space="preserve">Gastos </t>
  </si>
  <si>
    <t>Descripción</t>
  </si>
  <si>
    <t>Plan de Compras y Servicios</t>
  </si>
  <si>
    <t>Fuentes de Financiación</t>
  </si>
  <si>
    <t>Depreciación</t>
  </si>
  <si>
    <t>Tabla de Amortización</t>
  </si>
  <si>
    <t>Meses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</si>
  <si>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</si>
  <si>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</si>
  <si>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</si>
  <si>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</si>
  <si>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</si>
  <si>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</si>
  <si>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</si>
  <si>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</si>
  <si>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</si>
  <si>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</si>
  <si>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</si>
  <si>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</si>
  <si>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Mes 13</t>
  </si>
  <si>
    <t>Mes 14</t>
  </si>
  <si>
    <t>Mes 15</t>
  </si>
  <si>
    <t>Mes 16</t>
  </si>
  <si>
    <t>Mes 17</t>
  </si>
  <si>
    <t>Mes 18</t>
  </si>
  <si>
    <t>Mes 19</t>
  </si>
  <si>
    <t>Mes 20</t>
  </si>
  <si>
    <t>Mes 21</t>
  </si>
  <si>
    <t>Mes 22</t>
  </si>
  <si>
    <t>Mes 23</t>
  </si>
  <si>
    <t>Mes 24</t>
  </si>
  <si>
    <t>Mes 25</t>
  </si>
  <si>
    <t>Mes 26</t>
  </si>
  <si>
    <t>Mes 27</t>
  </si>
  <si>
    <t>Mes 28</t>
  </si>
  <si>
    <t>Mes 29</t>
  </si>
  <si>
    <t>Mes 30</t>
  </si>
  <si>
    <t>Mes 31</t>
  </si>
  <si>
    <t>Mes 32</t>
  </si>
  <si>
    <t>Mes 33</t>
  </si>
  <si>
    <t>Mes 34</t>
  </si>
  <si>
    <t>Mes 35</t>
  </si>
  <si>
    <t>Mes 36</t>
  </si>
  <si>
    <t>Mes 37</t>
  </si>
  <si>
    <t>Mes 38</t>
  </si>
  <si>
    <t>Mes 39</t>
  </si>
  <si>
    <t>Mes 40</t>
  </si>
  <si>
    <t>Mes 41</t>
  </si>
  <si>
    <t>Mes 42</t>
  </si>
  <si>
    <t>Mes 43</t>
  </si>
  <si>
    <t>Mes 44</t>
  </si>
  <si>
    <t>Mes 45</t>
  </si>
  <si>
    <t>Mes 46</t>
  </si>
  <si>
    <t>Mes 47</t>
  </si>
  <si>
    <t>Mes 48</t>
  </si>
  <si>
    <t>Mes 49</t>
  </si>
  <si>
    <t>Mes 50</t>
  </si>
  <si>
    <t>Mes 51</t>
  </si>
  <si>
    <t>Mes 52</t>
  </si>
  <si>
    <t>Mes 53</t>
  </si>
  <si>
    <t>Mes 54</t>
  </si>
  <si>
    <t>Mes 55</t>
  </si>
  <si>
    <t>Mes 56</t>
  </si>
  <si>
    <t>Mes 57</t>
  </si>
  <si>
    <t>Mes 58</t>
  </si>
  <si>
    <t>Mes 59</t>
  </si>
  <si>
    <t>Mes 60</t>
  </si>
  <si>
    <t>Suma K</t>
  </si>
  <si>
    <t>Año 0</t>
  </si>
  <si>
    <t>Flujo de caja</t>
  </si>
  <si>
    <t>VAN</t>
  </si>
  <si>
    <t>TIR</t>
  </si>
  <si>
    <t>Propuesta</t>
  </si>
  <si>
    <t>Inversores</t>
  </si>
  <si>
    <t>=</t>
  </si>
  <si>
    <t>Presupuesto</t>
  </si>
  <si>
    <t>App domicilios</t>
  </si>
  <si>
    <t>Desarrollador</t>
  </si>
  <si>
    <t>Gastos de funcionamiento</t>
  </si>
  <si>
    <t>improvistos</t>
  </si>
  <si>
    <t>Total capital</t>
  </si>
  <si>
    <t>Relación beneficio/costo</t>
  </si>
  <si>
    <t>PRI</t>
  </si>
  <si>
    <t>Flujo de ingresos</t>
  </si>
  <si>
    <t>Flujo de egresos</t>
  </si>
  <si>
    <t>Costo + inversión</t>
  </si>
  <si>
    <t>VAN de flujo de ingresos</t>
  </si>
  <si>
    <t>VAN de flujo de egresos</t>
  </si>
  <si>
    <t>Inversión</t>
  </si>
  <si>
    <t>Gastos financieros</t>
  </si>
  <si>
    <t>Flujo de caja acumulado</t>
  </si>
  <si>
    <t>TOTAL PASIVO MAS PATRIMONIO</t>
  </si>
  <si>
    <t>Cinta transparente</t>
  </si>
  <si>
    <t>Bayetillas</t>
  </si>
  <si>
    <t>Renovación cámara de comercio</t>
  </si>
  <si>
    <t>GASTOS DE INICIACIÓN Y MONTAJE</t>
  </si>
  <si>
    <t>Servicio de energía</t>
  </si>
  <si>
    <t>INSUMOS PAPELERÍA</t>
  </si>
  <si>
    <t>Galón</t>
  </si>
  <si>
    <t>Botiquín</t>
  </si>
  <si>
    <t xml:space="preserve">Señalización </t>
  </si>
  <si>
    <t>Vida útil
(Años)</t>
  </si>
  <si>
    <t>Depreciación
(%)</t>
  </si>
  <si>
    <t>Depreciación
(Anual)</t>
  </si>
  <si>
    <t>Monto crédito</t>
  </si>
  <si>
    <t>Interés</t>
  </si>
  <si>
    <t xml:space="preserve">Depreciación </t>
  </si>
  <si>
    <t>ESTADO DE SITUACIÓN FINANCIERA INICIAL</t>
  </si>
  <si>
    <t>INGRESOS POR VENTAS A CRÉDITO</t>
  </si>
  <si>
    <t>INGRESOS POR CRÉDITOS</t>
  </si>
  <si>
    <t>PAGO MERCANCÍAS DE CONTADO</t>
  </si>
  <si>
    <t>PAGO MERCANCÍAS A CRÉDITO</t>
  </si>
  <si>
    <t>PAGO CAPITAL CRÉDITO</t>
  </si>
  <si>
    <t>Tasa de interés</t>
  </si>
  <si>
    <t>Sincronización electrónica</t>
  </si>
  <si>
    <t>Alineación y balanceo</t>
  </si>
  <si>
    <t>Frenos</t>
  </si>
  <si>
    <t>Tecno Full</t>
  </si>
  <si>
    <t xml:space="preserve">VENTAS </t>
  </si>
  <si>
    <t>IPC</t>
  </si>
  <si>
    <t>%</t>
  </si>
  <si>
    <t>AÑO 1</t>
  </si>
  <si>
    <t>AÑO 2</t>
  </si>
  <si>
    <t>AÑO 3</t>
  </si>
  <si>
    <t>AÑO 4</t>
  </si>
  <si>
    <t>AÑO 5</t>
  </si>
  <si>
    <t xml:space="preserve">TOTAL </t>
  </si>
  <si>
    <t>PROMEDIO IPC</t>
  </si>
  <si>
    <t>Columna1</t>
  </si>
  <si>
    <t>Columna2</t>
  </si>
  <si>
    <t>Columna3</t>
  </si>
  <si>
    <t>Columna4</t>
  </si>
  <si>
    <t>Secretaria</t>
  </si>
  <si>
    <t>Jefe de Taller</t>
  </si>
  <si>
    <t>Mecanico</t>
  </si>
  <si>
    <t>Stan adaptador m 3/8" (3/8hx 1/4 M) 86214</t>
  </si>
  <si>
    <t>Stan adaptador m 3/8" (3/8hx 1/4 M)86214</t>
  </si>
  <si>
    <t>Stan mando articulado 17" mando 1/2 86413</t>
  </si>
  <si>
    <t>Stan Extensión 3" mando 1/2 86406</t>
  </si>
  <si>
    <t>Stan Extensión 5" mando 1/2 86407</t>
  </si>
  <si>
    <t>Stan Extensión 10" mando 1/2 86408</t>
  </si>
  <si>
    <t>Stan adaptador 1/2" HX3/8"M M1/2" 86414</t>
  </si>
  <si>
    <t>Stan adaptador 1/2" HX3/8"M M1/2" 88558</t>
  </si>
  <si>
    <t>Stan adaptador 3/4 HX1/2M M3/4 88908</t>
  </si>
  <si>
    <t>Stan juego dado M1/4" -17pc(5/32- 1/2") 86118</t>
  </si>
  <si>
    <t>Stan juego dado M1/4" -18PC( 4m-13m) 86117</t>
  </si>
  <si>
    <t>Stan juego dado M 3/8"-23pc 6-22mm86209</t>
  </si>
  <si>
    <t>Stan juego dado M1/2" -11 pc mm 86734</t>
  </si>
  <si>
    <t>Stan juego dado 9 pc M1/2" torx 89098</t>
  </si>
  <si>
    <t>Stanley torquimetro M3/8" 20-80 lb/ft13-105</t>
  </si>
  <si>
    <t xml:space="preserve">Stanley torquimetro M1/2" 30-1500 lb/ft 13-571 </t>
  </si>
  <si>
    <t>Stanley torquimetro M1/2" 50-250 LP 86354/ 13572</t>
  </si>
  <si>
    <t>Stan dado punta torx m1/2 t20 89215</t>
  </si>
  <si>
    <t>Stan dado punta torx m1/2 t25 89216</t>
  </si>
  <si>
    <t>Stan dado punta torx m1/2 t40 89219</t>
  </si>
  <si>
    <t>stan dado punta torx m1/2 t45 89230</t>
  </si>
  <si>
    <t>stan dado torx hembra M1/2 E-10 92545</t>
  </si>
  <si>
    <t>stan dado torx hembra M1/2 E-14 92479</t>
  </si>
  <si>
    <t>Stan dado torx hembra M1/2 E 16 92489</t>
  </si>
  <si>
    <t>Stan dado torx hembra M 1/2 E 18 92503</t>
  </si>
  <si>
    <t>Stanley llave combinada 7/8" 86841</t>
  </si>
  <si>
    <t>stanley llave combinada 1" 86843</t>
  </si>
  <si>
    <t>stanley llave combinada 7mm 86852</t>
  </si>
  <si>
    <t>stanley llave combinada 8 mm 86853</t>
  </si>
  <si>
    <t>stanley llave combinada 9 mm 86854</t>
  </si>
  <si>
    <t>stanley llave combinada 10mm 86855</t>
  </si>
  <si>
    <t>stanley llave combinada11 mm 86856</t>
  </si>
  <si>
    <t>stanley llave combinada12 mm 86857</t>
  </si>
  <si>
    <t>stanley llave combinada13 mm 86858</t>
  </si>
  <si>
    <t>stanley llave combinada14 mm 86859</t>
  </si>
  <si>
    <t>stanley llave combinada15 mm 86860</t>
  </si>
  <si>
    <t>stanley llave combinada 16 mm 86861</t>
  </si>
  <si>
    <t>stanley llave combinada 17 mm 86862</t>
  </si>
  <si>
    <t>stanley llave combinada 18 mm 86863</t>
  </si>
  <si>
    <t>stanley llave combinada 19 mm 86864</t>
  </si>
  <si>
    <t>stanley llave combinada 20 mm 86865</t>
  </si>
  <si>
    <t>stanley llave combinada 21 mm 86866</t>
  </si>
  <si>
    <t>stanley llave combinada 22 mm 86867</t>
  </si>
  <si>
    <t>stanley llave combinada 23 mm 86868</t>
  </si>
  <si>
    <t>stanley llave combinada rachet 10 mm 91974</t>
  </si>
  <si>
    <t>stanley llave combinada rachet 13 mm91977</t>
  </si>
  <si>
    <t>stanley llave combinada rachet 14 mm 91978</t>
  </si>
  <si>
    <t>stanley llave combinada rachet 15 mm91979</t>
  </si>
  <si>
    <t>stanley llave combinada rachet 17 mm 91984</t>
  </si>
  <si>
    <t>stan alicate pta. larga cortante 6 84- 101LA</t>
  </si>
  <si>
    <t>stan alicate pta larga cortante 8 q84- 101LA</t>
  </si>
  <si>
    <t>stanley alicate de presión recto 7" 84370</t>
  </si>
  <si>
    <t>stan alicate corte diagonal 6" 84-105LA</t>
  </si>
  <si>
    <t>stan alicate corte diagonal 7" 84- 108LA</t>
  </si>
  <si>
    <t>Stan alicate Articulado de ext. 10 84110</t>
  </si>
  <si>
    <t>stan alicate PROF corte diagonal 6" 84-054LA</t>
  </si>
  <si>
    <t>stan alicate PROF corte diagonal 8" 84-622LA</t>
  </si>
  <si>
    <t>Stan alicate PROF punta larga 8" 84- 625LA</t>
  </si>
  <si>
    <t>Stan Alicate de presion Recto 10" 84371</t>
  </si>
  <si>
    <t>Stan Alicate de presion curvo 7"84368</t>
  </si>
  <si>
    <t>Set Destor industrial pata 1 4X4 69- 119S</t>
  </si>
  <si>
    <t>Set Destor industrial Cruz 1/4x4" 69145</t>
  </si>
  <si>
    <t>stanley Martillo UDA 29 mm 20 oz 51274</t>
  </si>
  <si>
    <t>stan juego extractor de volante 11 pz 79056s</t>
  </si>
  <si>
    <t>stanley dados de impactos 97126</t>
  </si>
  <si>
    <t>Proto dado impacto M1/2"6 ptas 13 mm J7413M</t>
  </si>
  <si>
    <t>Proto dado impacto M1/2"6 ptas 14 mm J7414m</t>
  </si>
  <si>
    <t>Proto dado impacto M1/2"6 ptas 15 mm J7415M</t>
  </si>
  <si>
    <t>Proto dado impacto M1/2"6 ptas 16mm J7416M</t>
  </si>
  <si>
    <t>Proto dado impacto M1/2"6 ptas 17mm J7417M</t>
  </si>
  <si>
    <t>Proto dado impacto M1/2"6 ptas 18mm J7418M</t>
  </si>
  <si>
    <t>Proto dado impacto M1/2"6 ptas 19mm J7419M</t>
  </si>
  <si>
    <t>Proto dado impacto M1/2"6 ptas 21mm J7421M</t>
  </si>
  <si>
    <t>Proto dado impacto M1/2"6 ptas 22mm J7422M</t>
  </si>
  <si>
    <t>Proto dado impacto M1/2"6 ptas 24mm J7424M</t>
  </si>
  <si>
    <t>Proto dado impacto M1/2"6 ptas 10mm 7410M</t>
  </si>
  <si>
    <t>Proto dado impacto M1/2"6 ptas 12mm 7412M</t>
  </si>
  <si>
    <t>Bandeja Magnética U-ATD8762</t>
  </si>
  <si>
    <t>Imán UT-90262</t>
  </si>
  <si>
    <t>Recoger magnético flexible 78020</t>
  </si>
  <si>
    <t>Juego de llaves Allen YAX020</t>
  </si>
  <si>
    <t>Juego de pinzas extractas de pines U-9401</t>
  </si>
  <si>
    <t>Calibrador de presion aire de llantas U-93905</t>
  </si>
  <si>
    <t>calibrador 79051</t>
  </si>
  <si>
    <t>Caja carro transportador de herramientas TBR-1404</t>
  </si>
  <si>
    <t>Recogedor de espirales de amortiguador HI-F370E</t>
  </si>
  <si>
    <t>Martillo de goma 21 onza 57-532</t>
  </si>
  <si>
    <t>Martillo de goma 1 lb UNK-1LB</t>
  </si>
  <si>
    <t>Pistola de aire UMP6000</t>
  </si>
  <si>
    <t>Pistola de aire 79-037</t>
  </si>
  <si>
    <t>stanley juego de llave 20 pz 85783</t>
  </si>
  <si>
    <t>Stanley Juego de llaves hexagonales 69257</t>
  </si>
  <si>
    <t>rachet U62315</t>
  </si>
  <si>
    <t>Rachet u-62313</t>
  </si>
  <si>
    <t>rachet U-61711</t>
  </si>
  <si>
    <t>Juegos de machos y tarrajas UNK- 122Q</t>
  </si>
  <si>
    <t>Torque 3/8 00807</t>
  </si>
  <si>
    <t>Sonda inteligente HI-1248</t>
  </si>
  <si>
    <t>Medidor de presion aceite motor HI- EN1001</t>
  </si>
  <si>
    <t>Crucetas</t>
  </si>
  <si>
    <t>Remachadora de bandas electromecánica VEDIAL C-2</t>
  </si>
  <si>
    <t>Un taladro de árbol de 5/8 pulgadas</t>
  </si>
  <si>
    <t>Prensa hidráulica manuales verticales de 30 toneladas</t>
  </si>
  <si>
    <t>Esmeril eléctrico de 8" DW 758</t>
  </si>
  <si>
    <t>Elevador de Doble Tijera Launch TLT- 630</t>
  </si>
  <si>
    <t>Gato zorra de 2 toneladas y 1/2 2-1/2 BIG RED</t>
  </si>
  <si>
    <t>Multímetro automotriz-Digital</t>
  </si>
  <si>
    <t>Comprexímetro a gasolina-KD</t>
  </si>
  <si>
    <t>Lavadores de inyectores</t>
  </si>
  <si>
    <t>Scanner Launch x-431</t>
  </si>
  <si>
    <t>Gatos de Botellas de 3-1/2 Toneladas</t>
  </si>
  <si>
    <t>Compresor de 200 PSI D55168</t>
  </si>
  <si>
    <t>Linterna recargable 110 voltios y 12 V Black &amp; Decker</t>
  </si>
  <si>
    <t>CarStart CS2000 de 900 Amperios Pico a 12 Voltio</t>
  </si>
  <si>
    <t>LAMPARA DE TIEMPOS DIGITAL RPM / ADVANCE UN-ACTCP7529</t>
  </si>
  <si>
    <t>Analizador de gases, con computador e impresora</t>
  </si>
  <si>
    <t>Equipo de Alineación Jhon Bean</t>
  </si>
  <si>
    <t xml:space="preserve">All in one Pentium J5040 4GB 1 TB Core Sl Black </t>
  </si>
  <si>
    <t>Caja Registradora Casio Se-s 800Alfanumerica Refurbished</t>
  </si>
  <si>
    <t>Regulador de voltaje 3000Va Copyline 3kva Fotocopiadora</t>
  </si>
  <si>
    <t>Multifuncional tinta continua Epson L535</t>
  </si>
  <si>
    <t>UPS Startec 500 Va</t>
  </si>
  <si>
    <t>Sistema de Seguridad Hikvision CctvDVR 8 + 4 cámaras de seguridad Turbo</t>
  </si>
  <si>
    <t>Protector de cheques electrónico</t>
  </si>
  <si>
    <t>Detector de billetes falsos Accubanker D-22/rayo Ultravioleta</t>
  </si>
  <si>
    <t>Esritorios Asenti Centro de Trabajo Madera Aglomerada 127 x 96 x 78 cm SKU:267078</t>
  </si>
  <si>
    <t>Escritorio Gerencial en L con vidrio templado y archivador</t>
  </si>
  <si>
    <t>Sillas ergonómicas giratorias</t>
  </si>
  <si>
    <t>Silla Gerencial</t>
  </si>
  <si>
    <t>Sillas Tadem 3 puestos</t>
  </si>
  <si>
    <t>Archivadores en Madera 4 gavetas</t>
  </si>
  <si>
    <t>Silla visitante Espera</t>
  </si>
  <si>
    <t>Lockers metálicos</t>
  </si>
  <si>
    <t>Estantería metálica</t>
  </si>
  <si>
    <t>Silla rimax</t>
  </si>
  <si>
    <t>TOTAL</t>
  </si>
  <si>
    <t>Gastos de mantenimiento</t>
  </si>
  <si>
    <t xml:space="preserve">Publicidad </t>
  </si>
  <si>
    <t xml:space="preserve">Arrendamiento local </t>
  </si>
  <si>
    <t>Hipocloritode sodio</t>
  </si>
  <si>
    <t>Lmipia pisos</t>
  </si>
  <si>
    <t>Total Maquinaria y Equipo:</t>
  </si>
  <si>
    <t>Total Equipos de Cómputo áreas de Gerencia y Secretaria</t>
  </si>
  <si>
    <t>Politica de Ventas</t>
  </si>
  <si>
    <t>Tasa de Crecimiento</t>
  </si>
  <si>
    <t>No de Empleados</t>
  </si>
  <si>
    <t xml:space="preserve">Total Muebles y Enseres </t>
  </si>
  <si>
    <t>IO</t>
  </si>
  <si>
    <t>Maquinaria</t>
  </si>
  <si>
    <t>Mano de Obra</t>
  </si>
  <si>
    <t>Compras</t>
  </si>
  <si>
    <t>Gastos</t>
  </si>
  <si>
    <t>Socios</t>
  </si>
  <si>
    <t>Credito</t>
  </si>
  <si>
    <t>Capital Semilla</t>
  </si>
  <si>
    <t>Recursos Propios</t>
  </si>
  <si>
    <t>Crédito Bancario</t>
  </si>
  <si>
    <t>Recursos de fondo institucional</t>
  </si>
  <si>
    <t>Crédito Extrabancario</t>
  </si>
  <si>
    <t>Crowfounding</t>
  </si>
  <si>
    <t>Cooperación Internacional</t>
  </si>
  <si>
    <t>Ángeles inversionistas</t>
  </si>
  <si>
    <t>Gastos Operativos</t>
  </si>
  <si>
    <t>Gastos Financieros</t>
  </si>
  <si>
    <t xml:space="preserve">PAGO DE IMPUESTOS </t>
  </si>
  <si>
    <t>INSUMOS PRODUCCION</t>
  </si>
  <si>
    <t>Aceite para vehiculo mobil super 3000</t>
  </si>
  <si>
    <t>3,78 L</t>
  </si>
  <si>
    <t>TOTAL QUARTZ INEO LONG LIFE 5W-30 (Gama alta)</t>
  </si>
  <si>
    <t>CASTROL® EDGE</t>
  </si>
  <si>
    <t>1 1/2 G</t>
  </si>
  <si>
    <t>473 L</t>
  </si>
  <si>
    <t>Pastillas para freno</t>
  </si>
  <si>
    <t>Llanta ref rin 13</t>
  </si>
  <si>
    <t>Llanta ref rin 14</t>
  </si>
  <si>
    <t>Llanta ref rin 15</t>
  </si>
  <si>
    <t>Llanta ref rin 16</t>
  </si>
  <si>
    <t>Llanta ref rin 17</t>
  </si>
  <si>
    <t>Proyecto Venta de Tecno Full</t>
  </si>
  <si>
    <t>Venta de Tecno Full</t>
  </si>
  <si>
    <t>Liquido De Freno Ate Dot4 Aleman 1 Litro</t>
  </si>
  <si>
    <t>Liquido De Freno Dot 4 Bosch 500 Ml</t>
  </si>
  <si>
    <t>Correa de accesorio (motor)</t>
  </si>
  <si>
    <t>Llaves</t>
  </si>
  <si>
    <t>Alicate</t>
  </si>
  <si>
    <t>Destornillador</t>
  </si>
  <si>
    <t>Copa llaves</t>
  </si>
  <si>
    <t xml:space="preserve">Bandeja Magnetica </t>
  </si>
  <si>
    <t>Calibrador</t>
  </si>
  <si>
    <t>Martillo</t>
  </si>
  <si>
    <t>Torque</t>
  </si>
  <si>
    <t>Carro de carga</t>
  </si>
  <si>
    <t>Pistola de aire</t>
  </si>
  <si>
    <t>Cable de medicion</t>
  </si>
  <si>
    <t>Herramienta</t>
  </si>
  <si>
    <t>Scanner alta tecnologia</t>
  </si>
  <si>
    <t>Linterna</t>
  </si>
  <si>
    <t>Escritorio</t>
  </si>
  <si>
    <t>Silla</t>
  </si>
  <si>
    <t>Estanteria</t>
  </si>
  <si>
    <t>Equipo Oficina</t>
  </si>
  <si>
    <t>Equipo de oficina</t>
  </si>
  <si>
    <t>Impresora</t>
  </si>
  <si>
    <t xml:space="preserve">Tecnologia </t>
  </si>
  <si>
    <t>PC</t>
  </si>
  <si>
    <t>Luz</t>
  </si>
  <si>
    <t>Carlos</t>
  </si>
  <si>
    <t>3 er inversionista</t>
  </si>
  <si>
    <t>luz</t>
  </si>
  <si>
    <t>carlos</t>
  </si>
  <si>
    <t xml:space="preserve">cambio de aceite = $190,000 Bandas $350,000 </t>
  </si>
  <si>
    <t>Cambio de bandas, cambio de aceite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</si>
</sst>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$&quot;\ #,##0.00;[Red]\-&quot;$&quot;\ #,##0.00"/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164" formatCode="&quot;$&quot;#,##0.00;[Red]\-&quot;$&quot;#,##0.00"/>
    <numFmt numFmtId="165" formatCode="_-* #,##0.00_-;\-* #,##0.00_-;_-* &quot;-&quot;_-;_-@_-"/>
    <numFmt numFmtId="166" formatCode="_-&quot;$&quot;\ * #,##0_-;\-&quot;$&quot;\ * #,##0_-;_-&quot;$&quot;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i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9"/>
      <color indexed="81"/>
      <name val="Tahoma"/>
      <family val="2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</font>
    <font>
      <b/>
      <i/>
      <sz val="12"/>
      <color rgb="FF000000"/>
      <name val="Times New Roman"/>
      <family val="1"/>
    </font>
    <font>
      <sz val="11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/>
      </right>
      <top style="thick">
        <color theme="0"/>
      </top>
      <bottom/>
      <diagonal/>
    </border>
    <border>
      <left style="thin">
        <color theme="0"/>
      </left>
      <right style="thin">
        <color theme="0"/>
      </right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129">
    <xf numFmtId="0" fontId="0" fillId="0" borderId="0" xfId="0"/>
    <xf numFmtId="41" fontId="0" fillId="0" borderId="0" xfId="1" applyFont="1"/>
    <xf numFmtId="0" fontId="0" fillId="0" borderId="0" xfId="0" applyAlignment="1">
      <alignment horizontal="left" vertical="top"/>
    </xf>
    <xf numFmtId="41" fontId="0" fillId="0" borderId="0" xfId="1" applyFont="1" applyAlignment="1">
      <alignment horizontal="left" vertical="top"/>
    </xf>
    <xf numFmtId="41" fontId="0" fillId="0" borderId="0" xfId="0" applyNumberFormat="1" applyAlignment="1">
      <alignment horizontal="left" vertical="top"/>
    </xf>
    <xf numFmtId="9" fontId="0" fillId="0" borderId="0" xfId="0" applyNumberFormat="1" applyAlignment="1">
      <alignment horizontal="left" vertical="top"/>
    </xf>
    <xf numFmtId="9" fontId="0" fillId="0" borderId="0" xfId="2" applyFont="1" applyAlignment="1">
      <alignment horizontal="left" vertical="top"/>
    </xf>
    <xf numFmtId="10" fontId="0" fillId="0" borderId="0" xfId="2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41" fontId="0" fillId="0" borderId="2" xfId="1" applyFont="1" applyBorder="1" applyAlignment="1">
      <alignment horizontal="left" vertical="top"/>
    </xf>
    <xf numFmtId="0" fontId="2" fillId="0" borderId="0" xfId="0" applyFont="1"/>
    <xf numFmtId="0" fontId="3" fillId="2" borderId="3" xfId="0" applyFont="1" applyFill="1" applyBorder="1" applyAlignment="1">
      <alignment horizontal="left" vertical="top"/>
    </xf>
    <xf numFmtId="41" fontId="1" fillId="0" borderId="0" xfId="0" applyNumberFormat="1" applyFont="1" applyAlignment="1">
      <alignment horizontal="left" vertical="top"/>
    </xf>
    <xf numFmtId="41" fontId="3" fillId="2" borderId="4" xfId="0" applyNumberFormat="1" applyFont="1" applyFill="1" applyBorder="1" applyAlignment="1">
      <alignment horizontal="left" vertical="top"/>
    </xf>
    <xf numFmtId="41" fontId="3" fillId="2" borderId="5" xfId="0" applyNumberFormat="1" applyFont="1" applyFill="1" applyBorder="1" applyAlignment="1">
      <alignment horizontal="left" vertical="top"/>
    </xf>
    <xf numFmtId="41" fontId="0" fillId="0" borderId="0" xfId="0" applyNumberFormat="1" applyFont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41" fontId="2" fillId="0" borderId="0" xfId="1" applyFont="1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3" fillId="2" borderId="4" xfId="0" applyNumberFormat="1" applyFont="1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3" fillId="2" borderId="4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41" fontId="0" fillId="0" borderId="0" xfId="1" applyFont="1" applyAlignment="1">
      <alignment horizontal="left" vertical="top" wrapText="1"/>
    </xf>
    <xf numFmtId="41" fontId="3" fillId="2" borderId="4" xfId="1" applyFont="1" applyFill="1" applyBorder="1" applyAlignment="1">
      <alignment horizontal="left" vertical="top"/>
    </xf>
    <xf numFmtId="0" fontId="0" fillId="0" borderId="0" xfId="0" applyNumberFormat="1" applyFont="1" applyAlignment="1">
      <alignment horizontal="left" vertical="top"/>
    </xf>
    <xf numFmtId="9" fontId="0" fillId="0" borderId="0" xfId="2" applyFont="1" applyAlignment="1">
      <alignment horizontal="left" vertical="top" wrapText="1"/>
    </xf>
    <xf numFmtId="9" fontId="0" fillId="0" borderId="0" xfId="0" applyNumberFormat="1" applyFont="1" applyAlignment="1">
      <alignment horizontal="left" vertical="top"/>
    </xf>
    <xf numFmtId="41" fontId="5" fillId="0" borderId="6" xfId="1" applyFont="1" applyBorder="1" applyAlignment="1">
      <alignment horizontal="left" vertical="top"/>
    </xf>
    <xf numFmtId="41" fontId="5" fillId="0" borderId="2" xfId="1" applyFont="1" applyBorder="1" applyAlignment="1">
      <alignment horizontal="left" vertical="top"/>
    </xf>
    <xf numFmtId="41" fontId="5" fillId="0" borderId="8" xfId="1" applyFont="1" applyBorder="1" applyAlignment="1">
      <alignment horizontal="left" vertical="top"/>
    </xf>
    <xf numFmtId="41" fontId="5" fillId="0" borderId="0" xfId="1" applyFont="1" applyBorder="1" applyAlignment="1">
      <alignment horizontal="left" vertical="top"/>
    </xf>
    <xf numFmtId="41" fontId="5" fillId="0" borderId="9" xfId="1" applyFont="1" applyBorder="1" applyAlignment="1">
      <alignment horizontal="left" vertical="top"/>
    </xf>
    <xf numFmtId="41" fontId="5" fillId="0" borderId="10" xfId="1" applyFont="1" applyBorder="1" applyAlignment="1">
      <alignment horizontal="left" vertical="top"/>
    </xf>
    <xf numFmtId="41" fontId="5" fillId="0" borderId="1" xfId="1" applyFont="1" applyBorder="1" applyAlignment="1">
      <alignment horizontal="left" vertical="top"/>
    </xf>
    <xf numFmtId="41" fontId="5" fillId="0" borderId="11" xfId="1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41" fontId="6" fillId="0" borderId="0" xfId="1" applyFont="1" applyAlignment="1">
      <alignment horizontal="left" vertical="top"/>
    </xf>
    <xf numFmtId="0" fontId="0" fillId="0" borderId="2" xfId="0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41" fontId="0" fillId="0" borderId="0" xfId="1" applyFont="1" applyBorder="1" applyAlignment="1">
      <alignment horizontal="right" vertical="top"/>
    </xf>
    <xf numFmtId="41" fontId="0" fillId="0" borderId="9" xfId="1" applyFont="1" applyBorder="1" applyAlignment="1">
      <alignment horizontal="right" vertical="top"/>
    </xf>
    <xf numFmtId="41" fontId="0" fillId="3" borderId="0" xfId="1" applyFont="1" applyFill="1" applyBorder="1" applyAlignment="1">
      <alignment horizontal="right" vertical="top"/>
    </xf>
    <xf numFmtId="41" fontId="0" fillId="3" borderId="9" xfId="1" applyFont="1" applyFill="1" applyBorder="1" applyAlignment="1">
      <alignment horizontal="right" vertical="top"/>
    </xf>
    <xf numFmtId="9" fontId="0" fillId="0" borderId="0" xfId="2" applyFont="1" applyBorder="1" applyAlignment="1">
      <alignment horizontal="right" vertical="top"/>
    </xf>
    <xf numFmtId="9" fontId="0" fillId="0" borderId="9" xfId="2" applyFont="1" applyBorder="1" applyAlignment="1">
      <alignment horizontal="right" vertical="top"/>
    </xf>
    <xf numFmtId="41" fontId="0" fillId="3" borderId="1" xfId="1" applyFont="1" applyFill="1" applyBorder="1" applyAlignment="1">
      <alignment horizontal="right" vertical="top"/>
    </xf>
    <xf numFmtId="41" fontId="0" fillId="3" borderId="11" xfId="1" applyFont="1" applyFill="1" applyBorder="1" applyAlignment="1">
      <alignment horizontal="right" vertical="top"/>
    </xf>
    <xf numFmtId="41" fontId="0" fillId="0" borderId="0" xfId="1" applyFont="1" applyAlignment="1">
      <alignment horizontal="right" vertical="top"/>
    </xf>
    <xf numFmtId="0" fontId="0" fillId="0" borderId="6" xfId="0" applyBorder="1" applyAlignment="1">
      <alignment horizontal="left" vertical="top"/>
    </xf>
    <xf numFmtId="0" fontId="0" fillId="3" borderId="0" xfId="0" applyFill="1" applyBorder="1" applyAlignment="1">
      <alignment horizontal="left" vertical="top"/>
    </xf>
    <xf numFmtId="41" fontId="0" fillId="0" borderId="11" xfId="1" applyFont="1" applyBorder="1" applyAlignment="1">
      <alignment horizontal="right" vertical="top"/>
    </xf>
    <xf numFmtId="41" fontId="2" fillId="0" borderId="0" xfId="1" applyFont="1" applyBorder="1" applyAlignment="1">
      <alignment horizontal="right" vertical="top"/>
    </xf>
    <xf numFmtId="41" fontId="2" fillId="0" borderId="9" xfId="1" applyFont="1" applyBorder="1" applyAlignment="1">
      <alignment horizontal="right" vertical="top"/>
    </xf>
    <xf numFmtId="9" fontId="0" fillId="0" borderId="0" xfId="1" applyNumberFormat="1" applyFont="1" applyAlignment="1">
      <alignment horizontal="right" vertical="top"/>
    </xf>
    <xf numFmtId="41" fontId="0" fillId="0" borderId="0" xfId="0" applyNumberFormat="1" applyBorder="1" applyAlignment="1">
      <alignment horizontal="left" vertical="top"/>
    </xf>
    <xf numFmtId="10" fontId="0" fillId="0" borderId="0" xfId="0" applyNumberForma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1" fontId="0" fillId="0" borderId="9" xfId="0" applyNumberForma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41" fontId="2" fillId="0" borderId="11" xfId="0" applyNumberFormat="1" applyFont="1" applyBorder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41" fontId="2" fillId="0" borderId="9" xfId="0" applyNumberFormat="1" applyFont="1" applyBorder="1" applyAlignment="1">
      <alignment horizontal="left" vertical="top"/>
    </xf>
    <xf numFmtId="164" fontId="0" fillId="0" borderId="0" xfId="1" applyNumberFormat="1" applyFont="1" applyAlignment="1">
      <alignment horizontal="right" vertical="top"/>
    </xf>
    <xf numFmtId="41" fontId="2" fillId="0" borderId="2" xfId="1" applyFont="1" applyBorder="1" applyAlignment="1">
      <alignment horizontal="right" vertical="top"/>
    </xf>
    <xf numFmtId="41" fontId="2" fillId="0" borderId="7" xfId="1" applyFont="1" applyBorder="1" applyAlignment="1">
      <alignment horizontal="right" vertical="top"/>
    </xf>
    <xf numFmtId="10" fontId="2" fillId="0" borderId="9" xfId="1" applyNumberFormat="1" applyFont="1" applyBorder="1" applyAlignment="1">
      <alignment horizontal="right" vertical="top"/>
    </xf>
    <xf numFmtId="165" fontId="2" fillId="0" borderId="9" xfId="1" applyNumberFormat="1" applyFont="1" applyBorder="1" applyAlignment="1">
      <alignment horizontal="right" vertical="top"/>
    </xf>
    <xf numFmtId="41" fontId="5" fillId="0" borderId="0" xfId="1" applyFont="1" applyAlignment="1">
      <alignment horizontal="left" vertical="top"/>
    </xf>
    <xf numFmtId="41" fontId="0" fillId="0" borderId="0" xfId="1" applyFont="1" applyBorder="1" applyAlignment="1">
      <alignment horizontal="left" vertical="top"/>
    </xf>
    <xf numFmtId="41" fontId="5" fillId="0" borderId="7" xfId="1" applyFont="1" applyBorder="1" applyAlignment="1">
      <alignment horizontal="left" vertical="top"/>
    </xf>
    <xf numFmtId="0" fontId="8" fillId="5" borderId="13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44" fontId="0" fillId="0" borderId="0" xfId="3" applyFont="1" applyAlignment="1">
      <alignment horizontal="left" vertical="top"/>
    </xf>
    <xf numFmtId="10" fontId="0" fillId="0" borderId="0" xfId="2" applyNumberFormat="1" applyFont="1" applyAlignment="1">
      <alignment horizontal="center" vertical="top"/>
    </xf>
    <xf numFmtId="44" fontId="0" fillId="3" borderId="0" xfId="3" applyFont="1" applyFill="1" applyAlignment="1">
      <alignment horizontal="left" vertical="top"/>
    </xf>
    <xf numFmtId="44" fontId="0" fillId="4" borderId="12" xfId="3" applyFont="1" applyFill="1" applyBorder="1" applyAlignment="1">
      <alignment horizontal="left" vertical="top"/>
    </xf>
    <xf numFmtId="44" fontId="1" fillId="0" borderId="0" xfId="3" applyFont="1" applyAlignment="1">
      <alignment horizontal="left" vertical="top"/>
    </xf>
    <xf numFmtId="44" fontId="3" fillId="2" borderId="4" xfId="3" applyFont="1" applyFill="1" applyBorder="1" applyAlignment="1">
      <alignment horizontal="left" vertical="top"/>
    </xf>
    <xf numFmtId="44" fontId="3" fillId="2" borderId="5" xfId="3" applyFont="1" applyFill="1" applyBorder="1" applyAlignment="1">
      <alignment horizontal="left" vertical="top"/>
    </xf>
    <xf numFmtId="44" fontId="0" fillId="0" borderId="0" xfId="0" applyNumberFormat="1" applyAlignment="1">
      <alignment horizontal="left" vertical="top"/>
    </xf>
    <xf numFmtId="0" fontId="10" fillId="5" borderId="13" xfId="0" applyFont="1" applyFill="1" applyBorder="1" applyAlignment="1">
      <alignment vertical="center" wrapText="1"/>
    </xf>
    <xf numFmtId="0" fontId="11" fillId="5" borderId="14" xfId="0" applyFont="1" applyFill="1" applyBorder="1" applyAlignment="1">
      <alignment horizontal="center" vertical="center"/>
    </xf>
    <xf numFmtId="10" fontId="8" fillId="5" borderId="13" xfId="2" applyNumberFormat="1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8" fontId="8" fillId="5" borderId="13" xfId="0" applyNumberFormat="1" applyFont="1" applyFill="1" applyBorder="1" applyAlignment="1">
      <alignment horizontal="center" vertical="center"/>
    </xf>
    <xf numFmtId="10" fontId="12" fillId="7" borderId="13" xfId="0" applyNumberFormat="1" applyFont="1" applyFill="1" applyBorder="1" applyAlignment="1">
      <alignment horizontal="center" vertical="center"/>
    </xf>
    <xf numFmtId="9" fontId="2" fillId="7" borderId="13" xfId="0" applyNumberFormat="1" applyFont="1" applyFill="1" applyBorder="1" applyAlignment="1">
      <alignment horizontal="center"/>
    </xf>
    <xf numFmtId="10" fontId="2" fillId="7" borderId="13" xfId="2" applyNumberFormat="1" applyFont="1" applyFill="1" applyBorder="1" applyAlignment="1">
      <alignment horizontal="center"/>
    </xf>
    <xf numFmtId="44" fontId="0" fillId="6" borderId="15" xfId="3" applyNumberFormat="1" applyFont="1" applyFill="1" applyBorder="1" applyAlignment="1">
      <alignment horizontal="left" vertical="top"/>
    </xf>
    <xf numFmtId="0" fontId="0" fillId="0" borderId="0" xfId="3" applyNumberFormat="1" applyFont="1" applyAlignment="1">
      <alignment horizontal="center" vertical="top"/>
    </xf>
    <xf numFmtId="0" fontId="0" fillId="3" borderId="0" xfId="3" applyNumberFormat="1" applyFont="1" applyFill="1" applyAlignment="1">
      <alignment horizontal="center" vertical="top"/>
    </xf>
    <xf numFmtId="44" fontId="0" fillId="0" borderId="0" xfId="3" applyFont="1" applyAlignment="1">
      <alignment horizontal="center" vertical="top"/>
    </xf>
    <xf numFmtId="44" fontId="0" fillId="3" borderId="0" xfId="3" applyFont="1" applyFill="1" applyAlignment="1">
      <alignment horizontal="center" vertical="top"/>
    </xf>
    <xf numFmtId="44" fontId="10" fillId="5" borderId="13" xfId="3" applyFont="1" applyFill="1" applyBorder="1" applyAlignment="1">
      <alignment vertical="center" wrapText="1"/>
    </xf>
    <xf numFmtId="44" fontId="2" fillId="0" borderId="0" xfId="0" applyNumberFormat="1" applyFont="1" applyAlignment="1">
      <alignment horizontal="left" vertical="top"/>
    </xf>
    <xf numFmtId="10" fontId="6" fillId="0" borderId="0" xfId="2" applyNumberFormat="1" applyFont="1" applyAlignment="1">
      <alignment horizontal="center" vertical="top"/>
    </xf>
    <xf numFmtId="0" fontId="0" fillId="7" borderId="8" xfId="0" applyFill="1" applyBorder="1" applyAlignment="1">
      <alignment horizontal="left" vertical="top"/>
    </xf>
    <xf numFmtId="0" fontId="0" fillId="7" borderId="0" xfId="0" applyFill="1" applyBorder="1" applyAlignment="1">
      <alignment horizontal="left" vertical="top"/>
    </xf>
    <xf numFmtId="41" fontId="0" fillId="7" borderId="9" xfId="1" applyFont="1" applyFill="1" applyBorder="1" applyAlignment="1">
      <alignment horizontal="right" vertical="top"/>
    </xf>
    <xf numFmtId="42" fontId="0" fillId="0" borderId="0" xfId="4" applyFont="1" applyAlignment="1">
      <alignment horizontal="left" vertical="top"/>
    </xf>
    <xf numFmtId="0" fontId="13" fillId="0" borderId="0" xfId="0" applyNumberFormat="1" applyFont="1" applyAlignment="1">
      <alignment horizontal="left" vertical="top"/>
    </xf>
    <xf numFmtId="41" fontId="13" fillId="0" borderId="0" xfId="0" applyNumberFormat="1" applyFont="1" applyAlignment="1">
      <alignment horizontal="left" vertical="top"/>
    </xf>
    <xf numFmtId="44" fontId="1" fillId="0" borderId="0" xfId="0" applyNumberFormat="1" applyFont="1" applyAlignment="1">
      <alignment horizontal="left" vertical="top"/>
    </xf>
    <xf numFmtId="44" fontId="0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166" fontId="2" fillId="0" borderId="0" xfId="3" applyNumberFormat="1" applyFont="1" applyAlignment="1">
      <alignment horizontal="left" vertical="top"/>
    </xf>
    <xf numFmtId="44" fontId="0" fillId="8" borderId="16" xfId="3" applyFont="1" applyFill="1" applyBorder="1" applyAlignment="1">
      <alignment horizontal="left" vertical="top"/>
    </xf>
    <xf numFmtId="0" fontId="0" fillId="8" borderId="17" xfId="0" applyFill="1" applyBorder="1" applyAlignment="1">
      <alignment horizontal="left" vertical="top"/>
    </xf>
    <xf numFmtId="44" fontId="0" fillId="8" borderId="18" xfId="3" applyFont="1" applyFill="1" applyBorder="1" applyAlignment="1">
      <alignment horizontal="left" vertical="top"/>
    </xf>
    <xf numFmtId="0" fontId="0" fillId="8" borderId="19" xfId="0" applyFill="1" applyBorder="1" applyAlignment="1">
      <alignment horizontal="left" vertical="top"/>
    </xf>
    <xf numFmtId="0" fontId="2" fillId="0" borderId="6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</cellXfs>
  <cellStyles count="5">
    <cellStyle name="Millares [0]" xfId="1" builtinId="6"/>
    <cellStyle name="Moneda" xfId="3" builtinId="4"/>
    <cellStyle name="Moneda [0]" xfId="4" builtinId="7"/>
    <cellStyle name="Normal" xfId="0" builtinId="0"/>
    <cellStyle name="Porcentaje" xfId="2" builtinId="5"/>
  </cellStyles>
  <dxfs count="28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3" formatCode="_-* #,##0_-;\-* #,##0_-;_-* &quot;-&quot;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3" formatCode="_-* #,##0_-;\-* #,##0_-;_-* &quot;-&quot;_-;_-@_-"/>
      <alignment horizontal="left" vertical="top" textRotation="0" wrapText="0" indent="0" justifyLastLine="0" shrinkToFit="0" readingOrder="0"/>
    </dxf>
    <dxf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3" formatCode="0%"/>
      <alignment horizontal="left" vertical="top" textRotation="0" wrapText="0" indent="0" justifyLastLine="0" shrinkToFit="0" readingOrder="0"/>
    </dxf>
    <dxf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3" formatCode="_-* #,##0_-;\-* #,##0_-;_-* &quot;-&quot;_-;_-@_-"/>
      <alignment horizontal="left" vertical="top" textRotation="0" wrapText="0" indent="0" justifyLastLine="0" shrinkToFit="0" readingOrder="0"/>
    </dxf>
    <dxf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3" formatCode="_-* #,##0_-;\-* #,##0_-;_-* &quot;-&quot;_-;_-@_-"/>
      <alignment horizontal="left" vertical="top" textRotation="0" wrapText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3" formatCode="_-* #,##0_-;\-* #,##0_-;_-* &quot;-&quot;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3" formatCode="_-* #,##0_-;\-* #,##0_-;_-* &quot;-&quot;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3" formatCode="_-* #,##0_-;\-* #,##0_-;_-* &quot;-&quot;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3" formatCode="_-* #,##0_-;\-* #,##0_-;_-* &quot;-&quot;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3" formatCode="_-* #,##0_-;\-* #,##0_-;_-* &quot;-&quot;_-;_-@_-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3" formatCode="_-* #,##0_-;\-* #,##0_-;_-* &quot;-&quot;_-;_-@_-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3" formatCode="_-* #,##0_-;\-* #,##0_-;_-* &quot;-&quot;_-;_-@_-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3" formatCode="_-* #,##0_-;\-* #,##0_-;_-* &quot;-&quot;_-;_-@_-"/>
      <alignment horizontal="left" vertical="top" textRotation="0" wrapText="0" indent="0" justifyLastLine="0" shrinkToFit="0" readingOrder="0"/>
    </dxf>
    <dxf>
      <numFmt numFmtId="33" formatCode="_-* #,##0_-;\-* #,##0_-;_-* &quot;-&quot;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3" formatCode="_-* #,##0_-;\-* #,##0_-;_-* &quot;-&quot;_-;_-@_-"/>
      <alignment horizontal="left" vertical="top" textRotation="0" wrapText="0" indent="0" justifyLastLine="0" shrinkToFit="0" readingOrder="0"/>
    </dxf>
    <dxf>
      <numFmt numFmtId="33" formatCode="_-* #,##0_-;\-* #,##0_-;_-* &quot;-&quot;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3" formatCode="_-* #,##0_-;\-* #,##0_-;_-* &quot;-&quot;_-;_-@_-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3" formatCode="_-* #,##0_-;\-* #,##0_-;_-* &quot;-&quot;_-;_-@_-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3" formatCode="_-* #,##0_-;\-* #,##0_-;_-* &quot;-&quot;_-;_-@_-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3" formatCode="_-* #,##0_-;\-* #,##0_-;_-* &quot;-&quot;_-;_-@_-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3" formatCode="_-* #,##0_-;\-* #,##0_-;_-* &quot;-&quot;_-;_-@_-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3" formatCode="_-* #,##0_-;\-* #,##0_-;_-* &quot;-&quot;_-;_-@_-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3" formatCode="_-* #,##0_-;\-* #,##0_-;_-* &quot;-&quot;_-;_-@_-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3" formatCode="_-* #,##0_-;\-* #,##0_-;_-* &quot;-&quot;_-;_-@_-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3" formatCode="_-* #,##0_-;\-* #,##0_-;_-* &quot;-&quot;_-;_-@_-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3" formatCode="_-* #,##0_-;\-* #,##0_-;_-* &quot;-&quot;_-;_-@_-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3" formatCode="_-* #,##0_-;\-* #,##0_-;_-* &quot;-&quot;_-;_-@_-"/>
      <alignment horizontal="left" vertical="top" textRotation="0" wrapText="0" indent="0" justifyLastLine="0" shrinkToFit="0" readingOrder="0"/>
    </dxf>
    <dxf>
      <numFmt numFmtId="33" formatCode="_-* #,##0_-;\-* #,##0_-;_-* &quot;-&quot;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3" formatCode="_-* #,##0_-;\-* #,##0_-;_-* &quot;-&quot;_-;_-@_-"/>
      <alignment horizontal="left" vertical="top" textRotation="0" wrapText="0" indent="0" justifyLastLine="0" shrinkToFit="0" readingOrder="0"/>
    </dxf>
    <dxf>
      <numFmt numFmtId="33" formatCode="_-* #,##0_-;\-* #,##0_-;_-* &quot;-&quot;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3" formatCode="_-* #,##0_-;\-* #,##0_-;_-* &quot;-&quot;_-;_-@_-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-&quot;$&quot;\ * #,##0.00_-;\-&quot;$&quot;\ * #,##0.00_-;_-&quot;$&quot;\ * &quot;-&quot;??_-;_-@_-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-&quot;$&quot;\ * #,##0.00_-;\-&quot;$&quot;\ * #,##0.00_-;_-&quot;$&quot;\ * &quot;-&quot;??_-;_-@_-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3" formatCode="_-* #,##0_-;\-* #,##0_-;_-* &quot;-&quot;_-;_-@_-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-&quot;$&quot;\ * #,##0.00_-;\-&quot;$&quot;\ * #,##0.00_-;_-&quot;$&quot;\ * &quot;-&quot;??_-;_-@_-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-&quot;$&quot;\ * #,##0.00_-;\-&quot;$&quot;\ * #,##0.00_-;_-&quot;$&quot;\ * &quot;-&quot;??_-;_-@_-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3" formatCode="_-* #,##0_-;\-* #,##0_-;_-* &quot;-&quot;_-;_-@_-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-&quot;$&quot;\ * #,##0.00_-;\-&quot;$&quot;\ * #,##0.00_-;_-&quot;$&quot;\ * &quot;-&quot;??_-;_-@_-"/>
      <alignment horizontal="left" vertical="top" textRotation="0" wrapText="0" indent="0" justifyLastLine="0" shrinkToFit="0" readingOrder="0"/>
    </dxf>
    <dxf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-&quot;$&quot;\ * #,##0.00_-;\-&quot;$&quot;\ * #,##0.00_-;_-&quot;$&quot;\ * &quot;-&quot;??_-;_-@_-"/>
      <alignment horizontal="left" vertical="top" textRotation="0" wrapText="0" indent="0" justifyLastLine="0" shrinkToFit="0" readingOrder="0"/>
    </dxf>
    <dxf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3" formatCode="_-* #,##0_-;\-* #,##0_-;_-* &quot;-&quot;_-;_-@_-"/>
      <alignment horizontal="left" vertical="top" textRotation="0" wrapText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numFmt numFmtId="33" formatCode="_-* #,##0_-;\-* #,##0_-;_-* &quot;-&quot;_-;_-@_-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0" indent="0" justifyLastLine="0" shrinkToFit="0" readingOrder="0"/>
    </dxf>
    <dxf>
      <numFmt numFmtId="34" formatCode="_-&quot;$&quot;\ * #,##0.00_-;\-&quot;$&quot;\ * #,##0.00_-;_-&quot;$&quot;\ 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righ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righ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0" indent="0" justifyLastLine="0" shrinkToFit="0" readingOrder="0"/>
    </dxf>
    <dxf>
      <numFmt numFmtId="34" formatCode="_-&quot;$&quot;\ * #,##0.00_-;\-&quot;$&quot;\ * #,##0.00_-;_-&quot;$&quot;\ 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righ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-&quot;$&quot;\ * #,##0.00_-;\-&quot;$&quot;\ * #,##0.00_-;_-&quot;$&quot;\ 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-&quot;$&quot;\ * #,##0.00_-;\-&quot;$&quot;\ * #,##0.00_-;_-&quot;$&quot;\ 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numFmt numFmtId="0" formatCode="General"/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12" formatCode="&quot;$&quot;\ #,##0.00;[Red]\-&quot;$&quot;\ 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auto="1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33" formatCode="_-* #,##0_-;\-* #,##0_-;_-* &quot;-&quot;_-;_-@_-"/>
      <alignment horizontal="left" vertical="top" textRotation="0" wrapText="0" indent="0" justifyLastLine="0" shrinkToFit="0" readingOrder="0"/>
    </dxf>
    <dxf>
      <numFmt numFmtId="33" formatCode="_-* #,##0_-;\-* #,##0_-;_-* &quot;-&quot;_-;_-@_-"/>
      <alignment horizontal="left" vertical="top" textRotation="0" wrapText="0" indent="0" justifyLastLine="0" shrinkToFit="0" readingOrder="0"/>
    </dxf>
    <dxf>
      <numFmt numFmtId="0" formatCode="General"/>
      <alignment horizontal="left" vertical="top" textRotation="0" wrapText="0" indent="0" justifyLastLine="0" shrinkToFit="0" readingOrder="0"/>
    </dxf>
    <dxf>
      <numFmt numFmtId="33" formatCode="_-* #,##0_-;\-* #,##0_-;_-* &quot;-&quot;_-;_-@_-"/>
      <alignment horizontal="left" vertical="top" textRotation="0" wrapText="0" indent="0" justifyLastLine="0" shrinkToFit="0" readingOrder="0"/>
    </dxf>
    <dxf>
      <numFmt numFmtId="33" formatCode="_-* #,##0_-;\-* #,##0_-;_-* &quot;-&quot;_-;_-@_-"/>
      <alignment horizontal="left" vertical="top" textRotation="0" wrapText="0" indent="0" justifyLastLine="0" shrinkToFit="0" readingOrder="0"/>
    </dxf>
    <dxf>
      <numFmt numFmtId="33" formatCode="_-* #,##0_-;\-* #,##0_-;_-* &quot;-&quot;_-;_-@_-"/>
      <alignment horizontal="left" vertical="top" textRotation="0" wrapText="0" indent="0" justifyLastLine="0" shrinkToFit="0" readingOrder="0"/>
    </dxf>
    <dxf>
      <numFmt numFmtId="0" formatCode="General"/>
      <alignment horizontal="left" vertical="top" textRotation="0" wrapText="0" indent="0" justifyLastLine="0" shrinkToFit="0" readingOrder="0"/>
    </dxf>
    <dxf>
      <numFmt numFmtId="14" formatCode="0.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33" formatCode="_-* #,##0_-;\-* #,##0_-;_-* &quot;-&quot;_-;_-@_-"/>
      <alignment horizontal="left" vertical="top" textRotation="0" wrapText="0" indent="0" justifyLastLine="0" shrinkToFit="0" readingOrder="0"/>
    </dxf>
    <dxf>
      <numFmt numFmtId="33" formatCode="_-* #,##0_-;\-* #,##0_-;_-* &quot;-&quot;_-;_-@_-"/>
      <alignment horizontal="left" vertical="top" textRotation="0" wrapText="0" indent="0" justifyLastLine="0" shrinkToFit="0" readingOrder="0"/>
    </dxf>
    <dxf>
      <numFmt numFmtId="0" formatCode="General"/>
      <alignment horizontal="left" vertical="top" textRotation="0" wrapText="0" indent="0" justifyLastLine="0" shrinkToFit="0" readingOrder="0"/>
    </dxf>
    <dxf>
      <numFmt numFmtId="33" formatCode="_-* #,##0_-;\-* #,##0_-;_-* &quot;-&quot;_-;_-@_-"/>
      <alignment horizontal="left" vertical="top" textRotation="0" wrapText="0" indent="0" justifyLastLine="0" shrinkToFit="0" readingOrder="0"/>
    </dxf>
    <dxf>
      <numFmt numFmtId="33" formatCode="_-* #,##0_-;\-* #,##0_-;_-* &quot;-&quot;_-;_-@_-"/>
      <alignment horizontal="left" vertical="top" textRotation="0" wrapText="0" indent="0" justifyLastLine="0" shrinkToFit="0" readingOrder="0"/>
    </dxf>
    <dxf>
      <numFmt numFmtId="33" formatCode="_-* #,##0_-;\-* #,##0_-;_-* &quot;-&quot;_-;_-@_-"/>
      <alignment horizontal="left" vertical="top" textRotation="0" wrapText="0" indent="0" justifyLastLine="0" shrinkToFit="0" readingOrder="0"/>
    </dxf>
    <dxf>
      <numFmt numFmtId="0" formatCode="General"/>
      <alignment horizontal="left" vertical="top" textRotation="0" wrapText="0" indent="0" justifyLastLine="0" shrinkToFit="0" readingOrder="0"/>
    </dxf>
    <dxf>
      <numFmt numFmtId="14" formatCode="0.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33" formatCode="_-* #,##0_-;\-* #,##0_-;_-* &quot;-&quot;_-;_-@_-"/>
      <alignment horizontal="left" vertical="top" textRotation="0" wrapText="0" indent="0" justifyLastLine="0" shrinkToFit="0" readingOrder="0"/>
    </dxf>
    <dxf>
      <numFmt numFmtId="33" formatCode="_-* #,##0_-;\-* #,##0_-;_-* &quot;-&quot;_-;_-@_-"/>
      <alignment horizontal="left" vertical="top" textRotation="0" wrapText="0" indent="0" justifyLastLine="0" shrinkToFit="0" readingOrder="0"/>
    </dxf>
    <dxf>
      <numFmt numFmtId="0" formatCode="General"/>
      <alignment horizontal="left" vertical="top" textRotation="0" wrapText="0" indent="0" justifyLastLine="0" shrinkToFit="0" readingOrder="0"/>
    </dxf>
    <dxf>
      <numFmt numFmtId="33" formatCode="_-* #,##0_-;\-* #,##0_-;_-* &quot;-&quot;_-;_-@_-"/>
      <alignment horizontal="left" vertical="top" textRotation="0" wrapText="0" indent="0" justifyLastLine="0" shrinkToFit="0" readingOrder="0"/>
    </dxf>
    <dxf>
      <numFmt numFmtId="33" formatCode="_-* #,##0_-;\-* #,##0_-;_-* &quot;-&quot;_-;_-@_-"/>
      <alignment horizontal="left" vertical="top" textRotation="0" wrapText="0" indent="0" justifyLastLine="0" shrinkToFit="0" readingOrder="0"/>
    </dxf>
    <dxf>
      <numFmt numFmtId="33" formatCode="_-* #,##0_-;\-* #,##0_-;_-* &quot;-&quot;_-;_-@_-"/>
      <alignment horizontal="left" vertical="top" textRotation="0" wrapText="0" indent="0" justifyLastLine="0" shrinkToFit="0" readingOrder="0"/>
    </dxf>
    <dxf>
      <numFmt numFmtId="0" formatCode="General"/>
      <alignment horizontal="left" vertical="top" textRotation="0" wrapText="0" indent="0" justifyLastLine="0" shrinkToFit="0" readingOrder="0"/>
    </dxf>
    <dxf>
      <numFmt numFmtId="14" formatCode="0.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33" formatCode="_-* #,##0_-;\-* #,##0_-;_-* &quot;-&quot;_-;_-@_-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0" formatCode="General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33" formatCode="_-* #,##0_-;\-* #,##0_-;_-* &quot;-&quot;_-;_-@_-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0" formatCode="General"/>
      <alignment horizontal="left" vertical="top" textRotation="0" wrapText="0" indent="0" justifyLastLine="0" shrinkToFit="0" readingOrder="0"/>
    </dxf>
    <dxf>
      <numFmt numFmtId="14" formatCode="0.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</dxfs>
  <tableStyles count="0" defaultTableStyle="TableStyleMedium9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la4MesCerveza" displayName="Tabla4MesCerveza" ref="B8:F21" totalsRowCount="1" headerRowDxfId="287" dataDxfId="286">
  <autoFilter ref="B8:F20" xr:uid="{00000000-0009-0000-0100-000007000000}"/>
  <tableColumns count="5">
    <tableColumn id="1" xr3:uid="{00000000-0010-0000-0000-000001000000}" name="Mes" totalsRowLabel="Total" dataDxfId="285" totalsRowDxfId="284"/>
    <tableColumn id="2" xr3:uid="{00000000-0010-0000-0000-000002000000}" name="Ocupación" dataDxfId="283" totalsRowDxfId="282" dataCellStyle="Porcentaje">
      <calculatedColumnFormula>Tabla4MesCerveza[[#This Row],[Unidades]]/$C$5</calculatedColumnFormula>
    </tableColumn>
    <tableColumn id="3" xr3:uid="{00000000-0010-0000-0000-000003000000}" name="Unidades" totalsRowFunction="sum" dataDxfId="281" totalsRowDxfId="280" dataCellStyle="Millares [0]"/>
    <tableColumn id="8" xr3:uid="{00000000-0010-0000-0000-000008000000}" name="Precio" dataDxfId="279" totalsRowDxfId="278" dataCellStyle="Millares [0]"/>
    <tableColumn id="10" xr3:uid="{00000000-0010-0000-0000-00000A000000}" name="Total" totalsRowFunction="sum" dataDxfId="277" totalsRowDxfId="276" dataCellStyle="Millares [0]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9000000}" name="Tabla11Equipo" displayName="Tabla11Equipo" ref="B127:F138" totalsRowCount="1" headerRowDxfId="166" dataDxfId="165">
  <autoFilter ref="B127:F137" xr:uid="{00000000-0009-0000-0100-00000E000000}"/>
  <tableColumns count="5">
    <tableColumn id="1" xr3:uid="{00000000-0010-0000-0900-000001000000}" name="Nombre" totalsRowLabel="Total" dataDxfId="164" totalsRowDxfId="163"/>
    <tableColumn id="2" xr3:uid="{00000000-0010-0000-0900-000002000000}" name="Descripción" dataDxfId="162" totalsRowDxfId="161"/>
    <tableColumn id="3" xr3:uid="{00000000-0010-0000-0900-000003000000}" name="Cantidad" dataDxfId="160" totalsRowDxfId="159" dataCellStyle="Millares [0]"/>
    <tableColumn id="4" xr3:uid="{00000000-0010-0000-0900-000004000000}" name="Costo" dataDxfId="158" totalsRowDxfId="157" dataCellStyle="Moneda"/>
    <tableColumn id="5" xr3:uid="{00000000-0010-0000-0900-000005000000}" name="Subtotal" totalsRowFunction="sum" dataDxfId="156" totalsRowDxfId="155" dataCellStyle="Moneda">
      <calculatedColumnFormula>Tabla11Equipo[[#This Row],[Cantidad]]*Tabla11Equipo[[#This Row],[Costo]]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A000000}" name="Tabla12Computo" displayName="Tabla12Computo" ref="B141:F150" totalsRowCount="1" headerRowDxfId="154" dataDxfId="153">
  <autoFilter ref="B141:F149" xr:uid="{00000000-0009-0000-0100-00000F000000}"/>
  <tableColumns count="5">
    <tableColumn id="1" xr3:uid="{00000000-0010-0000-0A00-000001000000}" name="Nombre" totalsRowLabel="Total" dataDxfId="152" totalsRowDxfId="151"/>
    <tableColumn id="2" xr3:uid="{00000000-0010-0000-0A00-000002000000}" name="Descripción" dataDxfId="150" totalsRowDxfId="149"/>
    <tableColumn id="3" xr3:uid="{00000000-0010-0000-0A00-000003000000}" name="Cantidad" dataDxfId="148" totalsRowDxfId="147" dataCellStyle="Millares [0]"/>
    <tableColumn id="4" xr3:uid="{00000000-0010-0000-0A00-000004000000}" name="Costo" dataDxfId="146" totalsRowDxfId="145" dataCellStyle="Moneda"/>
    <tableColumn id="5" xr3:uid="{00000000-0010-0000-0A00-000005000000}" name="TOTAL" totalsRowFunction="sum" dataDxfId="144" totalsRowDxfId="143" dataCellStyle="Moneda">
      <calculatedColumnFormula>Tabla12Computo[[#This Row],[Cantidad]]*Tabla12Computo[[#This Row],[Costo]]</calculatedColumnFormula>
    </tableColumn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B000000}" name="Tabla13GastosAdm" displayName="Tabla13GastosAdm" ref="B6:H8" totalsRowCount="1" headerRowDxfId="142" dataDxfId="141" totalsRowDxfId="140">
  <autoFilter ref="B6:H7" xr:uid="{00000000-0009-0000-0100-000010000000}"/>
  <tableColumns count="7">
    <tableColumn id="1" xr3:uid="{00000000-0010-0000-0B00-000001000000}" name="Descripción" totalsRowLabel="Total" dataDxfId="139" totalsRowDxfId="138"/>
    <tableColumn id="2" xr3:uid="{00000000-0010-0000-0B00-000002000000}" name="Costo (Mes)" totalsRowFunction="sum" dataDxfId="137" totalsRowDxfId="136" dataCellStyle="Millares [0]"/>
    <tableColumn id="3" xr3:uid="{00000000-0010-0000-0B00-000003000000}" name="Año 1" totalsRowFunction="sum" dataDxfId="135" totalsRowDxfId="134" dataCellStyle="Millares [0]"/>
    <tableColumn id="4" xr3:uid="{00000000-0010-0000-0B00-000004000000}" name="Año 2" totalsRowFunction="sum" dataDxfId="133" totalsRowDxfId="132" dataCellStyle="Millares [0]"/>
    <tableColumn id="5" xr3:uid="{00000000-0010-0000-0B00-000005000000}" name="Año 3" totalsRowFunction="sum" dataDxfId="131" totalsRowDxfId="130" dataCellStyle="Millares [0]"/>
    <tableColumn id="6" xr3:uid="{00000000-0010-0000-0B00-000006000000}" name="Año 4" totalsRowFunction="sum" dataDxfId="129" totalsRowDxfId="128" dataCellStyle="Millares [0]"/>
    <tableColumn id="7" xr3:uid="{00000000-0010-0000-0B00-000007000000}" name="Año 5" totalsRowFunction="sum" dataDxfId="127" totalsRowDxfId="126" dataCellStyle="Millares [0]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C000000}" name="Tabla14GastosVentas" displayName="Tabla14GastosVentas" ref="B11:H13" totalsRowCount="1" headerRowDxfId="125" dataDxfId="124" totalsRowDxfId="123">
  <autoFilter ref="B11:H12" xr:uid="{00000000-0009-0000-0100-000011000000}"/>
  <tableColumns count="7">
    <tableColumn id="1" xr3:uid="{00000000-0010-0000-0C00-000001000000}" name="Descripción" totalsRowLabel="Total" dataDxfId="122" totalsRowDxfId="121"/>
    <tableColumn id="2" xr3:uid="{00000000-0010-0000-0C00-000002000000}" name="Costo (Mes)" totalsRowFunction="sum" dataDxfId="120" totalsRowDxfId="119" dataCellStyle="Millares [0]"/>
    <tableColumn id="3" xr3:uid="{00000000-0010-0000-0C00-000003000000}" name="Año 1" totalsRowFunction="sum" dataDxfId="118" totalsRowDxfId="117" dataCellStyle="Millares [0]"/>
    <tableColumn id="4" xr3:uid="{00000000-0010-0000-0C00-000004000000}" name="Año 2" totalsRowFunction="sum" dataDxfId="116" totalsRowDxfId="115" dataCellStyle="Millares [0]"/>
    <tableColumn id="5" xr3:uid="{00000000-0010-0000-0C00-000005000000}" name="Año 3" totalsRowFunction="sum" dataDxfId="114" totalsRowDxfId="113" dataCellStyle="Millares [0]"/>
    <tableColumn id="6" xr3:uid="{00000000-0010-0000-0C00-000006000000}" name="Año 4" totalsRowFunction="sum" dataDxfId="112" totalsRowDxfId="111" dataCellStyle="Millares [0]"/>
    <tableColumn id="7" xr3:uid="{00000000-0010-0000-0C00-000007000000}" name="Año 5" totalsRowFunction="sum" dataDxfId="110" totalsRowDxfId="109" dataCellStyle="Millares [0]"/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D000000}" name="Tabla15GastosOpera" displayName="Tabla15GastosOpera" ref="B16:H21" totalsRowCount="1" headerRowDxfId="108" dataDxfId="107" totalsRowDxfId="106">
  <autoFilter ref="B16:H20" xr:uid="{00000000-0009-0000-0100-000012000000}"/>
  <tableColumns count="7">
    <tableColumn id="1" xr3:uid="{00000000-0010-0000-0D00-000001000000}" name="Descripción" totalsRowLabel="Total" dataDxfId="105" totalsRowDxfId="104"/>
    <tableColumn id="2" xr3:uid="{00000000-0010-0000-0D00-000002000000}" name="Costo (Mes)" totalsRowFunction="sum" dataDxfId="103" totalsRowDxfId="102" dataCellStyle="Millares [0]"/>
    <tableColumn id="3" xr3:uid="{00000000-0010-0000-0D00-000003000000}" name="Año 1" totalsRowFunction="sum" dataDxfId="101" totalsRowDxfId="100" dataCellStyle="Millares [0]"/>
    <tableColumn id="4" xr3:uid="{00000000-0010-0000-0D00-000004000000}" name="Año 2" totalsRowFunction="sum" dataDxfId="99" totalsRowDxfId="98" dataCellStyle="Millares [0]"/>
    <tableColumn id="5" xr3:uid="{00000000-0010-0000-0D00-000005000000}" name="Año 3" totalsRowFunction="sum" dataDxfId="97" totalsRowDxfId="96" dataCellStyle="Millares [0]"/>
    <tableColumn id="6" xr3:uid="{00000000-0010-0000-0D00-000006000000}" name="Año 4" totalsRowFunction="sum" dataDxfId="95" totalsRowDxfId="94" dataCellStyle="Millares [0]"/>
    <tableColumn id="7" xr3:uid="{00000000-0010-0000-0D00-000007000000}" name="Año 5" totalsRowFunction="sum" dataDxfId="93" totalsRowDxfId="92" dataCellStyle="Millares [0]"/>
  </tableColumns>
  <tableStyleInfo name="TableStyleMedium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E000000}" name="Tabla17Papeleria" displayName="Tabla17Papeleria" ref="B7:G24" totalsRowCount="1" headerRowDxfId="91" dataDxfId="90" headerRowCellStyle="Millares [0]" dataCellStyle="Millares [0]">
  <autoFilter ref="B7:G23" xr:uid="{00000000-0009-0000-0100-000014000000}"/>
  <tableColumns count="6">
    <tableColumn id="1" xr3:uid="{00000000-0010-0000-0E00-000001000000}" name="Descripción" totalsRowLabel="Total" dataDxfId="89" totalsRowDxfId="88"/>
    <tableColumn id="2" xr3:uid="{00000000-0010-0000-0E00-000002000000}" name="Tiempo" dataDxfId="87" totalsRowDxfId="86"/>
    <tableColumn id="3" xr3:uid="{00000000-0010-0000-0E00-000003000000}" name="Cantidad" dataDxfId="85" totalsRowDxfId="84" dataCellStyle="Millares [0]"/>
    <tableColumn id="4" xr3:uid="{00000000-0010-0000-0E00-000004000000}" name="Unidad de_x000a_medida" dataDxfId="83" totalsRowDxfId="82"/>
    <tableColumn id="5" xr3:uid="{00000000-0010-0000-0E00-000005000000}" name="Precio" dataDxfId="81" totalsRowDxfId="80" dataCellStyle="Millares [0]"/>
    <tableColumn id="6" xr3:uid="{00000000-0010-0000-0E00-000006000000}" name="Total" totalsRowFunction="sum" dataDxfId="79" totalsRowDxfId="78" dataCellStyle="Millares [0]">
      <calculatedColumnFormula>Tabla17Papeleria[[#This Row],[Cantidad]]*Tabla17Papeleria[[#This Row],[Precio]]</calculatedColumnFormula>
    </tableColumn>
  </tableColumns>
  <tableStyleInfo name="TableStyleMedium9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0F000000}" name="Tabla18Aseo" displayName="Tabla18Aseo" ref="B29:G38" totalsRowCount="1" headerRowDxfId="77" dataDxfId="76" headerRowCellStyle="Millares [0]" dataCellStyle="Millares [0]">
  <autoFilter ref="B29:G37" xr:uid="{00000000-0009-0000-0100-000015000000}"/>
  <tableColumns count="6">
    <tableColumn id="1" xr3:uid="{00000000-0010-0000-0F00-000001000000}" name="Descripción" totalsRowLabel="Total" dataDxfId="75" totalsRowDxfId="74"/>
    <tableColumn id="2" xr3:uid="{00000000-0010-0000-0F00-000002000000}" name="Tiempo" dataDxfId="73" totalsRowDxfId="72"/>
    <tableColumn id="3" xr3:uid="{00000000-0010-0000-0F00-000003000000}" name="Cantidad" dataDxfId="71" totalsRowDxfId="70" dataCellStyle="Millares [0]"/>
    <tableColumn id="4" xr3:uid="{00000000-0010-0000-0F00-000004000000}" name="Unidad de_x000a_medida" dataDxfId="69" totalsRowDxfId="68"/>
    <tableColumn id="5" xr3:uid="{00000000-0010-0000-0F00-000005000000}" name="Precio" dataDxfId="67" totalsRowDxfId="66" dataCellStyle="Millares [0]"/>
    <tableColumn id="6" xr3:uid="{00000000-0010-0000-0F00-000006000000}" name="Total" totalsRowFunction="sum" dataDxfId="65" totalsRowDxfId="64" dataCellStyle="Millares [0]">
      <calculatedColumnFormula>Tabla18Aseo[[#This Row],[Cantidad]]*Tabla18Aseo[[#This Row],[Precio]]</calculatedColumnFormula>
    </tableColumn>
  </tableColumns>
  <tableStyleInfo name="TableStyleMedium9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0000000}" name="Tabla19OtrosInsumos" displayName="Tabla19OtrosInsumos" ref="B43:G47" totalsRowCount="1" headerRowDxfId="63" dataDxfId="62" headerRowCellStyle="Millares [0]" dataCellStyle="Millares [0]">
  <autoFilter ref="B43:G46" xr:uid="{00000000-0009-0000-0100-000016000000}"/>
  <tableColumns count="6">
    <tableColumn id="1" xr3:uid="{00000000-0010-0000-1000-000001000000}" name="Descripción" totalsRowLabel="Total" dataDxfId="61" totalsRowDxfId="60"/>
    <tableColumn id="2" xr3:uid="{00000000-0010-0000-1000-000002000000}" name="Tiempo" dataDxfId="59" totalsRowDxfId="58"/>
    <tableColumn id="3" xr3:uid="{00000000-0010-0000-1000-000003000000}" name="Cantidad" dataDxfId="57" totalsRowDxfId="56" dataCellStyle="Millares [0]"/>
    <tableColumn id="4" xr3:uid="{00000000-0010-0000-1000-000004000000}" name="Unidad de_x000a_medida" dataDxfId="55" totalsRowDxfId="54"/>
    <tableColumn id="5" xr3:uid="{00000000-0010-0000-1000-000005000000}" name="Precio" dataDxfId="53" totalsRowDxfId="52" dataCellStyle="Millares [0]"/>
    <tableColumn id="6" xr3:uid="{00000000-0010-0000-1000-000006000000}" name="Total" totalsRowFunction="sum" dataDxfId="51" totalsRowDxfId="50" dataCellStyle="Millares [0]">
      <calculatedColumnFormula>Tabla19OtrosInsumos[[#This Row],[Cantidad]]*Tabla19OtrosInsumos[[#This Row],[Precio]]</calculatedColumnFormula>
    </tableColumn>
  </tableColumns>
  <tableStyleInfo name="TableStyleMedium9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11000000}" name="Tabla17Papeleria5" displayName="Tabla17Papeleria5" ref="I7:N20" totalsRowCount="1" headerRowDxfId="49" dataDxfId="48" headerRowCellStyle="Millares [0]" dataCellStyle="Millares [0]">
  <autoFilter ref="I7:N19" xr:uid="{00000000-0009-0000-0100-000004000000}"/>
  <tableColumns count="6">
    <tableColumn id="1" xr3:uid="{00000000-0010-0000-1100-000001000000}" name="Descripción" totalsRowLabel="Total" dataDxfId="47" totalsRowDxfId="46"/>
    <tableColumn id="2" xr3:uid="{00000000-0010-0000-1100-000002000000}" name="Tiempo" dataDxfId="45" totalsRowDxfId="44"/>
    <tableColumn id="3" xr3:uid="{00000000-0010-0000-1100-000003000000}" name="Cantidad" dataDxfId="43" totalsRowDxfId="42" dataCellStyle="Millares [0]"/>
    <tableColumn id="4" xr3:uid="{00000000-0010-0000-1100-000004000000}" name="Unidad de_x000a_medida" dataDxfId="41" totalsRowDxfId="40"/>
    <tableColumn id="5" xr3:uid="{00000000-0010-0000-1100-000005000000}" name="Precio" dataDxfId="39" totalsRowDxfId="38" dataCellStyle="Moneda [0]"/>
    <tableColumn id="6" xr3:uid="{00000000-0010-0000-1100-000006000000}" name="Total" totalsRowFunction="sum" dataDxfId="37" totalsRowDxfId="36" dataCellStyle="Moneda [0]">
      <calculatedColumnFormula>Tabla17Papeleria5[[#This Row],[Cantidad]]*Tabla17Papeleria5[[#This Row],[Precio]]</calculatedColumnFormula>
    </tableColumn>
  </tableColumns>
  <tableStyleInfo name="TableStyleMedium9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2000000}" name="Tabla20Depre" displayName="Tabla20Depre" ref="B5:F9" totalsRowCount="1" headerRowDxfId="35" dataDxfId="34" totalsRowDxfId="33">
  <autoFilter ref="B5:F8" xr:uid="{00000000-0009-0000-0100-000017000000}"/>
  <tableColumns count="5">
    <tableColumn id="1" xr3:uid="{00000000-0010-0000-1200-000001000000}" name="Concepto" totalsRowLabel="Total" dataDxfId="32" totalsRowDxfId="31"/>
    <tableColumn id="2" xr3:uid="{00000000-0010-0000-1200-000002000000}" name="Monto" dataDxfId="30" totalsRowDxfId="29" dataCellStyle="Moneda"/>
    <tableColumn id="3" xr3:uid="{00000000-0010-0000-1200-000003000000}" name="Vida útil_x000a_(Años)" dataDxfId="28" totalsRowDxfId="27" dataCellStyle="Millares [0]"/>
    <tableColumn id="4" xr3:uid="{00000000-0010-0000-1200-000004000000}" name="Depreciación_x000a_(%)" dataDxfId="26" totalsRowDxfId="25" dataCellStyle="Porcentaje"/>
    <tableColumn id="5" xr3:uid="{00000000-0010-0000-1200-000005000000}" name="Depreciación_x000a_(Anual)" totalsRowFunction="sum" dataDxfId="24" totalsRowDxfId="23" dataCellStyle="Moneda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1000000}" name="Tabla5MesAguardiente" displayName="Tabla5MesAguardiente" ref="H8:L21" totalsRowCount="1" headerRowDxfId="275" dataDxfId="274">
  <autoFilter ref="H8:L20" xr:uid="{00000000-0009-0000-0100-000008000000}"/>
  <tableColumns count="5">
    <tableColumn id="1" xr3:uid="{00000000-0010-0000-0100-000001000000}" name="Mes" totalsRowLabel="Total" dataDxfId="273" totalsRowDxfId="272"/>
    <tableColumn id="2" xr3:uid="{00000000-0010-0000-0100-000002000000}" name="Ocupación" dataDxfId="271" totalsRowDxfId="270" dataCellStyle="Porcentaje">
      <calculatedColumnFormula>Tabla5MesAguardiente[[#This Row],[Unidades]]/$I$5</calculatedColumnFormula>
    </tableColumn>
    <tableColumn id="3" xr3:uid="{00000000-0010-0000-0100-000003000000}" name="Unidades" totalsRowFunction="sum" dataDxfId="269" totalsRowDxfId="268" dataCellStyle="Millares [0]"/>
    <tableColumn id="8" xr3:uid="{00000000-0010-0000-0100-000008000000}" name="Precio" dataDxfId="267" totalsRowDxfId="266" dataCellStyle="Millares [0]"/>
    <tableColumn id="10" xr3:uid="{00000000-0010-0000-0100-00000A000000}" name="Total" totalsRowFunction="sum" dataDxfId="265" totalsRowDxfId="264" dataCellStyle="Millares [0]">
      <calculatedColumnFormula>(Tabla5MesAguardiente[[#This Row],[Unidades]]*Tabla5MesAguardiente[[#This Row],[Precio]])</calculatedColumnFormula>
    </tableColumn>
  </tableColumns>
  <tableStyleInfo name="TableStyleMedium9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3000000}" name="Tabla21Capital" displayName="Tabla21Capital" ref="B7:E16" totalsRowCount="1" headerRowDxfId="22" dataDxfId="21" totalsRowDxfId="20">
  <autoFilter ref="B7:E15" xr:uid="{00000000-0009-0000-0100-000018000000}"/>
  <tableColumns count="4">
    <tableColumn id="1" xr3:uid="{00000000-0010-0000-1300-000001000000}" name="Concepto" totalsRowLabel="Total" dataDxfId="19" totalsRowDxfId="18"/>
    <tableColumn id="2" xr3:uid="{00000000-0010-0000-1300-000002000000}" name="Aporte del emprendedor" dataDxfId="17" totalsRowDxfId="16" dataCellStyle="Moneda"/>
    <tableColumn id="3" xr3:uid="{00000000-0010-0000-1300-000003000000}" name="Otras fuentes" dataDxfId="15" totalsRowDxfId="14" dataCellStyle="Moneda"/>
    <tableColumn id="4" xr3:uid="{00000000-0010-0000-1300-000004000000}" name="Total" totalsRowFunction="sum" dataDxfId="13" totalsRowDxfId="12" dataCellStyle="Moneda"/>
  </tableColumns>
  <tableStyleInfo name="TableStyleMedium9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4000000}" name="Tabla25Amortizacion" displayName="Tabla25Amortizacion" ref="B10:G70" totalsRowShown="0" headerRowDxfId="11" dataDxfId="10" headerRowCellStyle="Millares [0]" dataCellStyle="Millares [0]">
  <autoFilter ref="B10:G70" xr:uid="{00000000-0009-0000-0100-00001C000000}"/>
  <tableColumns count="6">
    <tableColumn id="1" xr3:uid="{00000000-0010-0000-1400-000001000000}" name="Meses" dataDxfId="9"/>
    <tableColumn id="2" xr3:uid="{00000000-0010-0000-1400-000002000000}" name="Saldo" dataDxfId="8" dataCellStyle="Millares [0]"/>
    <tableColumn id="3" xr3:uid="{00000000-0010-0000-1400-000003000000}" name="Abono a capital" dataDxfId="7" dataCellStyle="Millares [0]">
      <calculatedColumnFormula>$C$5/$C$7</calculatedColumnFormula>
    </tableColumn>
    <tableColumn id="4" xr3:uid="{00000000-0010-0000-1400-000004000000}" name="Interés" dataDxfId="6" dataCellStyle="Millares [0]">
      <calculatedColumnFormula>Tabla25Amortizacion[[#This Row],[Saldo]]*$C$6</calculatedColumnFormula>
    </tableColumn>
    <tableColumn id="5" xr3:uid="{00000000-0010-0000-1400-000005000000}" name="Seguro" dataDxfId="5" dataCellStyle="Millares [0]">
      <calculatedColumnFormula>$C$8</calculatedColumnFormula>
    </tableColumn>
    <tableColumn id="6" xr3:uid="{00000000-0010-0000-1400-000006000000}" name="Valor de cuota" dataDxfId="4" dataCellStyle="Millares [0]">
      <calculatedColumnFormula>Tabla25Amortizacion[[#This Row],[Abono a capital]]+Tabla25Amortizacion[[#This Row],[Interés]]+Tabla25Amortizacion[[#This Row],[Seguro]]</calculatedColumnFormula>
    </tableColumn>
  </tableColumns>
  <tableStyleInfo name="TableStyleMedium9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15000000}" name="Tabla26Propuesta" displayName="Tabla26Propuesta" ref="E20:F25" totalsRowCount="1">
  <autoFilter ref="E20:F24" xr:uid="{00000000-0009-0000-0100-000001000000}"/>
  <tableColumns count="2">
    <tableColumn id="1" xr3:uid="{00000000-0010-0000-1500-000001000000}" name="Presupuesto" totalsRowLabel="Total" dataDxfId="3" totalsRowDxfId="2"/>
    <tableColumn id="2" xr3:uid="{00000000-0010-0000-1500-000002000000}" name="Valor" totalsRowFunction="sum" dataDxfId="1" totalsRowDxfId="0" dataCellStyle="Millares [0]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2000000}" name="Tabla6MesRon" displayName="Tabla6MesRon" ref="N8:R21" totalsRowCount="1" headerRowDxfId="263" dataDxfId="262">
  <autoFilter ref="N8:R20" xr:uid="{00000000-0009-0000-0100-000009000000}"/>
  <tableColumns count="5">
    <tableColumn id="1" xr3:uid="{00000000-0010-0000-0200-000001000000}" name="Mes" totalsRowLabel="Total" dataDxfId="261" totalsRowDxfId="260"/>
    <tableColumn id="2" xr3:uid="{00000000-0010-0000-0200-000002000000}" name="Ocupación" dataDxfId="259" totalsRowDxfId="258" dataCellStyle="Porcentaje">
      <calculatedColumnFormula>Tabla6MesRon[[#This Row],[Unidades]]/$O$5</calculatedColumnFormula>
    </tableColumn>
    <tableColumn id="3" xr3:uid="{00000000-0010-0000-0200-000003000000}" name="Unidades" totalsRowFunction="sum" dataDxfId="257" totalsRowDxfId="256" dataCellStyle="Millares [0]"/>
    <tableColumn id="8" xr3:uid="{00000000-0010-0000-0200-000008000000}" name="Precio" dataDxfId="255" totalsRowDxfId="254" dataCellStyle="Millares [0]"/>
    <tableColumn id="10" xr3:uid="{00000000-0010-0000-0200-00000A000000}" name="Total" totalsRowFunction="sum" dataDxfId="253" totalsRowDxfId="252" dataCellStyle="Millares [0]">
      <calculatedColumnFormula>(Tabla6MesRon[[#This Row],[Unidades]]*Tabla6MesRon[[#This Row],[Precio]])</calculatedColumnFormula>
    </tableColumn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la6MesRon3" displayName="Tabla6MesRon3" ref="T8:X21" totalsRowCount="1" headerRowDxfId="251" dataDxfId="250">
  <autoFilter ref="T8:X20" xr:uid="{00000000-0009-0000-0100-000002000000}"/>
  <tableColumns count="5">
    <tableColumn id="1" xr3:uid="{00000000-0010-0000-0300-000001000000}" name="Mes" totalsRowLabel="Total" dataDxfId="249" totalsRowDxfId="248"/>
    <tableColumn id="2" xr3:uid="{00000000-0010-0000-0300-000002000000}" name="Ocupación" dataDxfId="247" totalsRowDxfId="246" dataCellStyle="Porcentaje">
      <calculatedColumnFormula>(Tabla6MesRon3[[#This Row],[Unidades]]/$V$5)</calculatedColumnFormula>
    </tableColumn>
    <tableColumn id="3" xr3:uid="{00000000-0010-0000-0300-000003000000}" name="Unidades" totalsRowFunction="sum" dataDxfId="245" totalsRowDxfId="244" dataCellStyle="Millares [0]"/>
    <tableColumn id="8" xr3:uid="{00000000-0010-0000-0300-000008000000}" name="Precio" dataDxfId="243" totalsRowDxfId="242" dataCellStyle="Millares [0]"/>
    <tableColumn id="10" xr3:uid="{00000000-0010-0000-0300-00000A000000}" name="Total" totalsRowFunction="sum" dataDxfId="241" totalsRowDxfId="240" dataCellStyle="Millares [0]">
      <calculatedColumnFormula>(Tabla6MesRon3[[#This Row],[Unidades]]*Tabla6MesRon3[[#This Row],[Precio]])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la7VentasAnual" displayName="Tabla7VentasAnual" ref="B5:G6" totalsRowShown="0" dataDxfId="239" dataCellStyle="Millares [0]">
  <autoFilter ref="B5:G6" xr:uid="{00000000-0009-0000-0100-00000A000000}"/>
  <tableColumns count="6">
    <tableColumn id="1" xr3:uid="{00000000-0010-0000-0400-000001000000}" name="Años"/>
    <tableColumn id="2" xr3:uid="{00000000-0010-0000-0400-000002000000}" name="Año 1" dataDxfId="238" dataCellStyle="Millares [0]">
      <calculatedColumnFormula>(Tabla4MesCerveza[[#Totals],[Total]]+Tabla5MesAguardiente[[#Totals],[Total]]+Tabla6MesRon[[#Totals],[Total]]+Tabla6MesRon3[[#Totals],[Total]])</calculatedColumnFormula>
    </tableColumn>
    <tableColumn id="3" xr3:uid="{00000000-0010-0000-0400-000003000000}" name="Año 2" dataDxfId="237" dataCellStyle="Millares [0]">
      <calculatedColumnFormula>(Tabla7VentasAnual[Año 1]*G17)+Tabla7VentasAnual[Año 1]</calculatedColumnFormula>
    </tableColumn>
    <tableColumn id="4" xr3:uid="{00000000-0010-0000-0400-000004000000}" name="Año 3" dataDxfId="236" dataCellStyle="Millares [0]">
      <calculatedColumnFormula>(Tabla7VentasAnual[Año 2]*E17)+Tabla7VentasAnual[Año 2]</calculatedColumnFormula>
    </tableColumn>
    <tableColumn id="5" xr3:uid="{00000000-0010-0000-0400-000005000000}" name="Año 4" dataDxfId="235" dataCellStyle="Millares [0]">
      <calculatedColumnFormula>(Tabla7VentasAnual[Año 3]*E17)+Tabla7VentasAnual[Año 3]</calculatedColumnFormula>
    </tableColumn>
    <tableColumn id="6" xr3:uid="{00000000-0010-0000-0400-000006000000}" name="Año 5" dataDxfId="234" dataCellStyle="Millares [0]">
      <calculatedColumnFormula>(Tabla7VentasAnual[Año 4]*E17)+Tabla7VentasAnual[Año 4]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Tabla3" displayName="Tabla3" ref="B10:G17" totalsRowShown="0" headerRowDxfId="233" dataDxfId="231" headerRowBorderDxfId="232" tableBorderDxfId="230" totalsRowBorderDxfId="229">
  <autoFilter ref="B10:G17" xr:uid="{00000000-0009-0000-0100-000003000000}"/>
  <tableColumns count="6">
    <tableColumn id="1" xr3:uid="{00000000-0010-0000-0500-000001000000}" name="Columna1" dataDxfId="228"/>
    <tableColumn id="2" xr3:uid="{00000000-0010-0000-0500-000002000000}" name="Columna2" dataDxfId="227"/>
    <tableColumn id="3" xr3:uid="{00000000-0010-0000-0500-000003000000}" name="Columna3" dataDxfId="226"/>
    <tableColumn id="4" xr3:uid="{00000000-0010-0000-0500-000004000000}" name="Columna4" dataDxfId="225" dataCellStyle="Porcentaje"/>
    <tableColumn id="5" xr3:uid="{00000000-0010-0000-0500-000005000000}" name="Politica de Ventas" dataDxfId="224"/>
    <tableColumn id="6" xr3:uid="{00000000-0010-0000-0500-000006000000}" name="Tasa de Crecimiento" dataDxfId="223">
      <calculatedColumnFormula>(Tabla3[[#This Row],[Columna4]]+Tabla3[[#This Row],[Politica de Ventas]])</calculatedColumnFormula>
    </tableColumn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la8Nomina" displayName="Tabla8Nomina" ref="B5:L9" totalsRowShown="0" headerRowDxfId="222" dataDxfId="221">
  <autoFilter ref="B5:L9" xr:uid="{00000000-0009-0000-0100-00000B000000}"/>
  <tableColumns count="11">
    <tableColumn id="1" xr3:uid="{00000000-0010-0000-0600-000001000000}" name="Cargo" dataDxfId="220" totalsRowDxfId="219"/>
    <tableColumn id="2" xr3:uid="{00000000-0010-0000-0600-000002000000}" name="Valor_x000a_Sueldo" dataDxfId="218" totalsRowDxfId="217" dataCellStyle="Moneda"/>
    <tableColumn id="10" xr3:uid="{00000000-0010-0000-0600-00000A000000}" name="No de Empleados" dataDxfId="216" totalsRowDxfId="215" dataCellStyle="Moneda"/>
    <tableColumn id="11" xr3:uid="{00000000-0010-0000-0600-00000B000000}" name="Total" dataDxfId="214" totalsRowDxfId="213" dataCellStyle="Moneda">
      <calculatedColumnFormula>(Tabla8Nomina[[#This Row],[Valor
Sueldo]]*Tabla8Nomina[[#This Row],[No de Empleados]])</calculatedColumnFormula>
    </tableColumn>
    <tableColumn id="3" xr3:uid="{00000000-0010-0000-0600-000003000000}" name="Auxilio de_x000a_transporte" dataDxfId="212" totalsRowDxfId="211" dataCellStyle="Moneda"/>
    <tableColumn id="4" xr3:uid="{00000000-0010-0000-0600-000004000000}" name="Total_x000a_devengado" dataDxfId="210" totalsRowDxfId="209" dataCellStyle="Moneda">
      <calculatedColumnFormula>Tabla8Nomina[[#This Row],[Valor
Sueldo]]+Tabla8Nomina[[#This Row],[Auxilio de
transporte]]</calculatedColumnFormula>
    </tableColumn>
    <tableColumn id="5" xr3:uid="{00000000-0010-0000-0600-000005000000}" name="Deducciones_x000a_(Salud-Pensión)" dataDxfId="208" totalsRowDxfId="207" dataCellStyle="Moneda">
      <calculatedColumnFormula>(Tabla8Nomina[[#This Row],[Valor
Sueldo]]*4%)*2</calculatedColumnFormula>
    </tableColumn>
    <tableColumn id="6" xr3:uid="{00000000-0010-0000-0600-000006000000}" name="Total_x000a_Nómina" dataDxfId="206" totalsRowDxfId="205" dataCellStyle="Moneda">
      <calculatedColumnFormula>Tabla8Nomina[[#This Row],[Total
devengado]]-Tabla8Nomina[[#This Row],[Deducciones
(Salud-Pensión)]]</calculatedColumnFormula>
    </tableColumn>
    <tableColumn id="7" xr3:uid="{00000000-0010-0000-0600-000007000000}" name="Componente_x000a_Prestacional" dataDxfId="204" totalsRowDxfId="203" dataCellStyle="Moneda">
      <calculatedColumnFormula>SUM(Tabla9[[#This Row],[ICBF]:[Int. Cesantías]])</calculatedColumnFormula>
    </tableColumn>
    <tableColumn id="8" xr3:uid="{00000000-0010-0000-0600-000008000000}" name="Componente seg. social (Pensión)_x000a_y parafiscales (ARL y CCF)" dataDxfId="202" totalsRowDxfId="201" dataCellStyle="Moneda">
      <calculatedColumnFormula>Tabla9[[#This Row],[Salud]]+Tabla9[[#This Row],[Pensión]]+Tabla9[[#This Row],[CCF]]+Tabla9[[#This Row],[ARL]]</calculatedColumnFormula>
    </tableColumn>
    <tableColumn id="9" xr3:uid="{00000000-0010-0000-0600-000009000000}" name="Subtotal" dataDxfId="200" totalsRowDxfId="199" dataCellStyle="Moneda">
      <calculatedColumnFormula>Tabla8Nomina[[#This Row],[Total
Nómina]]+Tabla8Nomina[[#This Row],[Componente
Prestacional]]+Tabla8Nomina[[#This Row],[Componente seg. social (Pensión)
y parafiscales (ARL y CCF)]]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7000000}" name="Tabla9" displayName="Tabla9" ref="N4:V9" totalsRowCount="1" headerRowDxfId="198" dataDxfId="197">
  <autoFilter ref="N4:V8" xr:uid="{00000000-0009-0000-0100-00000C000000}"/>
  <tableColumns count="9">
    <tableColumn id="1" xr3:uid="{00000000-0010-0000-0700-000001000000}" name="ICBF" totalsRowLabel="Total" dataDxfId="196" totalsRowDxfId="195"/>
    <tableColumn id="2" xr3:uid="{00000000-0010-0000-0700-000002000000}" name="SENA" dataDxfId="194" totalsRowDxfId="193"/>
    <tableColumn id="3" xr3:uid="{00000000-0010-0000-0700-000003000000}" name="Salud" dataDxfId="192" totalsRowDxfId="191"/>
    <tableColumn id="4" xr3:uid="{00000000-0010-0000-0700-000004000000}" name="Pensión" dataDxfId="190" totalsRowDxfId="189"/>
    <tableColumn id="5" xr3:uid="{00000000-0010-0000-0700-000005000000}" name="Cesantías" dataDxfId="188" totalsRowDxfId="187"/>
    <tableColumn id="6" xr3:uid="{00000000-0010-0000-0700-000006000000}" name="Int. Cesantías" dataDxfId="186" totalsRowDxfId="185"/>
    <tableColumn id="7" xr3:uid="{00000000-0010-0000-0700-000007000000}" name="CCF" dataDxfId="184" totalsRowDxfId="183"/>
    <tableColumn id="8" xr3:uid="{00000000-0010-0000-0700-000008000000}" name="ARL" dataDxfId="182" totalsRowDxfId="181"/>
    <tableColumn id="9" xr3:uid="{00000000-0010-0000-0700-000009000000}" name="Total" totalsRowFunction="sum" dataDxfId="180" totalsRowDxfId="179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8000000}" name="Tabla10Maquinaria" displayName="Tabla10Maquinaria" ref="B6:F124" totalsRowCount="1" headerRowDxfId="178" dataDxfId="177">
  <autoFilter ref="B6:F123" xr:uid="{00000000-0009-0000-0100-00000D000000}"/>
  <tableColumns count="5">
    <tableColumn id="1" xr3:uid="{00000000-0010-0000-0800-000001000000}" name="Nombre" totalsRowLabel="Total" dataDxfId="176" totalsRowDxfId="175"/>
    <tableColumn id="2" xr3:uid="{00000000-0010-0000-0800-000002000000}" name="Descripción" dataDxfId="174" totalsRowDxfId="173"/>
    <tableColumn id="3" xr3:uid="{00000000-0010-0000-0800-000003000000}" name="Cantidad" dataDxfId="172" totalsRowDxfId="171" dataCellStyle="Millares [0]"/>
    <tableColumn id="4" xr3:uid="{00000000-0010-0000-0800-000004000000}" name="Costo" dataDxfId="170" totalsRowDxfId="169" dataCellStyle="Moneda"/>
    <tableColumn id="5" xr3:uid="{00000000-0010-0000-0800-000005000000}" name="Subtotal" totalsRowFunction="sum" dataDxfId="168" totalsRowDxfId="167" dataCellStyle="Moneda">
      <calculatedColumnFormula>Tabla10Maquinaria[[#This Row],[Cantidad]]*Tabla10Maquinaria[[#This Row],[Costo]]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vmlDrawing" Target="../drawings/vmlDrawing1.vm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table" Target="../tables/table9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table" Target="../tables/table1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18.xml"/><Relationship Id="rId4" Type="http://schemas.openxmlformats.org/officeDocument/2006/relationships/table" Target="../tables/table1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X21"/>
  <sheetViews>
    <sheetView showGridLines="0" tabSelected="1" workbookViewId="0">
      <selection activeCell="C5" sqref="C5"/>
    </sheetView>
  </sheetViews>
  <sheetFormatPr baseColWidth="10" defaultColWidth="9.140625" defaultRowHeight="15" x14ac:dyDescent="0.25"/>
  <cols>
    <col min="1" max="1" width="9.140625" style="2"/>
    <col min="2" max="2" width="28.140625" style="2" bestFit="1" customWidth="1"/>
    <col min="3" max="3" width="12.5703125" style="2" bestFit="1" customWidth="1"/>
    <col min="4" max="4" width="11.7109375" style="2" bestFit="1" customWidth="1"/>
    <col min="5" max="5" width="8.85546875" style="2" bestFit="1" customWidth="1"/>
    <col min="6" max="6" width="12.5703125" style="2" bestFit="1" customWidth="1"/>
    <col min="7" max="7" width="4.140625" style="2" customWidth="1"/>
    <col min="8" max="8" width="18.140625" style="2" bestFit="1" customWidth="1"/>
    <col min="9" max="9" width="12.5703125" style="2" bestFit="1" customWidth="1"/>
    <col min="10" max="10" width="11.7109375" style="2" bestFit="1" customWidth="1"/>
    <col min="11" max="11" width="8.85546875" style="2" bestFit="1" customWidth="1"/>
    <col min="12" max="12" width="12.5703125" style="2" bestFit="1" customWidth="1"/>
    <col min="13" max="13" width="5.42578125" style="2" customWidth="1"/>
    <col min="14" max="14" width="18.140625" style="2" bestFit="1" customWidth="1"/>
    <col min="15" max="15" width="12.5703125" style="2" bestFit="1" customWidth="1"/>
    <col min="16" max="16" width="11.7109375" style="2" bestFit="1" customWidth="1"/>
    <col min="17" max="17" width="8.85546875" style="2" bestFit="1" customWidth="1"/>
    <col min="18" max="18" width="11.5703125" style="2" bestFit="1" customWidth="1"/>
    <col min="19" max="19" width="9.140625" style="2"/>
    <col min="20" max="20" width="18.28515625" style="2" customWidth="1"/>
    <col min="21" max="21" width="17" style="2" bestFit="1" customWidth="1"/>
    <col min="22" max="22" width="15" style="2" bestFit="1" customWidth="1"/>
    <col min="23" max="23" width="9" style="2" bestFit="1" customWidth="1"/>
    <col min="24" max="24" width="14.140625" style="2" bestFit="1" customWidth="1"/>
    <col min="25" max="16384" width="9.140625" style="2"/>
  </cols>
  <sheetData>
    <row r="2" spans="2:24" x14ac:dyDescent="0.25">
      <c r="B2" s="8" t="s">
        <v>155</v>
      </c>
    </row>
    <row r="3" spans="2:24" x14ac:dyDescent="0.25">
      <c r="B3" s="8" t="s">
        <v>288</v>
      </c>
    </row>
    <row r="5" spans="2:24" x14ac:dyDescent="0.25">
      <c r="B5" s="2" t="s">
        <v>156</v>
      </c>
      <c r="C5" s="20">
        <v>140</v>
      </c>
      <c r="H5" s="2" t="s">
        <v>156</v>
      </c>
      <c r="I5" s="4">
        <v>250</v>
      </c>
      <c r="N5" s="2" t="s">
        <v>156</v>
      </c>
      <c r="O5" s="4">
        <v>200</v>
      </c>
      <c r="T5" s="2" t="s">
        <v>156</v>
      </c>
      <c r="U5" s="4"/>
      <c r="V5" s="2">
        <v>100</v>
      </c>
    </row>
    <row r="7" spans="2:24" s="8" customFormat="1" ht="45" x14ac:dyDescent="0.25">
      <c r="B7" s="8" t="s">
        <v>285</v>
      </c>
      <c r="H7" s="8" t="s">
        <v>286</v>
      </c>
      <c r="N7" s="8" t="s">
        <v>287</v>
      </c>
      <c r="T7" s="9" t="s">
        <v>517</v>
      </c>
      <c r="U7" s="117" t="s">
        <v>516</v>
      </c>
      <c r="V7" s="118">
        <f>+SUM(190000+350000)</f>
        <v>540000</v>
      </c>
    </row>
    <row r="8" spans="2:24" x14ac:dyDescent="0.25">
      <c r="B8" s="2" t="s">
        <v>161</v>
      </c>
      <c r="C8" s="10" t="s">
        <v>157</v>
      </c>
      <c r="D8" s="2" t="s">
        <v>0</v>
      </c>
      <c r="E8" s="2" t="s">
        <v>50</v>
      </c>
      <c r="F8" s="2" t="s">
        <v>13</v>
      </c>
      <c r="H8" s="2" t="s">
        <v>161</v>
      </c>
      <c r="I8" s="10" t="s">
        <v>157</v>
      </c>
      <c r="J8" s="2" t="s">
        <v>0</v>
      </c>
      <c r="K8" s="2" t="s">
        <v>50</v>
      </c>
      <c r="L8" s="2" t="s">
        <v>13</v>
      </c>
      <c r="N8" s="2" t="s">
        <v>161</v>
      </c>
      <c r="O8" s="10" t="s">
        <v>157</v>
      </c>
      <c r="P8" s="2" t="s">
        <v>0</v>
      </c>
      <c r="Q8" s="2" t="s">
        <v>50</v>
      </c>
      <c r="R8" s="2" t="s">
        <v>13</v>
      </c>
      <c r="T8" s="2" t="s">
        <v>161</v>
      </c>
      <c r="U8" s="10" t="s">
        <v>157</v>
      </c>
      <c r="V8" s="2" t="s">
        <v>0</v>
      </c>
      <c r="W8" s="2" t="s">
        <v>50</v>
      </c>
      <c r="X8" s="2" t="s">
        <v>13</v>
      </c>
    </row>
    <row r="9" spans="2:24" x14ac:dyDescent="0.25">
      <c r="B9" s="2" t="s">
        <v>1</v>
      </c>
      <c r="C9" s="7">
        <f>Tabla4MesCerveza[[#This Row],[Unidades]]/$C$5</f>
        <v>0.54285714285714282</v>
      </c>
      <c r="D9" s="3">
        <v>76</v>
      </c>
      <c r="E9" s="3">
        <v>122000</v>
      </c>
      <c r="F9" s="3">
        <v>10980000</v>
      </c>
      <c r="H9" s="2" t="s">
        <v>1</v>
      </c>
      <c r="I9" s="7">
        <f>Tabla5MesAguardiente[[#This Row],[Unidades]]/$I$5</f>
        <v>0.8</v>
      </c>
      <c r="J9" s="3">
        <v>200</v>
      </c>
      <c r="K9" s="3">
        <v>70000</v>
      </c>
      <c r="L9" s="3">
        <f>(Tabla5MesAguardiente[[#This Row],[Unidades]]*Tabla5MesAguardiente[[#This Row],[Precio]])</f>
        <v>14000000</v>
      </c>
      <c r="N9" s="2" t="s">
        <v>1</v>
      </c>
      <c r="O9" s="7">
        <f>Tabla6MesRon[[#This Row],[Unidades]]/$O$5</f>
        <v>0.45</v>
      </c>
      <c r="P9" s="3">
        <v>90</v>
      </c>
      <c r="Q9" s="3">
        <v>85000</v>
      </c>
      <c r="R9" s="3">
        <f>(Tabla6MesRon[[#This Row],[Unidades]]*Tabla6MesRon[[#This Row],[Precio]])</f>
        <v>7650000</v>
      </c>
      <c r="T9" s="2" t="s">
        <v>1</v>
      </c>
      <c r="U9" s="7">
        <f>(Tabla6MesRon3[[#This Row],[Unidades]]/$V$5)</f>
        <v>0.6</v>
      </c>
      <c r="V9" s="3">
        <v>60</v>
      </c>
      <c r="W9" s="3">
        <v>540000</v>
      </c>
      <c r="X9" s="3">
        <f>(Tabla6MesRon3[[#This Row],[Unidades]]*Tabla6MesRon3[[#This Row],[Precio]])</f>
        <v>32400000</v>
      </c>
    </row>
    <row r="10" spans="2:24" x14ac:dyDescent="0.25">
      <c r="B10" s="2" t="s">
        <v>2</v>
      </c>
      <c r="C10" s="7">
        <f>Tabla4MesCerveza[[#This Row],[Unidades]]/$C$5</f>
        <v>0.5714285714285714</v>
      </c>
      <c r="D10" s="3">
        <v>80</v>
      </c>
      <c r="E10" s="3">
        <v>122000</v>
      </c>
      <c r="F10" s="3">
        <v>7930000</v>
      </c>
      <c r="H10" s="2" t="s">
        <v>2</v>
      </c>
      <c r="I10" s="7">
        <f>Tabla5MesAguardiente[[#This Row],[Unidades]]/$I$5</f>
        <v>0.84</v>
      </c>
      <c r="J10" s="3">
        <v>210</v>
      </c>
      <c r="K10" s="3">
        <v>70000</v>
      </c>
      <c r="L10" s="3">
        <f>(Tabla5MesAguardiente[[#This Row],[Unidades]]*Tabla5MesAguardiente[[#This Row],[Precio]])</f>
        <v>14700000</v>
      </c>
      <c r="N10" s="2" t="s">
        <v>2</v>
      </c>
      <c r="O10" s="7">
        <f>Tabla6MesRon[[#This Row],[Unidades]]/$O$5</f>
        <v>0.32500000000000001</v>
      </c>
      <c r="P10" s="3">
        <v>65</v>
      </c>
      <c r="Q10" s="3">
        <v>85000</v>
      </c>
      <c r="R10" s="3">
        <f>(Tabla6MesRon[[#This Row],[Unidades]]*Tabla6MesRon[[#This Row],[Precio]])</f>
        <v>5525000</v>
      </c>
      <c r="T10" s="2" t="s">
        <v>2</v>
      </c>
      <c r="U10" s="7">
        <f>(Tabla6MesRon3[[#This Row],[Unidades]]/$V$5)</f>
        <v>0.76</v>
      </c>
      <c r="V10" s="3">
        <v>76</v>
      </c>
      <c r="W10" s="3">
        <v>540000</v>
      </c>
      <c r="X10" s="3">
        <f>(Tabla6MesRon3[[#This Row],[Unidades]]*Tabla6MesRon3[[#This Row],[Precio]])</f>
        <v>41040000</v>
      </c>
    </row>
    <row r="11" spans="2:24" x14ac:dyDescent="0.25">
      <c r="B11" s="2" t="s">
        <v>3</v>
      </c>
      <c r="C11" s="7">
        <f>Tabla4MesCerveza[[#This Row],[Unidades]]/$C$5</f>
        <v>0.5</v>
      </c>
      <c r="D11" s="3">
        <v>70</v>
      </c>
      <c r="E11" s="3">
        <v>122000</v>
      </c>
      <c r="F11" s="3">
        <v>5490000</v>
      </c>
      <c r="H11" s="2" t="s">
        <v>3</v>
      </c>
      <c r="I11" s="7">
        <f>Tabla5MesAguardiente[[#This Row],[Unidades]]/$I$5</f>
        <v>0.76</v>
      </c>
      <c r="J11" s="3">
        <v>190</v>
      </c>
      <c r="K11" s="3">
        <v>70000</v>
      </c>
      <c r="L11" s="3">
        <f>(Tabla5MesAguardiente[[#This Row],[Unidades]]*Tabla5MesAguardiente[[#This Row],[Precio]])</f>
        <v>13300000</v>
      </c>
      <c r="N11" s="2" t="s">
        <v>3</v>
      </c>
      <c r="O11" s="7">
        <f>Tabla6MesRon[[#This Row],[Unidades]]/$O$5</f>
        <v>0.22500000000000001</v>
      </c>
      <c r="P11" s="3">
        <v>45</v>
      </c>
      <c r="Q11" s="3">
        <v>85000</v>
      </c>
      <c r="R11" s="3">
        <f>(Tabla6MesRon[[#This Row],[Unidades]]*Tabla6MesRon[[#This Row],[Precio]])</f>
        <v>3825000</v>
      </c>
      <c r="T11" s="2" t="s">
        <v>3</v>
      </c>
      <c r="U11" s="7">
        <f>(Tabla6MesRon3[[#This Row],[Unidades]]/$V$5)</f>
        <v>0.6</v>
      </c>
      <c r="V11" s="3">
        <v>60</v>
      </c>
      <c r="W11" s="3">
        <v>540000</v>
      </c>
      <c r="X11" s="3">
        <f>(Tabla6MesRon3[[#This Row],[Unidades]]*Tabla6MesRon3[[#This Row],[Precio]])</f>
        <v>32400000</v>
      </c>
    </row>
    <row r="12" spans="2:24" x14ac:dyDescent="0.25">
      <c r="B12" s="2" t="s">
        <v>4</v>
      </c>
      <c r="C12" s="7">
        <f>Tabla4MesCerveza[[#This Row],[Unidades]]/$C$5</f>
        <v>0.6428571428571429</v>
      </c>
      <c r="D12" s="3">
        <v>90</v>
      </c>
      <c r="E12" s="3">
        <v>122000</v>
      </c>
      <c r="F12" s="3">
        <v>9760000</v>
      </c>
      <c r="H12" s="2" t="s">
        <v>4</v>
      </c>
      <c r="I12" s="7">
        <f>Tabla5MesAguardiente[[#This Row],[Unidades]]/$I$5</f>
        <v>0.84</v>
      </c>
      <c r="J12" s="3">
        <v>210</v>
      </c>
      <c r="K12" s="3">
        <v>70000</v>
      </c>
      <c r="L12" s="3">
        <f>(Tabla5MesAguardiente[[#This Row],[Unidades]]*Tabla5MesAguardiente[[#This Row],[Precio]])</f>
        <v>14700000</v>
      </c>
      <c r="N12" s="2" t="s">
        <v>4</v>
      </c>
      <c r="O12" s="7">
        <f>Tabla6MesRon[[#This Row],[Unidades]]/$O$5</f>
        <v>0.4</v>
      </c>
      <c r="P12" s="3">
        <v>80</v>
      </c>
      <c r="Q12" s="3">
        <v>85000</v>
      </c>
      <c r="R12" s="3">
        <f>(Tabla6MesRon[[#This Row],[Unidades]]*Tabla6MesRon[[#This Row],[Precio]])</f>
        <v>6800000</v>
      </c>
      <c r="T12" s="2" t="s">
        <v>4</v>
      </c>
      <c r="U12" s="7">
        <f>(Tabla6MesRon3[[#This Row],[Unidades]]/$V$5)</f>
        <v>0.6</v>
      </c>
      <c r="V12" s="3">
        <v>60</v>
      </c>
      <c r="W12" s="3">
        <v>540000</v>
      </c>
      <c r="X12" s="3">
        <f>(Tabla6MesRon3[[#This Row],[Unidades]]*Tabla6MesRon3[[#This Row],[Precio]])</f>
        <v>32400000</v>
      </c>
    </row>
    <row r="13" spans="2:24" x14ac:dyDescent="0.25">
      <c r="B13" s="2" t="s">
        <v>5</v>
      </c>
      <c r="C13" s="7">
        <f>Tabla4MesCerveza[[#This Row],[Unidades]]/$C$5</f>
        <v>0.6785714285714286</v>
      </c>
      <c r="D13" s="3">
        <v>95</v>
      </c>
      <c r="E13" s="3">
        <v>122000</v>
      </c>
      <c r="F13" s="3">
        <v>7320000</v>
      </c>
      <c r="H13" s="2" t="s">
        <v>5</v>
      </c>
      <c r="I13" s="7">
        <f>Tabla5MesAguardiente[[#This Row],[Unidades]]/$I$5</f>
        <v>0.84</v>
      </c>
      <c r="J13" s="3">
        <v>210</v>
      </c>
      <c r="K13" s="3">
        <v>70000</v>
      </c>
      <c r="L13" s="3">
        <f>(Tabla5MesAguardiente[[#This Row],[Unidades]]*Tabla5MesAguardiente[[#This Row],[Precio]])</f>
        <v>14700000</v>
      </c>
      <c r="N13" s="2" t="s">
        <v>5</v>
      </c>
      <c r="O13" s="7">
        <f>Tabla6MesRon[[#This Row],[Unidades]]/$O$5</f>
        <v>0.3</v>
      </c>
      <c r="P13" s="3">
        <v>60</v>
      </c>
      <c r="Q13" s="3">
        <v>85000</v>
      </c>
      <c r="R13" s="3">
        <f>(Tabla6MesRon[[#This Row],[Unidades]]*Tabla6MesRon[[#This Row],[Precio]])</f>
        <v>5100000</v>
      </c>
      <c r="T13" s="2" t="s">
        <v>5</v>
      </c>
      <c r="U13" s="7">
        <f>(Tabla6MesRon3[[#This Row],[Unidades]]/$V$5)</f>
        <v>0.7</v>
      </c>
      <c r="V13" s="3">
        <v>70</v>
      </c>
      <c r="W13" s="3">
        <v>540000</v>
      </c>
      <c r="X13" s="3">
        <f>(Tabla6MesRon3[[#This Row],[Unidades]]*Tabla6MesRon3[[#This Row],[Precio]])</f>
        <v>37800000</v>
      </c>
    </row>
    <row r="14" spans="2:24" x14ac:dyDescent="0.25">
      <c r="B14" s="2" t="s">
        <v>6</v>
      </c>
      <c r="C14" s="7">
        <f>Tabla4MesCerveza[[#This Row],[Unidades]]/$C$5</f>
        <v>0.8928571428571429</v>
      </c>
      <c r="D14" s="3">
        <v>125</v>
      </c>
      <c r="E14" s="3">
        <v>122000</v>
      </c>
      <c r="F14" s="3">
        <v>15250000</v>
      </c>
      <c r="H14" s="2" t="s">
        <v>6</v>
      </c>
      <c r="I14" s="7">
        <f>Tabla5MesAguardiente[[#This Row],[Unidades]]/$I$5</f>
        <v>0.64</v>
      </c>
      <c r="J14" s="3">
        <v>160</v>
      </c>
      <c r="K14" s="3">
        <v>70000</v>
      </c>
      <c r="L14" s="3">
        <f>(Tabla5MesAguardiente[[#This Row],[Unidades]]*Tabla5MesAguardiente[[#This Row],[Precio]])</f>
        <v>11200000</v>
      </c>
      <c r="N14" s="2" t="s">
        <v>6</v>
      </c>
      <c r="O14" s="7">
        <f>Tabla6MesRon[[#This Row],[Unidades]]/$O$5</f>
        <v>0.625</v>
      </c>
      <c r="P14" s="3">
        <v>125</v>
      </c>
      <c r="Q14" s="3">
        <v>85000</v>
      </c>
      <c r="R14" s="3">
        <f>(Tabla6MesRon[[#This Row],[Unidades]]*Tabla6MesRon[[#This Row],[Precio]])</f>
        <v>10625000</v>
      </c>
      <c r="T14" s="2" t="s">
        <v>6</v>
      </c>
      <c r="U14" s="7">
        <f>(Tabla6MesRon3[[#This Row],[Unidades]]/$V$5)</f>
        <v>0.87</v>
      </c>
      <c r="V14" s="3">
        <v>87</v>
      </c>
      <c r="W14" s="3">
        <v>540000</v>
      </c>
      <c r="X14" s="3">
        <f>(Tabla6MesRon3[[#This Row],[Unidades]]*Tabla6MesRon3[[#This Row],[Precio]])</f>
        <v>46980000</v>
      </c>
    </row>
    <row r="15" spans="2:24" x14ac:dyDescent="0.25">
      <c r="B15" s="2" t="s">
        <v>7</v>
      </c>
      <c r="C15" s="7">
        <f>Tabla4MesCerveza[[#This Row],[Unidades]]/$C$5</f>
        <v>0.6428571428571429</v>
      </c>
      <c r="D15" s="3">
        <v>90</v>
      </c>
      <c r="E15" s="3">
        <v>122000</v>
      </c>
      <c r="F15" s="3">
        <v>10980000</v>
      </c>
      <c r="H15" s="2" t="s">
        <v>7</v>
      </c>
      <c r="I15" s="7">
        <f>Tabla5MesAguardiente[[#This Row],[Unidades]]/$I$5</f>
        <v>0.34</v>
      </c>
      <c r="J15" s="3">
        <v>85</v>
      </c>
      <c r="K15" s="3">
        <v>70000</v>
      </c>
      <c r="L15" s="3">
        <f>(Tabla5MesAguardiente[[#This Row],[Unidades]]*Tabla5MesAguardiente[[#This Row],[Precio]])</f>
        <v>5950000</v>
      </c>
      <c r="N15" s="2" t="s">
        <v>7</v>
      </c>
      <c r="O15" s="7">
        <f>Tabla6MesRon[[#This Row],[Unidades]]/$O$5</f>
        <v>0.45</v>
      </c>
      <c r="P15" s="3">
        <v>90</v>
      </c>
      <c r="Q15" s="3">
        <v>85000</v>
      </c>
      <c r="R15" s="3">
        <f>(Tabla6MesRon[[#This Row],[Unidades]]*Tabla6MesRon[[#This Row],[Precio]])</f>
        <v>7650000</v>
      </c>
      <c r="T15" s="2" t="s">
        <v>7</v>
      </c>
      <c r="U15" s="7">
        <f>(Tabla6MesRon3[[#This Row],[Unidades]]/$V$5)</f>
        <v>0.67</v>
      </c>
      <c r="V15" s="3">
        <v>67</v>
      </c>
      <c r="W15" s="3">
        <v>540000</v>
      </c>
      <c r="X15" s="3">
        <f>(Tabla6MesRon3[[#This Row],[Unidades]]*Tabla6MesRon3[[#This Row],[Precio]])</f>
        <v>36180000</v>
      </c>
    </row>
    <row r="16" spans="2:24" x14ac:dyDescent="0.25">
      <c r="B16" s="2" t="s">
        <v>8</v>
      </c>
      <c r="C16" s="7">
        <f>Tabla4MesCerveza[[#This Row],[Unidades]]/$C$5</f>
        <v>0.42857142857142855</v>
      </c>
      <c r="D16" s="3">
        <v>60</v>
      </c>
      <c r="E16" s="3">
        <v>122000</v>
      </c>
      <c r="F16" s="3">
        <v>7320000</v>
      </c>
      <c r="H16" s="2" t="s">
        <v>8</v>
      </c>
      <c r="I16" s="7">
        <f>Tabla5MesAguardiente[[#This Row],[Unidades]]/$I$5</f>
        <v>0.32</v>
      </c>
      <c r="J16" s="3">
        <v>80</v>
      </c>
      <c r="K16" s="3">
        <v>70000</v>
      </c>
      <c r="L16" s="3">
        <f>(Tabla5MesAguardiente[[#This Row],[Unidades]]*Tabla5MesAguardiente[[#This Row],[Precio]])</f>
        <v>5600000</v>
      </c>
      <c r="N16" s="2" t="s">
        <v>8</v>
      </c>
      <c r="O16" s="7">
        <f>Tabla6MesRon[[#This Row],[Unidades]]/$O$5</f>
        <v>0.3</v>
      </c>
      <c r="P16" s="3">
        <v>60</v>
      </c>
      <c r="Q16" s="3">
        <v>85000</v>
      </c>
      <c r="R16" s="3">
        <f>(Tabla6MesRon[[#This Row],[Unidades]]*Tabla6MesRon[[#This Row],[Precio]])</f>
        <v>5100000</v>
      </c>
      <c r="T16" s="2" t="s">
        <v>8</v>
      </c>
      <c r="U16" s="7">
        <f>(Tabla6MesRon3[[#This Row],[Unidades]]/$V$5)</f>
        <v>0.49</v>
      </c>
      <c r="V16" s="3">
        <v>49</v>
      </c>
      <c r="W16" s="3">
        <v>540000</v>
      </c>
      <c r="X16" s="3">
        <f>(Tabla6MesRon3[[#This Row],[Unidades]]*Tabla6MesRon3[[#This Row],[Precio]])</f>
        <v>26460000</v>
      </c>
    </row>
    <row r="17" spans="2:24" x14ac:dyDescent="0.25">
      <c r="B17" s="2" t="s">
        <v>9</v>
      </c>
      <c r="C17" s="7">
        <f>Tabla4MesCerveza[[#This Row],[Unidades]]/$C$5</f>
        <v>0.2857142857142857</v>
      </c>
      <c r="D17" s="3">
        <v>40</v>
      </c>
      <c r="E17" s="3">
        <v>122000</v>
      </c>
      <c r="F17" s="3">
        <v>4880000</v>
      </c>
      <c r="H17" s="2" t="s">
        <v>9</v>
      </c>
      <c r="I17" s="7">
        <f>Tabla5MesAguardiente[[#This Row],[Unidades]]/$I$5</f>
        <v>0.28000000000000003</v>
      </c>
      <c r="J17" s="3">
        <v>70</v>
      </c>
      <c r="K17" s="3">
        <v>70000</v>
      </c>
      <c r="L17" s="3">
        <f>(Tabla5MesAguardiente[[#This Row],[Unidades]]*Tabla5MesAguardiente[[#This Row],[Precio]])</f>
        <v>4900000</v>
      </c>
      <c r="N17" s="2" t="s">
        <v>9</v>
      </c>
      <c r="O17" s="7">
        <f>Tabla6MesRon[[#This Row],[Unidades]]/$O$5</f>
        <v>0.2</v>
      </c>
      <c r="P17" s="3">
        <v>40</v>
      </c>
      <c r="Q17" s="3">
        <v>85000</v>
      </c>
      <c r="R17" s="3">
        <f>(Tabla6MesRon[[#This Row],[Unidades]]*Tabla6MesRon[[#This Row],[Precio]])</f>
        <v>3400000</v>
      </c>
      <c r="T17" s="2" t="s">
        <v>9</v>
      </c>
      <c r="U17" s="7">
        <f>(Tabla6MesRon3[[#This Row],[Unidades]]/$V$5)</f>
        <v>0.6</v>
      </c>
      <c r="V17" s="3">
        <v>60</v>
      </c>
      <c r="W17" s="3">
        <v>540000</v>
      </c>
      <c r="X17" s="3">
        <f>(Tabla6MesRon3[[#This Row],[Unidades]]*Tabla6MesRon3[[#This Row],[Precio]])</f>
        <v>32400000</v>
      </c>
    </row>
    <row r="18" spans="2:24" x14ac:dyDescent="0.25">
      <c r="B18" s="2" t="s">
        <v>10</v>
      </c>
      <c r="C18" s="7">
        <f>Tabla4MesCerveza[[#This Row],[Unidades]]/$C$5</f>
        <v>0.35714285714285715</v>
      </c>
      <c r="D18" s="3">
        <v>50</v>
      </c>
      <c r="E18" s="3">
        <v>122000</v>
      </c>
      <c r="F18" s="3">
        <v>6100000</v>
      </c>
      <c r="H18" s="2" t="s">
        <v>10</v>
      </c>
      <c r="I18" s="7">
        <f>Tabla5MesAguardiente[[#This Row],[Unidades]]/$I$5</f>
        <v>0.4</v>
      </c>
      <c r="J18" s="3">
        <v>100</v>
      </c>
      <c r="K18" s="3">
        <v>70000</v>
      </c>
      <c r="L18" s="3">
        <f>(Tabla5MesAguardiente[[#This Row],[Unidades]]*Tabla5MesAguardiente[[#This Row],[Precio]])</f>
        <v>7000000</v>
      </c>
      <c r="N18" s="2" t="s">
        <v>10</v>
      </c>
      <c r="O18" s="7">
        <f>Tabla6MesRon[[#This Row],[Unidades]]/$O$5</f>
        <v>0.25</v>
      </c>
      <c r="P18" s="3">
        <v>50</v>
      </c>
      <c r="Q18" s="3">
        <v>85000</v>
      </c>
      <c r="R18" s="3">
        <f>(Tabla6MesRon[[#This Row],[Unidades]]*Tabla6MesRon[[#This Row],[Precio]])</f>
        <v>4250000</v>
      </c>
      <c r="T18" s="2" t="s">
        <v>10</v>
      </c>
      <c r="U18" s="7">
        <f>(Tabla6MesRon3[[#This Row],[Unidades]]/$V$5)</f>
        <v>0.68</v>
      </c>
      <c r="V18" s="3">
        <v>68</v>
      </c>
      <c r="W18" s="3">
        <v>540000</v>
      </c>
      <c r="X18" s="3">
        <f>(Tabla6MesRon3[[#This Row],[Unidades]]*Tabla6MesRon3[[#This Row],[Precio]])</f>
        <v>36720000</v>
      </c>
    </row>
    <row r="19" spans="2:24" x14ac:dyDescent="0.25">
      <c r="B19" s="2" t="s">
        <v>11</v>
      </c>
      <c r="C19" s="7">
        <f>Tabla4MesCerveza[[#This Row],[Unidades]]/$C$5</f>
        <v>0.42857142857142855</v>
      </c>
      <c r="D19" s="3">
        <v>60</v>
      </c>
      <c r="E19" s="3">
        <v>122000</v>
      </c>
      <c r="F19" s="3">
        <v>7320000</v>
      </c>
      <c r="H19" s="2" t="s">
        <v>11</v>
      </c>
      <c r="I19" s="7">
        <f>Tabla5MesAguardiente[[#This Row],[Unidades]]/$I$5</f>
        <v>0.4</v>
      </c>
      <c r="J19" s="3">
        <v>100</v>
      </c>
      <c r="K19" s="3">
        <v>70000</v>
      </c>
      <c r="L19" s="3">
        <f>(Tabla5MesAguardiente[[#This Row],[Unidades]]*Tabla5MesAguardiente[[#This Row],[Precio]])</f>
        <v>7000000</v>
      </c>
      <c r="N19" s="2" t="s">
        <v>11</v>
      </c>
      <c r="O19" s="7">
        <f>Tabla6MesRon[[#This Row],[Unidades]]/$O$5</f>
        <v>0.3</v>
      </c>
      <c r="P19" s="3">
        <v>60</v>
      </c>
      <c r="Q19" s="3">
        <v>85000</v>
      </c>
      <c r="R19" s="3">
        <f>(Tabla6MesRon[[#This Row],[Unidades]]*Tabla6MesRon[[#This Row],[Precio]])</f>
        <v>5100000</v>
      </c>
      <c r="T19" s="2" t="s">
        <v>11</v>
      </c>
      <c r="U19" s="7">
        <f>(Tabla6MesRon3[[#This Row],[Unidades]]/$V$5)</f>
        <v>0.74</v>
      </c>
      <c r="V19" s="3">
        <v>74</v>
      </c>
      <c r="W19" s="3">
        <v>540000</v>
      </c>
      <c r="X19" s="3">
        <f>(Tabla6MesRon3[[#This Row],[Unidades]]*Tabla6MesRon3[[#This Row],[Precio]])</f>
        <v>39960000</v>
      </c>
    </row>
    <row r="20" spans="2:24" x14ac:dyDescent="0.25">
      <c r="B20" s="2" t="s">
        <v>12</v>
      </c>
      <c r="C20" s="7">
        <f>Tabla4MesCerveza[[#This Row],[Unidades]]/$C$5</f>
        <v>0.94285714285714284</v>
      </c>
      <c r="D20" s="3">
        <v>132</v>
      </c>
      <c r="E20" s="3">
        <v>122000</v>
      </c>
      <c r="F20" s="3">
        <v>11590000</v>
      </c>
      <c r="H20" s="2" t="s">
        <v>12</v>
      </c>
      <c r="I20" s="7">
        <f>Tabla5MesAguardiente[[#This Row],[Unidades]]/$I$5</f>
        <v>0.88</v>
      </c>
      <c r="J20" s="3">
        <v>220</v>
      </c>
      <c r="K20" s="3">
        <v>70000</v>
      </c>
      <c r="L20" s="3">
        <f>(Tabla5MesAguardiente[[#This Row],[Unidades]]*Tabla5MesAguardiente[[#This Row],[Precio]])</f>
        <v>15400000</v>
      </c>
      <c r="N20" s="2" t="s">
        <v>12</v>
      </c>
      <c r="O20" s="7">
        <f>Tabla6MesRon[[#This Row],[Unidades]]/$O$5</f>
        <v>0.47499999999999998</v>
      </c>
      <c r="P20" s="3">
        <v>95</v>
      </c>
      <c r="Q20" s="3">
        <v>85000</v>
      </c>
      <c r="R20" s="3">
        <f>(Tabla6MesRon[[#This Row],[Unidades]]*Tabla6MesRon[[#This Row],[Precio]])</f>
        <v>8075000</v>
      </c>
      <c r="T20" s="2" t="s">
        <v>12</v>
      </c>
      <c r="U20" s="7">
        <f>(Tabla6MesRon3[[#This Row],[Unidades]]/$V$5)</f>
        <v>0.87</v>
      </c>
      <c r="V20" s="3">
        <v>87</v>
      </c>
      <c r="W20" s="3">
        <v>540000</v>
      </c>
      <c r="X20" s="3">
        <f>(Tabla6MesRon3[[#This Row],[Unidades]]*Tabla6MesRon3[[#This Row],[Precio]])</f>
        <v>46980000</v>
      </c>
    </row>
    <row r="21" spans="2:24" x14ac:dyDescent="0.25">
      <c r="B21" s="2" t="s">
        <v>13</v>
      </c>
      <c r="C21" s="20"/>
      <c r="D21" s="4">
        <f>SUBTOTAL(109,Tabla4MesCerveza[Unidades])</f>
        <v>968</v>
      </c>
      <c r="E21" s="20"/>
      <c r="F21" s="4">
        <f>SUBTOTAL(109,Tabla4MesCerveza[Total])</f>
        <v>104920000</v>
      </c>
      <c r="H21" s="2" t="s">
        <v>13</v>
      </c>
      <c r="I21" s="20"/>
      <c r="J21" s="4">
        <f>SUBTOTAL(109,Tabla5MesAguardiente[Unidades])</f>
        <v>1835</v>
      </c>
      <c r="K21" s="20"/>
      <c r="L21" s="4">
        <f>SUBTOTAL(109,Tabla5MesAguardiente[Total])</f>
        <v>128450000</v>
      </c>
      <c r="N21" s="2" t="s">
        <v>13</v>
      </c>
      <c r="O21" s="20"/>
      <c r="P21" s="4">
        <f>SUBTOTAL(109,Tabla6MesRon[Unidades])</f>
        <v>860</v>
      </c>
      <c r="Q21" s="20"/>
      <c r="R21" s="4">
        <f>SUBTOTAL(109,Tabla6MesRon[Total])</f>
        <v>73100000</v>
      </c>
      <c r="T21" s="2" t="s">
        <v>13</v>
      </c>
      <c r="U21" s="20"/>
      <c r="V21" s="4">
        <f>SUBTOTAL(109,Tabla6MesRon3[Unidades])</f>
        <v>818</v>
      </c>
      <c r="W21" s="20"/>
      <c r="X21" s="4">
        <f>SUBTOTAL(109,Tabla6MesRon3[Total])</f>
        <v>441720000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29"/>
  <sheetViews>
    <sheetView showGridLines="0" topLeftCell="A7" workbookViewId="0">
      <selection activeCell="B2" sqref="B2:G2"/>
    </sheetView>
  </sheetViews>
  <sheetFormatPr baseColWidth="10" defaultRowHeight="15" x14ac:dyDescent="0.25"/>
  <cols>
    <col min="1" max="1" width="11.42578125" style="2"/>
    <col min="2" max="2" width="35.28515625" style="2" bestFit="1" customWidth="1"/>
    <col min="3" max="7" width="14.140625" style="3" bestFit="1" customWidth="1"/>
    <col min="8" max="16384" width="11.42578125" style="2"/>
  </cols>
  <sheetData>
    <row r="2" spans="2:7" x14ac:dyDescent="0.25">
      <c r="B2" s="123" t="s">
        <v>484</v>
      </c>
      <c r="C2" s="124"/>
      <c r="D2" s="124"/>
      <c r="E2" s="124"/>
      <c r="F2" s="124"/>
      <c r="G2" s="125"/>
    </row>
    <row r="3" spans="2:7" x14ac:dyDescent="0.25">
      <c r="B3" s="126" t="s">
        <v>103</v>
      </c>
      <c r="C3" s="127"/>
      <c r="D3" s="127"/>
      <c r="E3" s="127"/>
      <c r="F3" s="127"/>
      <c r="G3" s="128"/>
    </row>
    <row r="4" spans="2:7" x14ac:dyDescent="0.25">
      <c r="B4" s="43"/>
      <c r="C4" s="48" t="s">
        <v>37</v>
      </c>
      <c r="D4" s="48" t="s">
        <v>38</v>
      </c>
      <c r="E4" s="48" t="s">
        <v>39</v>
      </c>
      <c r="F4" s="48" t="s">
        <v>40</v>
      </c>
      <c r="G4" s="49" t="s">
        <v>41</v>
      </c>
    </row>
    <row r="5" spans="2:7" x14ac:dyDescent="0.25">
      <c r="B5" s="46" t="s">
        <v>104</v>
      </c>
      <c r="C5" s="50"/>
      <c r="D5" s="50"/>
      <c r="E5" s="50"/>
      <c r="F5" s="50"/>
      <c r="G5" s="51"/>
    </row>
    <row r="6" spans="2:7" x14ac:dyDescent="0.25">
      <c r="B6" s="43" t="s">
        <v>105</v>
      </c>
      <c r="C6" s="48">
        <f>Tabla7VentasAnual[Año 1]</f>
        <v>748190000</v>
      </c>
      <c r="D6" s="48">
        <f>Tabla7VentasAnual[Año 2]</f>
        <v>812983254</v>
      </c>
      <c r="E6" s="48">
        <f>Tabla7VentasAnual[Año 3]</f>
        <v>842738441.09640002</v>
      </c>
      <c r="F6" s="48">
        <f>Tabla7VentasAnual[Año 4]</f>
        <v>873582668.0405283</v>
      </c>
      <c r="G6" s="49">
        <f>Tabla7VentasAnual[Año 5]</f>
        <v>905555793.69081163</v>
      </c>
    </row>
    <row r="7" spans="2:7" x14ac:dyDescent="0.25">
      <c r="B7" s="43" t="s">
        <v>106</v>
      </c>
      <c r="C7" s="48">
        <f>C6</f>
        <v>748190000</v>
      </c>
      <c r="D7" s="48">
        <f t="shared" ref="D7:G7" si="0">D6</f>
        <v>812983254</v>
      </c>
      <c r="E7" s="48">
        <f t="shared" si="0"/>
        <v>842738441.09640002</v>
      </c>
      <c r="F7" s="48">
        <f t="shared" si="0"/>
        <v>873582668.0405283</v>
      </c>
      <c r="G7" s="49">
        <f t="shared" si="0"/>
        <v>905555793.69081163</v>
      </c>
    </row>
    <row r="8" spans="2:7" x14ac:dyDescent="0.25">
      <c r="B8" s="46" t="s">
        <v>107</v>
      </c>
      <c r="C8" s="50"/>
      <c r="D8" s="50"/>
      <c r="E8" s="50"/>
      <c r="F8" s="50"/>
      <c r="G8" s="51"/>
    </row>
    <row r="9" spans="2:7" x14ac:dyDescent="0.25">
      <c r="B9" s="43" t="s">
        <v>108</v>
      </c>
      <c r="C9" s="48">
        <f>(Compras!G50)+Maquinas!F152</f>
        <v>237003368</v>
      </c>
      <c r="D9" s="48">
        <f>(C9*VentasAños!E17)+ER!C9</f>
        <v>245677691.26879999</v>
      </c>
      <c r="E9" s="48">
        <f>(D9*VentasAños!F17)+ER!D9</f>
        <v>257961575.83223999</v>
      </c>
      <c r="F9" s="48">
        <f>(E9*VentasAños!G17)+ER!E9</f>
        <v>280301048.299312</v>
      </c>
      <c r="G9" s="48">
        <f>(F9*VentasAños!H17)+ER!F9</f>
        <v>280301048.299312</v>
      </c>
    </row>
    <row r="10" spans="2:7" x14ac:dyDescent="0.25">
      <c r="B10" s="43" t="s">
        <v>109</v>
      </c>
      <c r="C10" s="48">
        <f>C9</f>
        <v>237003368</v>
      </c>
      <c r="D10" s="48">
        <f t="shared" ref="D10:G10" si="1">D9</f>
        <v>245677691.26879999</v>
      </c>
      <c r="E10" s="48">
        <f t="shared" si="1"/>
        <v>257961575.83223999</v>
      </c>
      <c r="F10" s="48">
        <f t="shared" si="1"/>
        <v>280301048.299312</v>
      </c>
      <c r="G10" s="49">
        <f t="shared" si="1"/>
        <v>280301048.299312</v>
      </c>
    </row>
    <row r="11" spans="2:7" x14ac:dyDescent="0.25">
      <c r="B11" s="43" t="s">
        <v>110</v>
      </c>
      <c r="C11" s="48">
        <f>C7-C10</f>
        <v>511186632</v>
      </c>
      <c r="D11" s="48">
        <f>D7-D10</f>
        <v>567305562.73119998</v>
      </c>
      <c r="E11" s="48">
        <f>E7-E10</f>
        <v>584776865.26416004</v>
      </c>
      <c r="F11" s="48">
        <f>F7-F10</f>
        <v>593281619.7412163</v>
      </c>
      <c r="G11" s="49">
        <f>G7-G10</f>
        <v>625254745.39149964</v>
      </c>
    </row>
    <row r="12" spans="2:7" x14ac:dyDescent="0.25">
      <c r="B12" s="43" t="s">
        <v>111</v>
      </c>
      <c r="C12" s="52">
        <f>C11/C7</f>
        <v>0.68323104024378833</v>
      </c>
      <c r="D12" s="52">
        <f t="shared" ref="D12:G12" si="2">D11/D7</f>
        <v>0.69780719337079966</v>
      </c>
      <c r="E12" s="52">
        <f t="shared" si="2"/>
        <v>0.6939007843327607</v>
      </c>
      <c r="F12" s="52">
        <f t="shared" si="2"/>
        <v>0.67913620707696098</v>
      </c>
      <c r="G12" s="53">
        <f t="shared" si="2"/>
        <v>0.69046518143638913</v>
      </c>
    </row>
    <row r="13" spans="2:7" x14ac:dyDescent="0.25">
      <c r="B13" s="46" t="s">
        <v>112</v>
      </c>
      <c r="C13" s="50"/>
      <c r="D13" s="50"/>
      <c r="E13" s="50"/>
      <c r="F13" s="50"/>
      <c r="G13" s="51"/>
    </row>
    <row r="14" spans="2:7" x14ac:dyDescent="0.25">
      <c r="B14" s="43" t="s">
        <v>113</v>
      </c>
      <c r="C14" s="48">
        <f>(Nomina!L13)</f>
        <v>146893865.31215999</v>
      </c>
      <c r="D14" s="48">
        <f>(C14*3.66%)+C14</f>
        <v>152270180.78258505</v>
      </c>
      <c r="E14" s="48">
        <f t="shared" ref="E14:G14" si="3">(D14*3.66%)+D14</f>
        <v>157843269.39922768</v>
      </c>
      <c r="F14" s="48">
        <f t="shared" si="3"/>
        <v>163620333.05923942</v>
      </c>
      <c r="G14" s="48">
        <f t="shared" si="3"/>
        <v>169608837.24920759</v>
      </c>
    </row>
    <row r="15" spans="2:7" x14ac:dyDescent="0.25">
      <c r="B15" s="43" t="s">
        <v>468</v>
      </c>
      <c r="C15" s="48">
        <v>45342000</v>
      </c>
      <c r="D15" s="48">
        <v>46783875.600000001</v>
      </c>
      <c r="E15" s="48">
        <v>48561662.8728</v>
      </c>
      <c r="F15" s="48">
        <v>49343505.64505209</v>
      </c>
      <c r="G15" s="48">
        <v>52116610.662304014</v>
      </c>
    </row>
    <row r="16" spans="2:7" x14ac:dyDescent="0.25">
      <c r="B16" s="43" t="s">
        <v>114</v>
      </c>
      <c r="C16" s="48">
        <f>(Tabla13GastosAdm[[#Totals],[Año 1]])</f>
        <v>2400000</v>
      </c>
      <c r="D16" s="48">
        <f>(C16*3.66%)+C16</f>
        <v>2487840</v>
      </c>
      <c r="E16" s="48">
        <f t="shared" ref="E16:G16" si="4">(D16*3.66%)+D16</f>
        <v>2578894.9440000001</v>
      </c>
      <c r="F16" s="48">
        <f t="shared" si="4"/>
        <v>2673282.4989503999</v>
      </c>
      <c r="G16" s="48">
        <f t="shared" si="4"/>
        <v>2771124.6384119848</v>
      </c>
    </row>
    <row r="17" spans="2:9" x14ac:dyDescent="0.25">
      <c r="B17" s="43" t="s">
        <v>115</v>
      </c>
      <c r="C17" s="48">
        <f>Tabla14GastosVentas[[#Totals],[Año 1]]</f>
        <v>1500000</v>
      </c>
      <c r="D17" s="48">
        <f>Tabla14GastosVentas[[#Totals],[Año 2]]</f>
        <v>1547700</v>
      </c>
      <c r="E17" s="48">
        <f>Tabla14GastosVentas[[#Totals],[Año 3]]</f>
        <v>1606512.6</v>
      </c>
      <c r="F17" s="48">
        <f>Tabla14GastosVentas[[#Totals],[Año 4]]</f>
        <v>1632377.4528600001</v>
      </c>
      <c r="G17" s="49">
        <f>Tabla14GastosVentas[[#Totals],[Año 5]]</f>
        <v>1724117.065710732</v>
      </c>
    </row>
    <row r="18" spans="2:9" x14ac:dyDescent="0.25">
      <c r="B18" s="43" t="s">
        <v>277</v>
      </c>
      <c r="C18" s="48">
        <f>Tabla20Depre[[#Totals],[Depreciación
(Anual)]]</f>
        <v>21476350.636</v>
      </c>
      <c r="D18" s="48">
        <f>(C18*3.66%)+C18</f>
        <v>22262385.069277599</v>
      </c>
      <c r="E18" s="48">
        <f t="shared" ref="E18:G18" si="5">(D18*3.66%)+D18</f>
        <v>23077188.36281316</v>
      </c>
      <c r="F18" s="48">
        <f t="shared" si="5"/>
        <v>23921813.456892122</v>
      </c>
      <c r="G18" s="48">
        <f t="shared" si="5"/>
        <v>24797351.829414375</v>
      </c>
    </row>
    <row r="19" spans="2:9" x14ac:dyDescent="0.25">
      <c r="B19" s="46" t="s">
        <v>116</v>
      </c>
      <c r="C19" s="50">
        <f>C11-C14-C16-C17-C18</f>
        <v>338916416.05184001</v>
      </c>
      <c r="D19" s="50">
        <f t="shared" ref="D19:G19" si="6">D11-D14-D16-D17-D18</f>
        <v>388737456.87933737</v>
      </c>
      <c r="E19" s="50">
        <f t="shared" si="6"/>
        <v>399670999.95811915</v>
      </c>
      <c r="F19" s="50">
        <f t="shared" si="6"/>
        <v>401433813.27327436</v>
      </c>
      <c r="G19" s="51">
        <f t="shared" si="6"/>
        <v>426353314.60875493</v>
      </c>
    </row>
    <row r="20" spans="2:9" x14ac:dyDescent="0.25">
      <c r="B20" s="43" t="s">
        <v>117</v>
      </c>
      <c r="C20" s="48">
        <f>(Amorti!K23)</f>
        <v>42020075.527208418</v>
      </c>
      <c r="D20" s="48">
        <f>(Amorti!K35)</f>
        <v>33824829.539566159</v>
      </c>
      <c r="E20" s="48">
        <f>(Amorti!K47)</f>
        <v>25629583.551923919</v>
      </c>
      <c r="F20" s="48">
        <f>(Amorti!K58)</f>
        <v>17434337.564281695</v>
      </c>
      <c r="G20" s="49">
        <f>(Amorti!K70)</f>
        <v>9239091.5766394697</v>
      </c>
    </row>
    <row r="21" spans="2:9" x14ac:dyDescent="0.25">
      <c r="B21" s="43" t="s">
        <v>118</v>
      </c>
      <c r="C21" s="48">
        <f>C7*13.8/1000</f>
        <v>10325022</v>
      </c>
      <c r="D21" s="48">
        <f t="shared" ref="D21:G21" si="7">D7*4/1000</f>
        <v>3251933.0159999998</v>
      </c>
      <c r="E21" s="48">
        <f t="shared" si="7"/>
        <v>3370953.7643856001</v>
      </c>
      <c r="F21" s="48">
        <f t="shared" si="7"/>
        <v>3494330.6721621132</v>
      </c>
      <c r="G21" s="49">
        <f t="shared" si="7"/>
        <v>3622223.1747632464</v>
      </c>
    </row>
    <row r="22" spans="2:9" x14ac:dyDescent="0.25">
      <c r="B22" s="43" t="s">
        <v>119</v>
      </c>
      <c r="C22" s="48">
        <f>(C19*35%)</f>
        <v>118620745.61814399</v>
      </c>
      <c r="D22" s="48">
        <f t="shared" ref="D22:G22" si="8">(D19*35%)</f>
        <v>136058109.90776807</v>
      </c>
      <c r="E22" s="48">
        <f t="shared" si="8"/>
        <v>139884849.9853417</v>
      </c>
      <c r="F22" s="48">
        <f t="shared" si="8"/>
        <v>140501834.64564601</v>
      </c>
      <c r="G22" s="48">
        <f t="shared" si="8"/>
        <v>149223660.11306423</v>
      </c>
    </row>
    <row r="23" spans="2:9" x14ac:dyDescent="0.25">
      <c r="B23" s="43" t="s">
        <v>265</v>
      </c>
      <c r="C23" s="48">
        <v>120000</v>
      </c>
      <c r="D23" s="48">
        <f>(C23*3.66%)+C23</f>
        <v>124392</v>
      </c>
      <c r="E23" s="48">
        <f t="shared" ref="E23:G23" si="9">(D23*3.66%)+D23</f>
        <v>128944.7472</v>
      </c>
      <c r="F23" s="48">
        <f t="shared" si="9"/>
        <v>133664.12494752</v>
      </c>
      <c r="G23" s="48">
        <f t="shared" si="9"/>
        <v>138556.23192059924</v>
      </c>
    </row>
    <row r="24" spans="2:9" x14ac:dyDescent="0.25">
      <c r="B24" s="47" t="s">
        <v>120</v>
      </c>
      <c r="C24" s="54">
        <f>C19-C20-C21-C22-C23</f>
        <v>167830572.90648764</v>
      </c>
      <c r="D24" s="54">
        <f>D19-D20-D21-D22-D23</f>
        <v>215478192.41600317</v>
      </c>
      <c r="E24" s="54">
        <f t="shared" ref="E24" si="10">E19-E20-E21-E22-E23</f>
        <v>230656667.90926793</v>
      </c>
      <c r="F24" s="54">
        <f>F19-F20-F21-F22-F23</f>
        <v>239869646.26623702</v>
      </c>
      <c r="G24" s="55">
        <f>G19-G20-G21-G22-G23</f>
        <v>264129783.51236737</v>
      </c>
      <c r="H24" s="4"/>
      <c r="I24" s="4"/>
    </row>
    <row r="25" spans="2:9" x14ac:dyDescent="0.25">
      <c r="H25" s="3"/>
    </row>
    <row r="29" spans="2:9" x14ac:dyDescent="0.25">
      <c r="B29" s="42"/>
      <c r="C29" s="11" t="s">
        <v>121</v>
      </c>
      <c r="F29" s="11" t="s">
        <v>25</v>
      </c>
    </row>
  </sheetData>
  <mergeCells count="2">
    <mergeCell ref="B2:G2"/>
    <mergeCell ref="B3:G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D27"/>
  <sheetViews>
    <sheetView showGridLines="0" topLeftCell="A4" workbookViewId="0">
      <selection activeCell="D9" sqref="D9"/>
    </sheetView>
  </sheetViews>
  <sheetFormatPr baseColWidth="10" defaultRowHeight="15" x14ac:dyDescent="0.25"/>
  <cols>
    <col min="1" max="1" width="11.42578125" style="2"/>
    <col min="2" max="2" width="42.28515625" style="2" bestFit="1" customWidth="1"/>
    <col min="3" max="3" width="11.42578125" style="2"/>
    <col min="4" max="4" width="12.5703125" style="56" bestFit="1" customWidth="1"/>
    <col min="5" max="16384" width="11.42578125" style="2"/>
  </cols>
  <sheetData>
    <row r="2" spans="2:4" x14ac:dyDescent="0.25">
      <c r="B2" s="123" t="s">
        <v>484</v>
      </c>
      <c r="C2" s="124"/>
      <c r="D2" s="125"/>
    </row>
    <row r="3" spans="2:4" x14ac:dyDescent="0.25">
      <c r="B3" s="126" t="s">
        <v>278</v>
      </c>
      <c r="C3" s="127"/>
      <c r="D3" s="128"/>
    </row>
    <row r="4" spans="2:4" x14ac:dyDescent="0.25">
      <c r="B4" s="46" t="s">
        <v>122</v>
      </c>
      <c r="C4" s="58"/>
      <c r="D4" s="51" t="s">
        <v>37</v>
      </c>
    </row>
    <row r="5" spans="2:4" x14ac:dyDescent="0.25">
      <c r="B5" s="43" t="s">
        <v>123</v>
      </c>
      <c r="C5" s="42"/>
      <c r="D5" s="49">
        <v>0</v>
      </c>
    </row>
    <row r="6" spans="2:4" x14ac:dyDescent="0.25">
      <c r="B6" s="43" t="s">
        <v>124</v>
      </c>
      <c r="C6" s="42"/>
      <c r="D6" s="49">
        <v>2000000</v>
      </c>
    </row>
    <row r="7" spans="2:4" x14ac:dyDescent="0.25">
      <c r="B7" s="43" t="s">
        <v>125</v>
      </c>
      <c r="C7" s="42"/>
      <c r="D7" s="49">
        <v>0</v>
      </c>
    </row>
    <row r="8" spans="2:4" x14ac:dyDescent="0.25">
      <c r="B8" s="43" t="s">
        <v>126</v>
      </c>
      <c r="C8" s="42"/>
      <c r="D8" s="49">
        <f>(Compras!N22)</f>
        <v>242516000</v>
      </c>
    </row>
    <row r="9" spans="2:4" x14ac:dyDescent="0.25">
      <c r="B9" s="109" t="s">
        <v>127</v>
      </c>
      <c r="C9" s="110"/>
      <c r="D9" s="111"/>
    </row>
    <row r="10" spans="2:4" x14ac:dyDescent="0.25">
      <c r="B10" s="43" t="s">
        <v>92</v>
      </c>
      <c r="C10" s="42"/>
      <c r="D10" s="49">
        <f>(Depre!C7)</f>
        <v>9313313</v>
      </c>
    </row>
    <row r="11" spans="2:4" x14ac:dyDescent="0.25">
      <c r="B11" s="43" t="s">
        <v>128</v>
      </c>
      <c r="C11" s="42"/>
      <c r="D11" s="49">
        <f>(Depre!C6)</f>
        <v>212672371</v>
      </c>
    </row>
    <row r="12" spans="2:4" x14ac:dyDescent="0.25">
      <c r="B12" s="43" t="s">
        <v>129</v>
      </c>
      <c r="C12" s="42"/>
      <c r="D12" s="49">
        <f>(Depre!C8)</f>
        <v>10788084</v>
      </c>
    </row>
    <row r="13" spans="2:4" x14ac:dyDescent="0.25">
      <c r="B13" s="43" t="s">
        <v>130</v>
      </c>
      <c r="C13" s="42"/>
      <c r="D13" s="49">
        <f>SUM(D5:D12)</f>
        <v>477289768</v>
      </c>
    </row>
    <row r="14" spans="2:4" x14ac:dyDescent="0.25">
      <c r="B14" s="46" t="s">
        <v>131</v>
      </c>
      <c r="C14" s="58"/>
      <c r="D14" s="51"/>
    </row>
    <row r="15" spans="2:4" x14ac:dyDescent="0.25">
      <c r="B15" s="43" t="s">
        <v>132</v>
      </c>
      <c r="C15" s="42"/>
      <c r="D15" s="49">
        <f>Amorti!C5</f>
        <v>119394609.37707201</v>
      </c>
    </row>
    <row r="16" spans="2:4" x14ac:dyDescent="0.25">
      <c r="B16" s="43" t="s">
        <v>133</v>
      </c>
      <c r="C16" s="42"/>
      <c r="D16" s="49">
        <v>0</v>
      </c>
    </row>
    <row r="17" spans="2:4" x14ac:dyDescent="0.25">
      <c r="B17" s="43" t="s">
        <v>134</v>
      </c>
      <c r="C17" s="42"/>
      <c r="D17" s="49">
        <f>SUM(D15:D16)</f>
        <v>119394609.37707201</v>
      </c>
    </row>
    <row r="18" spans="2:4" x14ac:dyDescent="0.25">
      <c r="B18" s="46" t="s">
        <v>135</v>
      </c>
      <c r="C18" s="58"/>
      <c r="D18" s="51"/>
    </row>
    <row r="19" spans="2:4" x14ac:dyDescent="0.25">
      <c r="B19" s="43" t="s">
        <v>136</v>
      </c>
      <c r="C19" s="42"/>
      <c r="D19" s="49">
        <f>D13-D17</f>
        <v>357895158.62292802</v>
      </c>
    </row>
    <row r="20" spans="2:4" x14ac:dyDescent="0.25">
      <c r="B20" s="43" t="s">
        <v>137</v>
      </c>
      <c r="C20" s="42"/>
      <c r="D20" s="49">
        <f>D19</f>
        <v>357895158.62292802</v>
      </c>
    </row>
    <row r="21" spans="2:4" x14ac:dyDescent="0.25">
      <c r="B21" s="43"/>
      <c r="C21" s="42"/>
      <c r="D21" s="49"/>
    </row>
    <row r="22" spans="2:4" x14ac:dyDescent="0.25">
      <c r="B22" s="44" t="s">
        <v>262</v>
      </c>
      <c r="C22" s="45"/>
      <c r="D22" s="59">
        <f>D17+D20</f>
        <v>477289768</v>
      </c>
    </row>
    <row r="27" spans="2:4" x14ac:dyDescent="0.25">
      <c r="B27" s="40" t="s">
        <v>121</v>
      </c>
      <c r="D27" s="11" t="s">
        <v>25</v>
      </c>
    </row>
  </sheetData>
  <mergeCells count="2">
    <mergeCell ref="B2:D2"/>
    <mergeCell ref="B3:D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H40"/>
  <sheetViews>
    <sheetView showGridLines="0" workbookViewId="0">
      <selection activeCell="I40" sqref="I40"/>
    </sheetView>
  </sheetViews>
  <sheetFormatPr baseColWidth="10" defaultRowHeight="15" x14ac:dyDescent="0.25"/>
  <cols>
    <col min="1" max="1" width="11.42578125" style="2"/>
    <col min="2" max="2" width="34.42578125" style="2" bestFit="1" customWidth="1"/>
    <col min="3" max="3" width="16.42578125" style="56" bestFit="1" customWidth="1"/>
    <col min="4" max="5" width="14.140625" style="56" bestFit="1" customWidth="1"/>
    <col min="6" max="7" width="14.140625" style="56" customWidth="1"/>
    <col min="8" max="8" width="14.140625" style="56" bestFit="1" customWidth="1"/>
    <col min="9" max="16384" width="11.42578125" style="2"/>
  </cols>
  <sheetData>
    <row r="2" spans="2:8" x14ac:dyDescent="0.25">
      <c r="B2" s="123" t="s">
        <v>484</v>
      </c>
      <c r="C2" s="124"/>
      <c r="D2" s="124"/>
      <c r="E2" s="124"/>
      <c r="F2" s="124"/>
      <c r="G2" s="124"/>
      <c r="H2" s="125"/>
    </row>
    <row r="3" spans="2:8" x14ac:dyDescent="0.25">
      <c r="B3" s="126" t="s">
        <v>138</v>
      </c>
      <c r="C3" s="127"/>
      <c r="D3" s="127"/>
      <c r="E3" s="127"/>
      <c r="F3" s="127"/>
      <c r="G3" s="127"/>
      <c r="H3" s="128"/>
    </row>
    <row r="4" spans="2:8" x14ac:dyDescent="0.25">
      <c r="B4" s="43"/>
      <c r="C4" s="48" t="s">
        <v>239</v>
      </c>
      <c r="D4" s="48" t="s">
        <v>37</v>
      </c>
      <c r="E4" s="48" t="s">
        <v>38</v>
      </c>
      <c r="F4" s="48" t="s">
        <v>39</v>
      </c>
      <c r="G4" s="48" t="s">
        <v>40</v>
      </c>
      <c r="H4" s="49" t="s">
        <v>41</v>
      </c>
    </row>
    <row r="5" spans="2:8" x14ac:dyDescent="0.25">
      <c r="B5" s="46" t="s">
        <v>139</v>
      </c>
      <c r="C5" s="50"/>
      <c r="D5" s="50"/>
      <c r="E5" s="50"/>
      <c r="F5" s="50"/>
      <c r="G5" s="50"/>
      <c r="H5" s="51"/>
    </row>
    <row r="6" spans="2:8" x14ac:dyDescent="0.25">
      <c r="B6" s="43" t="s">
        <v>140</v>
      </c>
      <c r="C6" s="48"/>
      <c r="D6" s="48">
        <f>ER!C6</f>
        <v>748190000</v>
      </c>
      <c r="E6" s="48">
        <f>ER!D6</f>
        <v>812983254</v>
      </c>
      <c r="F6" s="48">
        <f>ER!E6</f>
        <v>842738441.09640002</v>
      </c>
      <c r="G6" s="48">
        <f>ER!F6</f>
        <v>873582668.0405283</v>
      </c>
      <c r="H6" s="49">
        <f>ER!G6</f>
        <v>905555793.69081163</v>
      </c>
    </row>
    <row r="7" spans="2:8" x14ac:dyDescent="0.25">
      <c r="B7" s="43" t="s">
        <v>279</v>
      </c>
      <c r="C7" s="48"/>
      <c r="D7" s="48"/>
      <c r="E7" s="48"/>
      <c r="F7" s="48"/>
      <c r="G7" s="48"/>
      <c r="H7" s="49"/>
    </row>
    <row r="8" spans="2:8" x14ac:dyDescent="0.25">
      <c r="B8" s="43" t="s">
        <v>141</v>
      </c>
      <c r="C8" s="48"/>
      <c r="D8" s="48">
        <f>ESF!D6</f>
        <v>2000000</v>
      </c>
      <c r="E8" s="48">
        <f>D8*3.66%+D8</f>
        <v>2073200</v>
      </c>
      <c r="F8" s="48">
        <f t="shared" ref="F8:H8" si="0">E8*3.66%+E8</f>
        <v>2149079.12</v>
      </c>
      <c r="G8" s="48">
        <f t="shared" si="0"/>
        <v>2227735.415792</v>
      </c>
      <c r="H8" s="48">
        <f t="shared" si="0"/>
        <v>2309270.5320099872</v>
      </c>
    </row>
    <row r="9" spans="2:8" x14ac:dyDescent="0.25">
      <c r="B9" s="43" t="s">
        <v>280</v>
      </c>
      <c r="C9" s="48">
        <f>Amorti!C5</f>
        <v>119394609.37707201</v>
      </c>
      <c r="D9" s="48"/>
      <c r="E9" s="48"/>
      <c r="F9" s="48"/>
      <c r="G9" s="48"/>
      <c r="H9" s="49"/>
    </row>
    <row r="10" spans="2:8" x14ac:dyDescent="0.25">
      <c r="B10" s="43" t="s">
        <v>142</v>
      </c>
      <c r="C10" s="48">
        <f>Tabla21Capital[[#Totals],[Total]]-Tabla21Capital[[#This Row],[Total]]</f>
        <v>179091914.06560799</v>
      </c>
      <c r="D10" s="48"/>
      <c r="E10" s="48"/>
      <c r="F10" s="48"/>
      <c r="G10" s="48"/>
      <c r="H10" s="49"/>
    </row>
    <row r="11" spans="2:8" x14ac:dyDescent="0.25">
      <c r="B11" s="41" t="s">
        <v>143</v>
      </c>
      <c r="C11" s="60">
        <f>SUM(C6:C10)</f>
        <v>298486523.44268</v>
      </c>
      <c r="D11" s="60">
        <f t="shared" ref="D11:H11" si="1">SUM(D6:D10)</f>
        <v>750190000</v>
      </c>
      <c r="E11" s="60">
        <f t="shared" si="1"/>
        <v>815056454</v>
      </c>
      <c r="F11" s="60">
        <f t="shared" si="1"/>
        <v>844887520.21640003</v>
      </c>
      <c r="G11" s="60">
        <f t="shared" si="1"/>
        <v>875810403.45632029</v>
      </c>
      <c r="H11" s="61">
        <f t="shared" si="1"/>
        <v>907865064.22282159</v>
      </c>
    </row>
    <row r="12" spans="2:8" x14ac:dyDescent="0.25">
      <c r="B12" s="46" t="s">
        <v>144</v>
      </c>
      <c r="C12" s="50"/>
      <c r="D12" s="50"/>
      <c r="E12" s="50"/>
      <c r="F12" s="50"/>
      <c r="G12" s="50"/>
      <c r="H12" s="51"/>
    </row>
    <row r="13" spans="2:8" x14ac:dyDescent="0.25">
      <c r="B13" s="43" t="s">
        <v>281</v>
      </c>
      <c r="C13" s="48"/>
      <c r="D13" s="48">
        <f>ER!C9</f>
        <v>237003368</v>
      </c>
      <c r="E13" s="48">
        <f>ER!D9</f>
        <v>245677691.26879999</v>
      </c>
      <c r="F13" s="48">
        <f>ER!E9</f>
        <v>257961575.83223999</v>
      </c>
      <c r="G13" s="48">
        <f>ER!F9</f>
        <v>280301048.299312</v>
      </c>
      <c r="H13" s="49">
        <f>ER!G9</f>
        <v>280301048.299312</v>
      </c>
    </row>
    <row r="14" spans="2:8" x14ac:dyDescent="0.25">
      <c r="B14" s="43" t="s">
        <v>282</v>
      </c>
      <c r="C14" s="48"/>
      <c r="D14" s="48"/>
      <c r="E14" s="48"/>
      <c r="F14" s="48"/>
      <c r="G14" s="48"/>
      <c r="H14" s="49"/>
    </row>
    <row r="15" spans="2:8" x14ac:dyDescent="0.25">
      <c r="B15" s="43" t="s">
        <v>145</v>
      </c>
      <c r="C15" s="48"/>
      <c r="D15" s="48">
        <f>Tabla15GastosOpera[[#Totals],[Año 1]]</f>
        <v>45342000</v>
      </c>
      <c r="E15" s="48">
        <f>Tabla15GastosOpera[[#Totals],[Año 2]]</f>
        <v>46783875.600000001</v>
      </c>
      <c r="F15" s="48">
        <f>Tabla15GastosOpera[[#Totals],[Año 3]]</f>
        <v>48561662.8728</v>
      </c>
      <c r="G15" s="48">
        <f>Tabla15GastosOpera[[#Totals],[Año 4]]</f>
        <v>49343505.64505209</v>
      </c>
      <c r="H15" s="49">
        <f>Tabla15GastosOpera[[#Totals],[Año 5]]</f>
        <v>52116610.662304014</v>
      </c>
    </row>
    <row r="16" spans="2:8" x14ac:dyDescent="0.25">
      <c r="B16" s="43" t="s">
        <v>146</v>
      </c>
      <c r="C16" s="48"/>
      <c r="D16" s="48">
        <f>Tabla13GastosAdm[[#Totals],[Año 1]]+Tabla14GastosVentas[[#Totals],[Año 1]]</f>
        <v>3900000</v>
      </c>
      <c r="E16" s="48">
        <f>Tabla13GastosAdm[[#Totals],[Año 2]]+Tabla14GastosVentas[[#Totals],[Año 2]]</f>
        <v>4045860</v>
      </c>
      <c r="F16" s="48">
        <f>Tabla13GastosAdm[[#Totals],[Año 3]]+Tabla14GastosVentas[[#Totals],[Año 3]]</f>
        <v>4184114.088</v>
      </c>
      <c r="G16" s="48">
        <f>Tabla13GastosAdm[[#Totals],[Año 4]]+Tabla14GastosVentas[[#Totals],[Año 4]]</f>
        <v>4307927.7974040005</v>
      </c>
      <c r="H16" s="49">
        <f>Tabla13GastosAdm[[#Totals],[Año 5]]+Tabla14GastosVentas[[#Totals],[Año 5]]</f>
        <v>4442743.7708018906</v>
      </c>
    </row>
    <row r="17" spans="2:8" x14ac:dyDescent="0.25">
      <c r="B17" s="43" t="s">
        <v>147</v>
      </c>
      <c r="C17" s="48"/>
      <c r="D17" s="48">
        <v>146893865.31215999</v>
      </c>
      <c r="E17" s="48">
        <v>152270180.78258505</v>
      </c>
      <c r="F17" s="48">
        <v>157843269.39922768</v>
      </c>
      <c r="G17" s="48">
        <v>163620333.05923942</v>
      </c>
      <c r="H17" s="49">
        <v>169608837.24920759</v>
      </c>
    </row>
    <row r="18" spans="2:8" x14ac:dyDescent="0.25">
      <c r="B18" s="43" t="s">
        <v>148</v>
      </c>
      <c r="C18" s="48"/>
      <c r="D18" s="48"/>
      <c r="E18" s="48"/>
      <c r="F18" s="48"/>
      <c r="G18" s="48"/>
      <c r="H18" s="49"/>
    </row>
    <row r="19" spans="2:8" x14ac:dyDescent="0.25">
      <c r="B19" s="43" t="s">
        <v>266</v>
      </c>
      <c r="C19" s="48">
        <v>2000000</v>
      </c>
      <c r="D19" s="48"/>
      <c r="E19" s="48"/>
      <c r="F19" s="48"/>
      <c r="G19" s="48"/>
      <c r="H19" s="49"/>
    </row>
    <row r="20" spans="2:8" x14ac:dyDescent="0.25">
      <c r="B20" s="43" t="s">
        <v>149</v>
      </c>
      <c r="C20" s="48"/>
      <c r="D20" s="48">
        <v>42020075.527208418</v>
      </c>
      <c r="E20" s="48">
        <v>33824829.539566159</v>
      </c>
      <c r="F20" s="48">
        <v>25629583.551923919</v>
      </c>
      <c r="G20" s="48">
        <v>17434337.564281695</v>
      </c>
      <c r="H20" s="49">
        <v>9239091.5766394697</v>
      </c>
    </row>
    <row r="21" spans="2:8" x14ac:dyDescent="0.25">
      <c r="B21" s="43" t="s">
        <v>283</v>
      </c>
      <c r="C21" s="48"/>
      <c r="D21" s="48">
        <f>Amorti!H22</f>
        <v>23878921.875414401</v>
      </c>
      <c r="E21" s="48">
        <f>D21</f>
        <v>23878921.875414401</v>
      </c>
      <c r="F21" s="48">
        <f t="shared" ref="F21:H21" si="2">E21</f>
        <v>23878921.875414401</v>
      </c>
      <c r="G21" s="48">
        <f t="shared" si="2"/>
        <v>23878921.875414401</v>
      </c>
      <c r="H21" s="48">
        <f t="shared" si="2"/>
        <v>23878921.875414401</v>
      </c>
    </row>
    <row r="22" spans="2:8" x14ac:dyDescent="0.25">
      <c r="B22" s="43" t="s">
        <v>470</v>
      </c>
      <c r="C22" s="48"/>
      <c r="D22" s="48">
        <f>ER!C21+ER!C22</f>
        <v>128945767.61814399</v>
      </c>
      <c r="E22" s="48">
        <f>ER!D21+ER!D22</f>
        <v>139310042.92376807</v>
      </c>
      <c r="F22" s="48">
        <f>ER!E21+ER!E22</f>
        <v>143255803.74972731</v>
      </c>
      <c r="G22" s="48">
        <f>ER!F21+ER!F22</f>
        <v>143996165.31780812</v>
      </c>
      <c r="H22" s="49">
        <f>ER!G21+ER!G22</f>
        <v>152845883.28782746</v>
      </c>
    </row>
    <row r="23" spans="2:8" x14ac:dyDescent="0.25">
      <c r="B23" s="43" t="s">
        <v>150</v>
      </c>
      <c r="C23" s="48"/>
      <c r="D23" s="48">
        <f>ER!C18</f>
        <v>21476350.636</v>
      </c>
      <c r="E23" s="48">
        <f>ER!D18</f>
        <v>22262385.069277599</v>
      </c>
      <c r="F23" s="48">
        <f>ER!E18</f>
        <v>23077188.36281316</v>
      </c>
      <c r="G23" s="48">
        <f>ER!F18</f>
        <v>23921813.456892122</v>
      </c>
      <c r="H23" s="49">
        <f>ER!G18</f>
        <v>24797351.829414375</v>
      </c>
    </row>
    <row r="24" spans="2:8" x14ac:dyDescent="0.25">
      <c r="B24" s="41" t="s">
        <v>151</v>
      </c>
      <c r="C24" s="60">
        <f>SUM(C13:C23)</f>
        <v>2000000</v>
      </c>
      <c r="D24" s="60">
        <f t="shared" ref="D24:H24" si="3">SUM(D13:D23)</f>
        <v>649460348.96892691</v>
      </c>
      <c r="E24" s="60">
        <f t="shared" si="3"/>
        <v>668053787.05941129</v>
      </c>
      <c r="F24" s="60">
        <f t="shared" si="3"/>
        <v>684392119.73214638</v>
      </c>
      <c r="G24" s="60">
        <f t="shared" si="3"/>
        <v>706804053.01540387</v>
      </c>
      <c r="H24" s="61">
        <f t="shared" si="3"/>
        <v>717230488.55092132</v>
      </c>
    </row>
    <row r="25" spans="2:8" x14ac:dyDescent="0.25">
      <c r="B25" s="47" t="s">
        <v>152</v>
      </c>
      <c r="C25" s="54">
        <f>C11-C24</f>
        <v>296486523.44268</v>
      </c>
      <c r="D25" s="54">
        <f>D11-D24</f>
        <v>100729651.03107309</v>
      </c>
      <c r="E25" s="54">
        <f t="shared" ref="E25:H25" si="4">E11-E24</f>
        <v>147002666.94058871</v>
      </c>
      <c r="F25" s="54">
        <f t="shared" si="4"/>
        <v>160495400.48425364</v>
      </c>
      <c r="G25" s="54">
        <f t="shared" si="4"/>
        <v>169006350.44091642</v>
      </c>
      <c r="H25" s="55">
        <f t="shared" si="4"/>
        <v>190634575.67190027</v>
      </c>
    </row>
    <row r="27" spans="2:8" x14ac:dyDescent="0.25">
      <c r="B27" s="2" t="s">
        <v>259</v>
      </c>
      <c r="C27" s="56">
        <f>C11</f>
        <v>298486523.44268</v>
      </c>
    </row>
    <row r="28" spans="2:8" x14ac:dyDescent="0.25">
      <c r="B28" s="2" t="s">
        <v>284</v>
      </c>
      <c r="C28" s="62">
        <v>0.12</v>
      </c>
    </row>
    <row r="29" spans="2:8" x14ac:dyDescent="0.25">
      <c r="B29" s="2" t="s">
        <v>254</v>
      </c>
      <c r="C29" s="62"/>
      <c r="D29" s="56">
        <f>D6</f>
        <v>748190000</v>
      </c>
      <c r="E29" s="56">
        <f t="shared" ref="E29:H29" si="5">E6</f>
        <v>812983254</v>
      </c>
      <c r="F29" s="56">
        <f t="shared" si="5"/>
        <v>842738441.09640002</v>
      </c>
      <c r="G29" s="56">
        <f t="shared" si="5"/>
        <v>873582668.0405283</v>
      </c>
      <c r="H29" s="56">
        <f t="shared" si="5"/>
        <v>905555793.69081163</v>
      </c>
    </row>
    <row r="30" spans="2:8" x14ac:dyDescent="0.25">
      <c r="B30" s="2" t="s">
        <v>255</v>
      </c>
      <c r="C30" s="62"/>
      <c r="D30" s="56">
        <f>D24</f>
        <v>649460348.96892691</v>
      </c>
      <c r="E30" s="56">
        <f t="shared" ref="E30:H30" si="6">E24</f>
        <v>668053787.05941129</v>
      </c>
      <c r="F30" s="56">
        <f t="shared" si="6"/>
        <v>684392119.73214638</v>
      </c>
      <c r="G30" s="56">
        <f t="shared" si="6"/>
        <v>706804053.01540387</v>
      </c>
      <c r="H30" s="56">
        <f t="shared" si="6"/>
        <v>717230488.55092132</v>
      </c>
    </row>
    <row r="31" spans="2:8" x14ac:dyDescent="0.25">
      <c r="B31" s="2" t="s">
        <v>240</v>
      </c>
      <c r="C31" s="56">
        <f>-C11</f>
        <v>-298486523.44268</v>
      </c>
      <c r="D31" s="56">
        <f>D25</f>
        <v>100729651.03107309</v>
      </c>
      <c r="E31" s="56">
        <f t="shared" ref="E31:H31" si="7">E25</f>
        <v>147002666.94058871</v>
      </c>
      <c r="F31" s="56">
        <f t="shared" si="7"/>
        <v>160495400.48425364</v>
      </c>
      <c r="G31" s="56">
        <f t="shared" si="7"/>
        <v>169006350.44091642</v>
      </c>
      <c r="H31" s="56">
        <f t="shared" si="7"/>
        <v>190634575.67190027</v>
      </c>
    </row>
    <row r="32" spans="2:8" x14ac:dyDescent="0.25">
      <c r="B32" s="2" t="s">
        <v>261</v>
      </c>
      <c r="D32" s="56">
        <f>D31</f>
        <v>100729651.03107309</v>
      </c>
      <c r="E32" s="56">
        <f>D32+E31</f>
        <v>247732317.97166181</v>
      </c>
      <c r="F32" s="56">
        <f t="shared" ref="F32:H32" si="8">E32+F31</f>
        <v>408227718.45591545</v>
      </c>
      <c r="G32" s="56">
        <f t="shared" si="8"/>
        <v>577234068.89683187</v>
      </c>
      <c r="H32" s="56">
        <f t="shared" si="8"/>
        <v>767868644.56873214</v>
      </c>
    </row>
    <row r="33" spans="2:8" x14ac:dyDescent="0.25">
      <c r="B33" s="2" t="s">
        <v>257</v>
      </c>
      <c r="C33" s="72">
        <f>NPV(C28,D29:H29)</f>
        <v>2984990890.0126948</v>
      </c>
    </row>
    <row r="34" spans="2:8" x14ac:dyDescent="0.25">
      <c r="B34" s="2" t="s">
        <v>258</v>
      </c>
      <c r="C34" s="72">
        <f>NPV(C28,D30:H30)</f>
        <v>2455743087.6074872</v>
      </c>
    </row>
    <row r="35" spans="2:8" x14ac:dyDescent="0.25">
      <c r="B35" s="2" t="s">
        <v>256</v>
      </c>
      <c r="C35" s="72">
        <f>C34+C27</f>
        <v>2754229611.0501671</v>
      </c>
    </row>
    <row r="37" spans="2:8" x14ac:dyDescent="0.25">
      <c r="G37" s="73" t="s">
        <v>241</v>
      </c>
      <c r="H37" s="74">
        <f>NPV(C28,D31:H31)+C31</f>
        <v>238455515.91140509</v>
      </c>
    </row>
    <row r="38" spans="2:8" x14ac:dyDescent="0.25">
      <c r="G38" s="60" t="s">
        <v>242</v>
      </c>
      <c r="H38" s="75">
        <f>IRR(C31:H31)</f>
        <v>0.37557316149817388</v>
      </c>
    </row>
    <row r="39" spans="2:8" x14ac:dyDescent="0.25">
      <c r="G39" s="60" t="s">
        <v>252</v>
      </c>
      <c r="H39" s="76">
        <f>C33/C35</f>
        <v>1.0837843286691484</v>
      </c>
    </row>
    <row r="40" spans="2:8" x14ac:dyDescent="0.25">
      <c r="G40" s="60" t="s">
        <v>253</v>
      </c>
      <c r="H40" s="76">
        <f>4+((C27-F32)/G31)</f>
        <v>3.3506682161532133</v>
      </c>
    </row>
  </sheetData>
  <mergeCells count="2">
    <mergeCell ref="B3:H3"/>
    <mergeCell ref="B2:H2"/>
  </mergeCells>
  <pageMargins left="0.7" right="0.7" top="0.75" bottom="0.75" header="0.3" footer="0.3"/>
  <pageSetup orientation="portrait" horizontalDpi="0" verticalDpi="0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F25"/>
  <sheetViews>
    <sheetView showGridLines="0" workbookViewId="0">
      <selection activeCell="E9" sqref="E9"/>
    </sheetView>
  </sheetViews>
  <sheetFormatPr baseColWidth="10" defaultRowHeight="15" x14ac:dyDescent="0.25"/>
  <cols>
    <col min="1" max="1" width="11.42578125" style="2"/>
    <col min="2" max="2" width="18.5703125" style="2" bestFit="1" customWidth="1"/>
    <col min="3" max="4" width="12.5703125" style="2" bestFit="1" customWidth="1"/>
    <col min="5" max="5" width="24.42578125" style="2" bestFit="1" customWidth="1"/>
    <col min="6" max="6" width="11.5703125" style="3" bestFit="1" customWidth="1"/>
    <col min="7" max="16384" width="11.42578125" style="2"/>
  </cols>
  <sheetData>
    <row r="2" spans="2:6" s="8" customFormat="1" x14ac:dyDescent="0.25">
      <c r="B2" s="8" t="s">
        <v>243</v>
      </c>
      <c r="F2" s="19"/>
    </row>
    <row r="3" spans="2:6" x14ac:dyDescent="0.25">
      <c r="B3" s="8" t="s">
        <v>485</v>
      </c>
    </row>
    <row r="4" spans="2:6" x14ac:dyDescent="0.25">
      <c r="B4" s="8"/>
    </row>
    <row r="5" spans="2:6" x14ac:dyDescent="0.25">
      <c r="B5" s="2" t="s">
        <v>153</v>
      </c>
      <c r="C5" s="4">
        <f>+Tabla21Capital[[#Totals],[Total]]</f>
        <v>298486523.44268</v>
      </c>
    </row>
    <row r="6" spans="2:6" x14ac:dyDescent="0.25">
      <c r="B6" s="2" t="s">
        <v>511</v>
      </c>
      <c r="C6" s="5">
        <v>0.3</v>
      </c>
      <c r="D6" s="4">
        <v>10100000</v>
      </c>
    </row>
    <row r="7" spans="2:6" x14ac:dyDescent="0.25">
      <c r="B7" s="2" t="s">
        <v>512</v>
      </c>
      <c r="C7" s="5">
        <v>0.3</v>
      </c>
      <c r="D7" s="4">
        <v>10000000</v>
      </c>
    </row>
    <row r="8" spans="2:6" x14ac:dyDescent="0.25">
      <c r="B8" s="2" t="s">
        <v>513</v>
      </c>
      <c r="C8" s="5">
        <f t="shared" ref="C8" si="0">D8/$C$5</f>
        <v>0.46903290100092232</v>
      </c>
      <c r="D8" s="4">
        <v>140000000</v>
      </c>
    </row>
    <row r="9" spans="2:6" x14ac:dyDescent="0.25">
      <c r="C9" s="2" t="s">
        <v>245</v>
      </c>
      <c r="D9" s="4">
        <f>SUM(D6:D8)</f>
        <v>160100000</v>
      </c>
    </row>
    <row r="11" spans="2:6" x14ac:dyDescent="0.25">
      <c r="B11" s="57" t="s">
        <v>244</v>
      </c>
      <c r="C11" s="11">
        <f>Tabla26Propuesta[[#Totals],[Valor]]</f>
        <v>10000000</v>
      </c>
      <c r="D11" s="65"/>
    </row>
    <row r="12" spans="2:6" x14ac:dyDescent="0.25">
      <c r="B12" s="43" t="s">
        <v>153</v>
      </c>
      <c r="C12" s="63">
        <f>C5</f>
        <v>298486523.44268</v>
      </c>
      <c r="D12" s="66"/>
    </row>
    <row r="13" spans="2:6" x14ac:dyDescent="0.25">
      <c r="B13" s="43" t="s">
        <v>245</v>
      </c>
      <c r="C13" s="63">
        <f>SUM(C11:C12)</f>
        <v>308486523.44268</v>
      </c>
      <c r="D13" s="66"/>
    </row>
    <row r="14" spans="2:6" x14ac:dyDescent="0.25">
      <c r="B14" s="43" t="s">
        <v>514</v>
      </c>
      <c r="C14" s="64">
        <f>D14/$C$13</f>
        <v>3.2740490207756788E-2</v>
      </c>
      <c r="D14" s="67">
        <v>10100000</v>
      </c>
    </row>
    <row r="15" spans="2:6" x14ac:dyDescent="0.25">
      <c r="B15" s="43" t="s">
        <v>515</v>
      </c>
      <c r="C15" s="64">
        <f t="shared" ref="C15:C17" si="1">D15/$C$13</f>
        <v>3.2416326938373062E-2</v>
      </c>
      <c r="D15" s="67">
        <v>10000000</v>
      </c>
    </row>
    <row r="16" spans="2:6" x14ac:dyDescent="0.25">
      <c r="B16" s="43" t="s">
        <v>513</v>
      </c>
      <c r="C16" s="64">
        <f t="shared" si="1"/>
        <v>3.2416326938373062E-2</v>
      </c>
      <c r="D16" s="67">
        <v>10000000</v>
      </c>
    </row>
    <row r="17" spans="2:6" x14ac:dyDescent="0.25">
      <c r="B17" s="41" t="s">
        <v>244</v>
      </c>
      <c r="C17" s="70">
        <f t="shared" si="1"/>
        <v>3.2416326938373062E-2</v>
      </c>
      <c r="D17" s="71">
        <f>C11</f>
        <v>10000000</v>
      </c>
    </row>
    <row r="18" spans="2:6" x14ac:dyDescent="0.25">
      <c r="B18" s="44"/>
      <c r="C18" s="68" t="s">
        <v>251</v>
      </c>
      <c r="D18" s="69">
        <f>SUM(D14:D17)</f>
        <v>40100000</v>
      </c>
    </row>
    <row r="20" spans="2:6" x14ac:dyDescent="0.25">
      <c r="E20" s="2" t="s">
        <v>246</v>
      </c>
      <c r="F20" s="3" t="s">
        <v>93</v>
      </c>
    </row>
    <row r="21" spans="2:6" x14ac:dyDescent="0.25">
      <c r="E21" s="2" t="s">
        <v>247</v>
      </c>
      <c r="F21" s="3">
        <v>1000000</v>
      </c>
    </row>
    <row r="22" spans="2:6" x14ac:dyDescent="0.25">
      <c r="E22" s="2" t="s">
        <v>248</v>
      </c>
      <c r="F22" s="3">
        <v>8000000</v>
      </c>
    </row>
    <row r="23" spans="2:6" x14ac:dyDescent="0.25">
      <c r="E23" s="2" t="s">
        <v>249</v>
      </c>
      <c r="F23" s="3">
        <v>100000</v>
      </c>
    </row>
    <row r="24" spans="2:6" x14ac:dyDescent="0.25">
      <c r="E24" s="2" t="s">
        <v>250</v>
      </c>
      <c r="F24" s="3">
        <v>900000</v>
      </c>
    </row>
    <row r="25" spans="2:6" x14ac:dyDescent="0.25">
      <c r="E25" s="2" t="s">
        <v>13</v>
      </c>
      <c r="F25" s="14">
        <f>SUBTOTAL(109,Tabla26Propuesta[Valor])</f>
        <v>10000000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17"/>
  <sheetViews>
    <sheetView showGridLines="0" workbookViewId="0">
      <selection activeCell="C20" sqref="C20"/>
    </sheetView>
  </sheetViews>
  <sheetFormatPr baseColWidth="10" defaultColWidth="9.140625" defaultRowHeight="15" x14ac:dyDescent="0.25"/>
  <cols>
    <col min="2" max="2" width="44.140625" bestFit="1" customWidth="1"/>
    <col min="3" max="7" width="19.5703125" customWidth="1"/>
    <col min="8" max="8" width="12.5703125" bestFit="1" customWidth="1"/>
  </cols>
  <sheetData>
    <row r="2" spans="2:7" x14ac:dyDescent="0.25">
      <c r="B2" s="12" t="s">
        <v>159</v>
      </c>
    </row>
    <row r="3" spans="2:7" x14ac:dyDescent="0.25">
      <c r="B3" s="12" t="s">
        <v>288</v>
      </c>
    </row>
    <row r="5" spans="2:7" x14ac:dyDescent="0.25">
      <c r="B5" t="s">
        <v>160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</row>
    <row r="6" spans="2:7" x14ac:dyDescent="0.25">
      <c r="B6" t="s">
        <v>158</v>
      </c>
      <c r="C6" s="1">
        <f>(Tabla4MesCerveza[[#Totals],[Total]]+Tabla5MesAguardiente[[#Totals],[Total]]+Tabla6MesRon[[#Totals],[Total]]+Tabla6MesRon3[[#Totals],[Total]])</f>
        <v>748190000</v>
      </c>
      <c r="D6" s="1">
        <f>(Tabla7VentasAnual[Año 1]*G17)+Tabla7VentasAnual[Año 1]</f>
        <v>812983254</v>
      </c>
      <c r="E6" s="1">
        <f>(Tabla7VentasAnual[Año 2]*E17)+Tabla7VentasAnual[Año 2]</f>
        <v>842738441.09640002</v>
      </c>
      <c r="F6" s="1">
        <f>(Tabla7VentasAnual[Año 3]*E17)+Tabla7VentasAnual[Año 3]</f>
        <v>873582668.0405283</v>
      </c>
      <c r="G6" s="1">
        <f>(Tabla7VentasAnual[Año 4]*E17)+Tabla7VentasAnual[Año 4]</f>
        <v>905555793.69081163</v>
      </c>
    </row>
    <row r="10" spans="2:7" ht="15.75" x14ac:dyDescent="0.25">
      <c r="B10" s="81" t="s">
        <v>299</v>
      </c>
      <c r="C10" s="82" t="s">
        <v>300</v>
      </c>
      <c r="D10" s="82" t="s">
        <v>301</v>
      </c>
      <c r="E10" s="83" t="s">
        <v>302</v>
      </c>
      <c r="F10" s="93" t="s">
        <v>449</v>
      </c>
      <c r="G10" s="93" t="s">
        <v>450</v>
      </c>
    </row>
    <row r="11" spans="2:7" ht="15.75" x14ac:dyDescent="0.25">
      <c r="B11" s="80" t="s">
        <v>289</v>
      </c>
      <c r="C11" s="80"/>
      <c r="D11" s="80" t="s">
        <v>290</v>
      </c>
      <c r="E11" s="80" t="s">
        <v>291</v>
      </c>
      <c r="F11" s="96"/>
      <c r="G11" s="96"/>
    </row>
    <row r="12" spans="2:7" ht="15.75" x14ac:dyDescent="0.25">
      <c r="B12" s="80" t="s">
        <v>292</v>
      </c>
      <c r="C12" s="97">
        <f>(Tabla7VentasAnual[Año 1])</f>
        <v>748190000</v>
      </c>
      <c r="D12" s="80">
        <v>2017</v>
      </c>
      <c r="E12" s="94">
        <v>4.0899999999999999E-2</v>
      </c>
      <c r="F12" s="96"/>
      <c r="G12" s="96"/>
    </row>
    <row r="13" spans="2:7" ht="15.75" x14ac:dyDescent="0.25">
      <c r="B13" s="80" t="s">
        <v>293</v>
      </c>
      <c r="C13" s="97">
        <f>(C12*E$17)+C12</f>
        <v>775573754</v>
      </c>
      <c r="D13" s="80">
        <v>2018</v>
      </c>
      <c r="E13" s="94">
        <v>3.1800000000000002E-2</v>
      </c>
      <c r="F13" s="96"/>
      <c r="G13" s="96"/>
    </row>
    <row r="14" spans="2:7" ht="15.75" x14ac:dyDescent="0.25">
      <c r="B14" s="80" t="s">
        <v>294</v>
      </c>
      <c r="C14" s="97">
        <f t="shared" ref="C14:C16" si="0">(C13*E$17)+C13</f>
        <v>803959753.39639997</v>
      </c>
      <c r="D14" s="80">
        <v>2019</v>
      </c>
      <c r="E14" s="94">
        <v>3.7999999999999999E-2</v>
      </c>
      <c r="F14" s="96"/>
      <c r="G14" s="96"/>
    </row>
    <row r="15" spans="2:7" ht="15.75" x14ac:dyDescent="0.25">
      <c r="B15" s="80" t="s">
        <v>295</v>
      </c>
      <c r="C15" s="97">
        <f t="shared" si="0"/>
        <v>833384680.37070823</v>
      </c>
      <c r="D15" s="80">
        <v>2020</v>
      </c>
      <c r="E15" s="94">
        <v>1.61E-2</v>
      </c>
      <c r="F15" s="96"/>
      <c r="G15" s="96"/>
    </row>
    <row r="16" spans="2:7" ht="15.75" x14ac:dyDescent="0.25">
      <c r="B16" s="80" t="s">
        <v>296</v>
      </c>
      <c r="C16" s="97">
        <f t="shared" si="0"/>
        <v>863886559.67227614</v>
      </c>
      <c r="D16" s="80">
        <v>2021</v>
      </c>
      <c r="E16" s="94">
        <v>5.62E-2</v>
      </c>
      <c r="F16" s="96"/>
      <c r="G16" s="96"/>
    </row>
    <row r="17" spans="2:7" ht="15.75" x14ac:dyDescent="0.25">
      <c r="B17" s="80" t="s">
        <v>297</v>
      </c>
      <c r="C17" s="97">
        <f>SUM(C12:C16)</f>
        <v>4024994747.439384</v>
      </c>
      <c r="D17" s="95" t="s">
        <v>298</v>
      </c>
      <c r="E17" s="98">
        <f>AVERAGE(E12:E16)</f>
        <v>3.6600000000000001E-2</v>
      </c>
      <c r="F17" s="99">
        <v>0.05</v>
      </c>
      <c r="G17" s="100">
        <f>(Tabla3[[#This Row],[Columna4]]+Tabla3[[#This Row],[Politica de Ventas]])</f>
        <v>8.660000000000001E-2</v>
      </c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V13"/>
  <sheetViews>
    <sheetView showGridLines="0" workbookViewId="0">
      <selection activeCell="L13" sqref="L13"/>
    </sheetView>
  </sheetViews>
  <sheetFormatPr baseColWidth="10" defaultColWidth="9.140625" defaultRowHeight="15" x14ac:dyDescent="0.25"/>
  <cols>
    <col min="1" max="1" width="9.140625" style="2"/>
    <col min="2" max="2" width="19.28515625" style="2" bestFit="1" customWidth="1"/>
    <col min="3" max="3" width="14.5703125" style="2" bestFit="1" customWidth="1"/>
    <col min="4" max="5" width="14.5703125" style="2" customWidth="1"/>
    <col min="6" max="6" width="13" style="2" bestFit="1" customWidth="1"/>
    <col min="7" max="7" width="14.5703125" style="2" bestFit="1" customWidth="1"/>
    <col min="8" max="8" width="17.5703125" style="2" bestFit="1" customWidth="1"/>
    <col min="9" max="9" width="14.5703125" style="2" bestFit="1" customWidth="1"/>
    <col min="10" max="10" width="15" style="2" bestFit="1" customWidth="1"/>
    <col min="11" max="11" width="33.28515625" style="2" bestFit="1" customWidth="1"/>
    <col min="12" max="12" width="16.7109375" style="2" bestFit="1" customWidth="1"/>
    <col min="13" max="13" width="9.140625" style="2"/>
    <col min="14" max="15" width="8" style="2" bestFit="1" customWidth="1"/>
    <col min="16" max="16" width="9.140625" style="2" bestFit="1" customWidth="1"/>
    <col min="17" max="17" width="11.28515625" style="2" bestFit="1" customWidth="1"/>
    <col min="18" max="18" width="13" style="2" bestFit="1" customWidth="1"/>
    <col min="19" max="19" width="15.140625" style="2" bestFit="1" customWidth="1"/>
    <col min="20" max="21" width="8" style="2" bestFit="1" customWidth="1"/>
    <col min="22" max="22" width="9" style="2" bestFit="1" customWidth="1"/>
    <col min="23" max="16384" width="9.140625" style="2"/>
  </cols>
  <sheetData>
    <row r="2" spans="2:22" x14ac:dyDescent="0.25">
      <c r="B2" s="8" t="s">
        <v>163</v>
      </c>
    </row>
    <row r="3" spans="2:22" x14ac:dyDescent="0.25">
      <c r="B3" s="8" t="s">
        <v>288</v>
      </c>
    </row>
    <row r="4" spans="2:22" x14ac:dyDescent="0.25">
      <c r="B4" s="8"/>
      <c r="N4" s="2" t="s">
        <v>14</v>
      </c>
      <c r="O4" s="2" t="s">
        <v>15</v>
      </c>
      <c r="P4" s="2" t="s">
        <v>166</v>
      </c>
      <c r="Q4" s="2" t="s">
        <v>167</v>
      </c>
      <c r="R4" s="2" t="s">
        <v>168</v>
      </c>
      <c r="S4" s="10" t="s">
        <v>169</v>
      </c>
      <c r="T4" s="2" t="s">
        <v>16</v>
      </c>
      <c r="U4" s="2" t="s">
        <v>17</v>
      </c>
      <c r="V4" s="2" t="s">
        <v>13</v>
      </c>
    </row>
    <row r="5" spans="2:22" ht="30" x14ac:dyDescent="0.25">
      <c r="B5" s="2" t="s">
        <v>18</v>
      </c>
      <c r="C5" s="10" t="s">
        <v>19</v>
      </c>
      <c r="D5" s="10" t="s">
        <v>451</v>
      </c>
      <c r="E5" s="10" t="s">
        <v>13</v>
      </c>
      <c r="F5" s="10" t="s">
        <v>20</v>
      </c>
      <c r="G5" s="10" t="s">
        <v>21</v>
      </c>
      <c r="H5" s="10" t="s">
        <v>162</v>
      </c>
      <c r="I5" s="10" t="s">
        <v>164</v>
      </c>
      <c r="J5" s="10" t="s">
        <v>22</v>
      </c>
      <c r="K5" s="10" t="s">
        <v>165</v>
      </c>
      <c r="L5" s="2" t="s">
        <v>23</v>
      </c>
      <c r="N5" s="85">
        <v>0.03</v>
      </c>
      <c r="O5" s="85">
        <v>0.02</v>
      </c>
      <c r="P5" s="85">
        <v>8.5000000000000006E-2</v>
      </c>
      <c r="Q5" s="85">
        <v>8.5000000000000006E-2</v>
      </c>
      <c r="R5" s="85">
        <v>8.3299999999999999E-2</v>
      </c>
      <c r="S5" s="85">
        <v>0.01</v>
      </c>
      <c r="T5" s="85">
        <v>0.04</v>
      </c>
      <c r="U5" s="85">
        <v>5.2199999999999998E-3</v>
      </c>
      <c r="V5" s="85"/>
    </row>
    <row r="6" spans="2:22" x14ac:dyDescent="0.25">
      <c r="B6" s="2" t="s">
        <v>24</v>
      </c>
      <c r="C6" s="84">
        <v>2100000</v>
      </c>
      <c r="D6" s="102">
        <v>1</v>
      </c>
      <c r="E6" s="104">
        <f>(Tabla8Nomina[[#This Row],[Valor
Sueldo]]*Tabla8Nomina[[#This Row],[No de Empleados]])</f>
        <v>2100000</v>
      </c>
      <c r="F6" s="84">
        <v>117112</v>
      </c>
      <c r="G6" s="84">
        <f>Tabla8Nomina[[#This Row],[Valor
Sueldo]]+Tabla8Nomina[[#This Row],[Auxilio de
transporte]]</f>
        <v>2217112</v>
      </c>
      <c r="H6" s="84">
        <f>(Tabla8Nomina[[#This Row],[Valor
Sueldo]]*4%)*2</f>
        <v>168000</v>
      </c>
      <c r="I6" s="84">
        <f>Tabla8Nomina[[#This Row],[Total
devengado]]-Tabla8Nomina[[#This Row],[Deducciones
(Salud-Pensión)]]</f>
        <v>2049112</v>
      </c>
      <c r="J6" s="84">
        <f>SUM(Tabla9[[#This Row],[ICBF]:[Int. Cesantías]])</f>
        <v>674296.92389600002</v>
      </c>
      <c r="K6" s="84">
        <f>Tabla9[[#This Row],[Salud]]+Tabla9[[#This Row],[Pensión]]+Tabla9[[#This Row],[CCF]]+Tabla9[[#This Row],[ARL]]</f>
        <v>477166.84464000002</v>
      </c>
      <c r="L6" s="84">
        <f>Tabla8Nomina[[#This Row],[Total
Nómina]]+Tabla8Nomina[[#This Row],[Componente
Prestacional]]+Tabla8Nomina[[#This Row],[Componente seg. social (Pensión)
y parafiscales (ARL y CCF)]]</f>
        <v>3200575.7685359996</v>
      </c>
      <c r="N6" s="3">
        <f>$N$5*Tabla8Nomina[[#This Row],[Total
devengado]]</f>
        <v>66513.36</v>
      </c>
      <c r="O6" s="3">
        <f>$O$5*Tabla8Nomina[[#This Row],[Total
devengado]]</f>
        <v>44342.239999999998</v>
      </c>
      <c r="P6" s="3">
        <f>$P$5*Tabla8Nomina[[#This Row],[Total
devengado]]</f>
        <v>188454.52000000002</v>
      </c>
      <c r="Q6" s="3">
        <f>$Q$5*Tabla8Nomina[[#This Row],[Total
devengado]]</f>
        <v>188454.52000000002</v>
      </c>
      <c r="R6" s="3">
        <f>$R$5*Tabla8Nomina[[#This Row],[Total
devengado]]</f>
        <v>184685.4296</v>
      </c>
      <c r="S6" s="3">
        <f>$S$5*Tabla9[[#This Row],[Cesantías]]</f>
        <v>1846.854296</v>
      </c>
      <c r="T6" s="3">
        <f>$T$5*Tabla8Nomina[[#This Row],[Total
devengado]]</f>
        <v>88684.479999999996</v>
      </c>
      <c r="U6" s="3">
        <f>$U$5*Tabla8Nomina[[#This Row],[Total
devengado]]</f>
        <v>11573.324639999999</v>
      </c>
      <c r="V6" s="3">
        <f>SUM(Tabla9[[#This Row],[ICBF]:[ARL]])</f>
        <v>774554.72853600001</v>
      </c>
    </row>
    <row r="7" spans="2:22" x14ac:dyDescent="0.25">
      <c r="B7" s="2" t="s">
        <v>303</v>
      </c>
      <c r="C7" s="84">
        <v>1200000</v>
      </c>
      <c r="D7" s="102">
        <v>1</v>
      </c>
      <c r="E7" s="104">
        <f>(Tabla8Nomina[[#This Row],[Valor
Sueldo]]*Tabla8Nomina[[#This Row],[No de Empleados]])</f>
        <v>1200000</v>
      </c>
      <c r="F7" s="84">
        <v>117112</v>
      </c>
      <c r="G7" s="84">
        <f>Tabla8Nomina[[#This Row],[Valor
Sueldo]]+Tabla8Nomina[[#This Row],[Auxilio de
transporte]]</f>
        <v>1317112</v>
      </c>
      <c r="H7" s="84">
        <f>(Tabla8Nomina[[#This Row],[Valor
Sueldo]]*4%)*2</f>
        <v>96000</v>
      </c>
      <c r="I7" s="84">
        <f>Tabla8Nomina[[#This Row],[Total
devengado]]-Tabla8Nomina[[#This Row],[Deducciones
(Salud-Pensión)]]</f>
        <v>1221112</v>
      </c>
      <c r="J7" s="84">
        <f>SUM(Tabla9[[#This Row],[ICBF]:[Int. Cesantías]])</f>
        <v>400577.22389600007</v>
      </c>
      <c r="K7" s="84">
        <f>Tabla9[[#This Row],[Salud]]+Tabla9[[#This Row],[Pensión]]+Tabla9[[#This Row],[CCF]]+Tabla9[[#This Row],[ARL]]</f>
        <v>283468.84464000002</v>
      </c>
      <c r="L7" s="84">
        <f>Tabla8Nomina[[#This Row],[Total
Nómina]]+Tabla8Nomina[[#This Row],[Componente
Prestacional]]+Tabla8Nomina[[#This Row],[Componente seg. social (Pensión)
y parafiscales (ARL y CCF)]]</f>
        <v>1905158.0685360001</v>
      </c>
      <c r="N7" s="3">
        <f>$N$5*Tabla8Nomina[[#This Row],[Total
devengado]]</f>
        <v>39513.360000000001</v>
      </c>
      <c r="O7" s="3">
        <f>$O$5*Tabla8Nomina[[#This Row],[Total
devengado]]</f>
        <v>26342.240000000002</v>
      </c>
      <c r="P7" s="3">
        <f>$P$5*Tabla8Nomina[[#This Row],[Total
devengado]]</f>
        <v>111954.52</v>
      </c>
      <c r="Q7" s="3">
        <f>$Q$5*Tabla8Nomina[[#This Row],[Total
devengado]]</f>
        <v>111954.52</v>
      </c>
      <c r="R7" s="3">
        <f>$R$5*Tabla8Nomina[[#This Row],[Total
devengado]]</f>
        <v>109715.4296</v>
      </c>
      <c r="S7" s="3">
        <f>$S$5*Tabla9[[#This Row],[Cesantías]]</f>
        <v>1097.1542960000002</v>
      </c>
      <c r="T7" s="3">
        <f>$T$5*Tabla8Nomina[[#This Row],[Total
devengado]]</f>
        <v>52684.480000000003</v>
      </c>
      <c r="U7" s="3">
        <f>$U$5*Tabla8Nomina[[#This Row],[Total
devengado]]</f>
        <v>6875.3246399999998</v>
      </c>
      <c r="V7" s="3">
        <f>SUM(Tabla9[[#This Row],[ICBF]:[ARL]])</f>
        <v>460137.02853600006</v>
      </c>
    </row>
    <row r="8" spans="2:22" x14ac:dyDescent="0.25">
      <c r="B8" s="2" t="s">
        <v>304</v>
      </c>
      <c r="C8" s="84">
        <v>1800000</v>
      </c>
      <c r="D8" s="102">
        <v>1</v>
      </c>
      <c r="E8" s="104">
        <f>(Tabla8Nomina[[#This Row],[Valor
Sueldo]]*Tabla8Nomina[[#This Row],[No de Empleados]])</f>
        <v>1800000</v>
      </c>
      <c r="F8" s="84">
        <v>117112</v>
      </c>
      <c r="G8" s="84">
        <f>Tabla8Nomina[[#This Row],[Valor
Sueldo]]+Tabla8Nomina[[#This Row],[Auxilio de
transporte]]</f>
        <v>1917112</v>
      </c>
      <c r="H8" s="84">
        <f>(Tabla8Nomina[[#This Row],[Valor
Sueldo]]*4%)*2</f>
        <v>144000</v>
      </c>
      <c r="I8" s="84">
        <f>Tabla8Nomina[[#This Row],[Total
devengado]]-Tabla8Nomina[[#This Row],[Deducciones
(Salud-Pensión)]]</f>
        <v>1773112</v>
      </c>
      <c r="J8" s="84">
        <f>SUM(Tabla9[[#This Row],[ICBF]:[Int. Cesantías]])</f>
        <v>583057.023896</v>
      </c>
      <c r="K8" s="84">
        <f>Tabla9[[#This Row],[Salud]]+Tabla9[[#This Row],[Pensión]]+Tabla9[[#This Row],[CCF]]+Tabla9[[#This Row],[ARL]]</f>
        <v>412600.84464000002</v>
      </c>
      <c r="L8" s="84">
        <f>Tabla8Nomina[[#This Row],[Total
Nómina]]+Tabla8Nomina[[#This Row],[Componente
Prestacional]]+Tabla8Nomina[[#This Row],[Componente seg. social (Pensión)
y parafiscales (ARL y CCF)]]</f>
        <v>2768769.8685360001</v>
      </c>
      <c r="N8" s="3">
        <f>$N$5*Tabla8Nomina[[#This Row],[Total
devengado]]</f>
        <v>57513.36</v>
      </c>
      <c r="O8" s="3">
        <f>$O$5*Tabla8Nomina[[#This Row],[Total
devengado]]</f>
        <v>38342.239999999998</v>
      </c>
      <c r="P8" s="3">
        <f>$P$5*Tabla8Nomina[[#This Row],[Total
devengado]]</f>
        <v>162954.52000000002</v>
      </c>
      <c r="Q8" s="3">
        <f>$Q$5*Tabla8Nomina[[#This Row],[Total
devengado]]</f>
        <v>162954.52000000002</v>
      </c>
      <c r="R8" s="3">
        <f>$R$5*Tabla8Nomina[[#This Row],[Total
devengado]]</f>
        <v>159695.4296</v>
      </c>
      <c r="S8" s="3">
        <f>$S$5*Tabla9[[#This Row],[Cesantías]]</f>
        <v>1596.9542960000001</v>
      </c>
      <c r="T8" s="3">
        <f>$T$5*Tabla8Nomina[[#This Row],[Total
devengado]]</f>
        <v>76684.479999999996</v>
      </c>
      <c r="U8" s="3">
        <f>$U$5*Tabla8Nomina[[#This Row],[Total
devengado]]</f>
        <v>10007.324639999999</v>
      </c>
      <c r="V8" s="3">
        <f>SUM(Tabla9[[#This Row],[ICBF]:[ARL]])</f>
        <v>669748.82853599999</v>
      </c>
    </row>
    <row r="9" spans="2:22" x14ac:dyDescent="0.25">
      <c r="B9" s="2" t="s">
        <v>305</v>
      </c>
      <c r="C9" s="84">
        <v>1200000</v>
      </c>
      <c r="D9" s="102">
        <v>2</v>
      </c>
      <c r="E9" s="104">
        <f>(Tabla8Nomina[[#This Row],[Valor
Sueldo]]*Tabla8Nomina[[#This Row],[No de Empleados]])</f>
        <v>2400000</v>
      </c>
      <c r="F9" s="84">
        <f>117112*Tabla8Nomina[[#This Row],[No de Empleados]]</f>
        <v>234224</v>
      </c>
      <c r="G9" s="84">
        <f>Tabla8Nomina[[#This Row],[Valor
Sueldo]]+Tabla8Nomina[[#This Row],[Auxilio de
transporte]]</f>
        <v>1434224</v>
      </c>
      <c r="H9" s="84">
        <f>(Tabla8Nomina[[#This Row],[Valor
Sueldo]]*4%)*2</f>
        <v>96000</v>
      </c>
      <c r="I9" s="84">
        <f>Tabla8Nomina[[#This Row],[Total
devengado]]-Tabla8Nomina[[#This Row],[Deducciones
(Salud-Pensión)]]</f>
        <v>1338224</v>
      </c>
      <c r="J9" s="84">
        <v>583057.023896</v>
      </c>
      <c r="K9" s="84">
        <v>412600.84464000002</v>
      </c>
      <c r="L9" s="84">
        <f>Tabla8Nomina[[#This Row],[Total
Nómina]]+Tabla8Nomina[[#This Row],[Componente
Prestacional]]+Tabla8Nomina[[#This Row],[Componente seg. social (Pensión)
y parafiscales (ARL y CCF)]]</f>
        <v>2333881.8685360001</v>
      </c>
      <c r="N9" s="2" t="s">
        <v>13</v>
      </c>
      <c r="V9" s="4">
        <f>SUBTOTAL(109,Tabla9[Total])</f>
        <v>1904440.5856079999</v>
      </c>
    </row>
    <row r="10" spans="2:22" ht="15.75" thickBot="1" x14ac:dyDescent="0.3">
      <c r="B10" s="22" t="s">
        <v>25</v>
      </c>
      <c r="C10" s="86">
        <v>1000000</v>
      </c>
      <c r="D10" s="103">
        <v>1</v>
      </c>
      <c r="E10" s="105">
        <f>(C10*D10)</f>
        <v>1000000</v>
      </c>
      <c r="F10" s="87">
        <v>117112</v>
      </c>
      <c r="G10" s="84">
        <f>(E10+F10)</f>
        <v>1117112</v>
      </c>
      <c r="H10" s="88">
        <f>(C10*4%)*2</f>
        <v>80000</v>
      </c>
      <c r="I10" s="86">
        <f>(G10-H10)</f>
        <v>1037112</v>
      </c>
      <c r="J10" s="101">
        <v>583057.023896</v>
      </c>
      <c r="K10" s="101">
        <v>412600.84464000002</v>
      </c>
      <c r="L10" s="86">
        <f>(I10+J10+K10)</f>
        <v>2032769.8685359999</v>
      </c>
    </row>
    <row r="11" spans="2:22" ht="16.5" thickTop="1" thickBot="1" x14ac:dyDescent="0.3">
      <c r="C11" s="84"/>
      <c r="D11" s="84"/>
      <c r="E11" s="84"/>
      <c r="F11" s="84"/>
      <c r="G11" s="84"/>
      <c r="H11" s="84"/>
      <c r="I11" s="84"/>
      <c r="J11" s="84"/>
      <c r="K11" s="89" t="s">
        <v>13</v>
      </c>
      <c r="L11" s="90">
        <f>SUM(L6:L10)</f>
        <v>12241155.442679999</v>
      </c>
    </row>
    <row r="12" spans="2:22" ht="16.5" thickTop="1" thickBot="1" x14ac:dyDescent="0.3">
      <c r="C12" s="84"/>
      <c r="D12" s="84"/>
      <c r="E12" s="84"/>
      <c r="F12" s="84"/>
      <c r="G12" s="84"/>
      <c r="H12" s="84"/>
      <c r="I12" s="84"/>
      <c r="J12" s="84"/>
      <c r="K12" s="89" t="s">
        <v>26</v>
      </c>
      <c r="L12" s="90">
        <f>L11*3</f>
        <v>36723466.328039996</v>
      </c>
    </row>
    <row r="13" spans="2:22" ht="15.75" thickTop="1" x14ac:dyDescent="0.25">
      <c r="C13" s="84"/>
      <c r="D13" s="84"/>
      <c r="E13" s="84"/>
      <c r="F13" s="84"/>
      <c r="G13" s="84"/>
      <c r="H13" s="84"/>
      <c r="I13" s="84"/>
      <c r="J13" s="84"/>
      <c r="K13" s="89" t="s">
        <v>27</v>
      </c>
      <c r="L13" s="90">
        <f>L11*12</f>
        <v>146893865.31215999</v>
      </c>
    </row>
  </sheetData>
  <pageMargins left="0.7" right="0.7" top="0.75" bottom="0.75" header="0.3" footer="0.3"/>
  <legacyDrawing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F152"/>
  <sheetViews>
    <sheetView showGridLines="0" workbookViewId="0">
      <selection activeCell="B143" sqref="B143"/>
    </sheetView>
  </sheetViews>
  <sheetFormatPr baseColWidth="10" defaultRowHeight="15" x14ac:dyDescent="0.25"/>
  <cols>
    <col min="1" max="1" width="11.42578125" style="2"/>
    <col min="2" max="2" width="29.140625" style="10" bestFit="1" customWidth="1"/>
    <col min="3" max="3" width="70" style="10" bestFit="1" customWidth="1"/>
    <col min="4" max="4" width="12.5703125" style="3" bestFit="1" customWidth="1"/>
    <col min="5" max="5" width="15.85546875" style="3" bestFit="1" customWidth="1"/>
    <col min="6" max="6" width="16.7109375" style="3" bestFit="1" customWidth="1"/>
    <col min="7" max="16384" width="11.42578125" style="2"/>
  </cols>
  <sheetData>
    <row r="2" spans="2:6" x14ac:dyDescent="0.25">
      <c r="B2" s="9" t="s">
        <v>170</v>
      </c>
    </row>
    <row r="3" spans="2:6" x14ac:dyDescent="0.25">
      <c r="B3" s="12" t="s">
        <v>288</v>
      </c>
    </row>
    <row r="5" spans="2:6" x14ac:dyDescent="0.25">
      <c r="B5" s="10" t="s">
        <v>28</v>
      </c>
    </row>
    <row r="6" spans="2:6" x14ac:dyDescent="0.25">
      <c r="B6" s="10" t="s">
        <v>29</v>
      </c>
      <c r="C6" s="10" t="s">
        <v>172</v>
      </c>
      <c r="D6" s="3" t="s">
        <v>30</v>
      </c>
      <c r="E6" s="3" t="s">
        <v>31</v>
      </c>
      <c r="F6" s="3" t="s">
        <v>23</v>
      </c>
    </row>
    <row r="7" spans="2:6" x14ac:dyDescent="0.25">
      <c r="B7" s="10" t="s">
        <v>489</v>
      </c>
      <c r="C7" s="10" t="s">
        <v>306</v>
      </c>
      <c r="D7" s="3">
        <v>1</v>
      </c>
      <c r="E7" s="84">
        <v>6896</v>
      </c>
      <c r="F7" s="84">
        <f>Tabla10Maquinaria[[#This Row],[Cantidad]]*Tabla10Maquinaria[[#This Row],[Costo]]</f>
        <v>6896</v>
      </c>
    </row>
    <row r="8" spans="2:6" x14ac:dyDescent="0.25">
      <c r="B8" s="10" t="s">
        <v>489</v>
      </c>
      <c r="C8" s="10" t="s">
        <v>307</v>
      </c>
      <c r="D8" s="3">
        <v>1</v>
      </c>
      <c r="E8" s="84">
        <v>6895</v>
      </c>
      <c r="F8" s="84">
        <f>Tabla10Maquinaria[[#This Row],[Cantidad]]*Tabla10Maquinaria[[#This Row],[Costo]]</f>
        <v>6895</v>
      </c>
    </row>
    <row r="9" spans="2:6" x14ac:dyDescent="0.25">
      <c r="B9" s="10" t="s">
        <v>489</v>
      </c>
      <c r="C9" s="10" t="s">
        <v>308</v>
      </c>
      <c r="D9" s="3">
        <v>1</v>
      </c>
      <c r="E9" s="84">
        <v>52365</v>
      </c>
      <c r="F9" s="84">
        <f>Tabla10Maquinaria[[#This Row],[Cantidad]]*Tabla10Maquinaria[[#This Row],[Costo]]</f>
        <v>52365</v>
      </c>
    </row>
    <row r="10" spans="2:6" x14ac:dyDescent="0.25">
      <c r="B10" s="10" t="s">
        <v>489</v>
      </c>
      <c r="C10" s="10" t="s">
        <v>309</v>
      </c>
      <c r="D10" s="3">
        <v>1</v>
      </c>
      <c r="E10" s="84">
        <v>10252</v>
      </c>
      <c r="F10" s="84">
        <f>Tabla10Maquinaria[[#This Row],[Cantidad]]*Tabla10Maquinaria[[#This Row],[Costo]]</f>
        <v>10252</v>
      </c>
    </row>
    <row r="11" spans="2:6" x14ac:dyDescent="0.25">
      <c r="B11" s="10" t="s">
        <v>489</v>
      </c>
      <c r="C11" s="10" t="s">
        <v>310</v>
      </c>
      <c r="D11" s="3">
        <v>1</v>
      </c>
      <c r="E11" s="84">
        <v>13563</v>
      </c>
      <c r="F11" s="84">
        <f>Tabla10Maquinaria[[#This Row],[Cantidad]]*Tabla10Maquinaria[[#This Row],[Costo]]</f>
        <v>13563</v>
      </c>
    </row>
    <row r="12" spans="2:6" x14ac:dyDescent="0.25">
      <c r="B12" s="10" t="s">
        <v>489</v>
      </c>
      <c r="C12" s="10" t="s">
        <v>311</v>
      </c>
      <c r="D12" s="3">
        <v>1</v>
      </c>
      <c r="E12" s="84">
        <v>19863</v>
      </c>
      <c r="F12" s="84">
        <f>Tabla10Maquinaria[[#This Row],[Cantidad]]*Tabla10Maquinaria[[#This Row],[Costo]]</f>
        <v>19863</v>
      </c>
    </row>
    <row r="13" spans="2:6" x14ac:dyDescent="0.25">
      <c r="B13" s="10" t="s">
        <v>489</v>
      </c>
      <c r="C13" s="10" t="s">
        <v>312</v>
      </c>
      <c r="D13" s="3">
        <v>1</v>
      </c>
      <c r="E13" s="84">
        <v>9852</v>
      </c>
      <c r="F13" s="84">
        <f>Tabla10Maquinaria[[#This Row],[Cantidad]]*Tabla10Maquinaria[[#This Row],[Costo]]</f>
        <v>9852</v>
      </c>
    </row>
    <row r="14" spans="2:6" x14ac:dyDescent="0.25">
      <c r="B14" s="10" t="s">
        <v>489</v>
      </c>
      <c r="C14" s="10" t="s">
        <v>313</v>
      </c>
      <c r="D14" s="3">
        <v>1</v>
      </c>
      <c r="E14" s="84">
        <v>18563</v>
      </c>
      <c r="F14" s="84">
        <f>Tabla10Maquinaria[[#This Row],[Cantidad]]*Tabla10Maquinaria[[#This Row],[Costo]]</f>
        <v>18563</v>
      </c>
    </row>
    <row r="15" spans="2:6" x14ac:dyDescent="0.25">
      <c r="B15" s="10" t="s">
        <v>489</v>
      </c>
      <c r="C15" s="10" t="s">
        <v>314</v>
      </c>
      <c r="D15" s="3">
        <v>1</v>
      </c>
      <c r="E15" s="84">
        <v>23658</v>
      </c>
      <c r="F15" s="84">
        <f>Tabla10Maquinaria[[#This Row],[Cantidad]]*Tabla10Maquinaria[[#This Row],[Costo]]</f>
        <v>23658</v>
      </c>
    </row>
    <row r="16" spans="2:6" x14ac:dyDescent="0.25">
      <c r="B16" s="10" t="s">
        <v>489</v>
      </c>
      <c r="C16" s="10" t="s">
        <v>315</v>
      </c>
      <c r="D16" s="3">
        <v>1</v>
      </c>
      <c r="E16" s="84">
        <v>112585</v>
      </c>
      <c r="F16" s="84">
        <f>Tabla10Maquinaria[[#This Row],[Cantidad]]*Tabla10Maquinaria[[#This Row],[Costo]]</f>
        <v>112585</v>
      </c>
    </row>
    <row r="17" spans="2:6" x14ac:dyDescent="0.25">
      <c r="B17" s="10" t="s">
        <v>489</v>
      </c>
      <c r="C17" s="10" t="s">
        <v>316</v>
      </c>
      <c r="D17" s="3">
        <v>1</v>
      </c>
      <c r="E17" s="84">
        <v>118965</v>
      </c>
      <c r="F17" s="84">
        <f>Tabla10Maquinaria[[#This Row],[Cantidad]]*Tabla10Maquinaria[[#This Row],[Costo]]</f>
        <v>118965</v>
      </c>
    </row>
    <row r="18" spans="2:6" x14ac:dyDescent="0.25">
      <c r="B18" s="10" t="s">
        <v>489</v>
      </c>
      <c r="C18" s="10" t="s">
        <v>317</v>
      </c>
      <c r="D18" s="3">
        <v>1</v>
      </c>
      <c r="E18" s="84">
        <v>225869</v>
      </c>
      <c r="F18" s="84">
        <f>Tabla10Maquinaria[[#This Row],[Cantidad]]*Tabla10Maquinaria[[#This Row],[Costo]]</f>
        <v>225869</v>
      </c>
    </row>
    <row r="19" spans="2:6" x14ac:dyDescent="0.25">
      <c r="B19" s="10" t="s">
        <v>489</v>
      </c>
      <c r="C19" s="10" t="s">
        <v>318</v>
      </c>
      <c r="D19" s="3">
        <v>1</v>
      </c>
      <c r="E19" s="84">
        <v>125896</v>
      </c>
      <c r="F19" s="84">
        <f>Tabla10Maquinaria[[#This Row],[Cantidad]]*Tabla10Maquinaria[[#This Row],[Costo]]</f>
        <v>125896</v>
      </c>
    </row>
    <row r="20" spans="2:6" x14ac:dyDescent="0.25">
      <c r="B20" s="10" t="s">
        <v>489</v>
      </c>
      <c r="C20" s="10" t="s">
        <v>319</v>
      </c>
      <c r="D20" s="3">
        <v>1</v>
      </c>
      <c r="E20" s="84">
        <v>85369</v>
      </c>
      <c r="F20" s="84">
        <f>Tabla10Maquinaria[[#This Row],[Cantidad]]*Tabla10Maquinaria[[#This Row],[Costo]]</f>
        <v>85369</v>
      </c>
    </row>
    <row r="21" spans="2:6" x14ac:dyDescent="0.25">
      <c r="B21" s="10" t="s">
        <v>489</v>
      </c>
      <c r="C21" s="10" t="s">
        <v>320</v>
      </c>
      <c r="D21" s="3">
        <v>1</v>
      </c>
      <c r="E21" s="84">
        <v>415326</v>
      </c>
      <c r="F21" s="84">
        <f>Tabla10Maquinaria[[#This Row],[Cantidad]]*Tabla10Maquinaria[[#This Row],[Costo]]</f>
        <v>415326</v>
      </c>
    </row>
    <row r="22" spans="2:6" x14ac:dyDescent="0.25">
      <c r="B22" s="10" t="s">
        <v>489</v>
      </c>
      <c r="C22" s="10" t="s">
        <v>321</v>
      </c>
      <c r="D22" s="3">
        <v>1</v>
      </c>
      <c r="E22" s="84">
        <v>458963</v>
      </c>
      <c r="F22" s="84">
        <f>Tabla10Maquinaria[[#This Row],[Cantidad]]*Tabla10Maquinaria[[#This Row],[Costo]]</f>
        <v>458963</v>
      </c>
    </row>
    <row r="23" spans="2:6" x14ac:dyDescent="0.25">
      <c r="B23" s="10" t="s">
        <v>489</v>
      </c>
      <c r="C23" s="10" t="s">
        <v>322</v>
      </c>
      <c r="D23" s="3">
        <v>1</v>
      </c>
      <c r="E23" s="84">
        <v>689652</v>
      </c>
      <c r="F23" s="84">
        <f>Tabla10Maquinaria[[#This Row],[Cantidad]]*Tabla10Maquinaria[[#This Row],[Costo]]</f>
        <v>689652</v>
      </c>
    </row>
    <row r="24" spans="2:6" x14ac:dyDescent="0.25">
      <c r="B24" s="10" t="s">
        <v>489</v>
      </c>
      <c r="C24" s="10" t="s">
        <v>323</v>
      </c>
      <c r="D24" s="3">
        <v>1</v>
      </c>
      <c r="E24" s="84">
        <v>9865</v>
      </c>
      <c r="F24" s="84">
        <f>Tabla10Maquinaria[[#This Row],[Cantidad]]*Tabla10Maquinaria[[#This Row],[Costo]]</f>
        <v>9865</v>
      </c>
    </row>
    <row r="25" spans="2:6" x14ac:dyDescent="0.25">
      <c r="B25" s="10" t="s">
        <v>489</v>
      </c>
      <c r="C25" s="10" t="s">
        <v>324</v>
      </c>
      <c r="D25" s="3">
        <v>1</v>
      </c>
      <c r="E25" s="84">
        <v>9865</v>
      </c>
      <c r="F25" s="84">
        <f>Tabla10Maquinaria[[#This Row],[Cantidad]]*Tabla10Maquinaria[[#This Row],[Costo]]</f>
        <v>9865</v>
      </c>
    </row>
    <row r="26" spans="2:6" x14ac:dyDescent="0.25">
      <c r="B26" s="10" t="s">
        <v>489</v>
      </c>
      <c r="C26" s="10" t="s">
        <v>325</v>
      </c>
      <c r="D26" s="3">
        <v>1</v>
      </c>
      <c r="E26" s="84">
        <v>9865</v>
      </c>
      <c r="F26" s="84">
        <f>Tabla10Maquinaria[[#This Row],[Cantidad]]*Tabla10Maquinaria[[#This Row],[Costo]]</f>
        <v>9865</v>
      </c>
    </row>
    <row r="27" spans="2:6" x14ac:dyDescent="0.25">
      <c r="B27" s="10" t="s">
        <v>489</v>
      </c>
      <c r="C27" s="10" t="s">
        <v>326</v>
      </c>
      <c r="D27" s="3">
        <v>1</v>
      </c>
      <c r="E27" s="84">
        <v>10256</v>
      </c>
      <c r="F27" s="84">
        <f>Tabla10Maquinaria[[#This Row],[Cantidad]]*Tabla10Maquinaria[[#This Row],[Costo]]</f>
        <v>10256</v>
      </c>
    </row>
    <row r="28" spans="2:6" x14ac:dyDescent="0.25">
      <c r="B28" s="10" t="s">
        <v>489</v>
      </c>
      <c r="C28" s="10" t="s">
        <v>327</v>
      </c>
      <c r="D28" s="3">
        <v>1</v>
      </c>
      <c r="E28" s="84">
        <v>9256</v>
      </c>
      <c r="F28" s="84">
        <f>Tabla10Maquinaria[[#This Row],[Cantidad]]*Tabla10Maquinaria[[#This Row],[Costo]]</f>
        <v>9256</v>
      </c>
    </row>
    <row r="29" spans="2:6" x14ac:dyDescent="0.25">
      <c r="B29" s="10" t="s">
        <v>489</v>
      </c>
      <c r="C29" s="10" t="s">
        <v>328</v>
      </c>
      <c r="D29" s="3">
        <v>1</v>
      </c>
      <c r="E29" s="84">
        <v>8965</v>
      </c>
      <c r="F29" s="84">
        <f>Tabla10Maquinaria[[#This Row],[Cantidad]]*Tabla10Maquinaria[[#This Row],[Costo]]</f>
        <v>8965</v>
      </c>
    </row>
    <row r="30" spans="2:6" x14ac:dyDescent="0.25">
      <c r="B30" s="10" t="s">
        <v>489</v>
      </c>
      <c r="C30" s="10" t="s">
        <v>329</v>
      </c>
      <c r="D30" s="3">
        <v>1</v>
      </c>
      <c r="E30" s="84">
        <v>8965</v>
      </c>
      <c r="F30" s="84">
        <f>Tabla10Maquinaria[[#This Row],[Cantidad]]*Tabla10Maquinaria[[#This Row],[Costo]]</f>
        <v>8965</v>
      </c>
    </row>
    <row r="31" spans="2:6" x14ac:dyDescent="0.25">
      <c r="B31" s="10" t="s">
        <v>489</v>
      </c>
      <c r="C31" s="10" t="s">
        <v>330</v>
      </c>
      <c r="D31" s="3">
        <v>1</v>
      </c>
      <c r="E31" s="84">
        <v>9563</v>
      </c>
      <c r="F31" s="84">
        <f>Tabla10Maquinaria[[#This Row],[Cantidad]]*Tabla10Maquinaria[[#This Row],[Costo]]</f>
        <v>9563</v>
      </c>
    </row>
    <row r="32" spans="2:6" x14ac:dyDescent="0.25">
      <c r="B32" s="10" t="s">
        <v>489</v>
      </c>
      <c r="C32" s="10" t="s">
        <v>331</v>
      </c>
      <c r="D32" s="3">
        <v>1</v>
      </c>
      <c r="E32" s="84">
        <v>25689</v>
      </c>
      <c r="F32" s="84">
        <f>Tabla10Maquinaria[[#This Row],[Cantidad]]*Tabla10Maquinaria[[#This Row],[Costo]]</f>
        <v>25689</v>
      </c>
    </row>
    <row r="33" spans="2:6" x14ac:dyDescent="0.25">
      <c r="B33" s="10" t="s">
        <v>489</v>
      </c>
      <c r="C33" s="10" t="s">
        <v>332</v>
      </c>
      <c r="D33" s="3">
        <v>1</v>
      </c>
      <c r="E33" s="84">
        <v>39125</v>
      </c>
      <c r="F33" s="84">
        <f>Tabla10Maquinaria[[#This Row],[Cantidad]]*Tabla10Maquinaria[[#This Row],[Costo]]</f>
        <v>39125</v>
      </c>
    </row>
    <row r="34" spans="2:6" x14ac:dyDescent="0.25">
      <c r="B34" s="10" t="s">
        <v>489</v>
      </c>
      <c r="C34" s="10" t="s">
        <v>333</v>
      </c>
      <c r="D34" s="3">
        <v>1</v>
      </c>
      <c r="E34" s="84">
        <v>8695</v>
      </c>
      <c r="F34" s="84">
        <f>Tabla10Maquinaria[[#This Row],[Cantidad]]*Tabla10Maquinaria[[#This Row],[Costo]]</f>
        <v>8695</v>
      </c>
    </row>
    <row r="35" spans="2:6" x14ac:dyDescent="0.25">
      <c r="B35" s="10" t="s">
        <v>489</v>
      </c>
      <c r="C35" s="10" t="s">
        <v>334</v>
      </c>
      <c r="D35" s="3">
        <v>1</v>
      </c>
      <c r="E35" s="84">
        <v>8925</v>
      </c>
      <c r="F35" s="84">
        <f>Tabla10Maquinaria[[#This Row],[Cantidad]]*Tabla10Maquinaria[[#This Row],[Costo]]</f>
        <v>8925</v>
      </c>
    </row>
    <row r="36" spans="2:6" x14ac:dyDescent="0.25">
      <c r="B36" s="10" t="s">
        <v>489</v>
      </c>
      <c r="C36" s="10" t="s">
        <v>335</v>
      </c>
      <c r="D36" s="3">
        <v>1</v>
      </c>
      <c r="E36" s="84">
        <v>8925</v>
      </c>
      <c r="F36" s="84">
        <f>Tabla10Maquinaria[[#This Row],[Cantidad]]*Tabla10Maquinaria[[#This Row],[Costo]]</f>
        <v>8925</v>
      </c>
    </row>
    <row r="37" spans="2:6" x14ac:dyDescent="0.25">
      <c r="B37" s="10" t="s">
        <v>489</v>
      </c>
      <c r="C37" s="10" t="s">
        <v>336</v>
      </c>
      <c r="D37" s="3">
        <v>1</v>
      </c>
      <c r="E37" s="84">
        <v>8390</v>
      </c>
      <c r="F37" s="84">
        <f>Tabla10Maquinaria[[#This Row],[Cantidad]]*Tabla10Maquinaria[[#This Row],[Costo]]</f>
        <v>8390</v>
      </c>
    </row>
    <row r="38" spans="2:6" x14ac:dyDescent="0.25">
      <c r="B38" s="10" t="s">
        <v>489</v>
      </c>
      <c r="C38" s="10" t="s">
        <v>337</v>
      </c>
      <c r="D38" s="3">
        <v>1</v>
      </c>
      <c r="E38" s="84">
        <v>10069</v>
      </c>
      <c r="F38" s="84">
        <f>Tabla10Maquinaria[[#This Row],[Cantidad]]*Tabla10Maquinaria[[#This Row],[Costo]]</f>
        <v>10069</v>
      </c>
    </row>
    <row r="39" spans="2:6" x14ac:dyDescent="0.25">
      <c r="B39" s="10" t="s">
        <v>489</v>
      </c>
      <c r="C39" s="10" t="s">
        <v>338</v>
      </c>
      <c r="D39" s="3">
        <v>1</v>
      </c>
      <c r="E39" s="84">
        <v>10937</v>
      </c>
      <c r="F39" s="84">
        <f>Tabla10Maquinaria[[#This Row],[Cantidad]]*Tabla10Maquinaria[[#This Row],[Costo]]</f>
        <v>10937</v>
      </c>
    </row>
    <row r="40" spans="2:6" x14ac:dyDescent="0.25">
      <c r="B40" s="10" t="s">
        <v>489</v>
      </c>
      <c r="C40" s="10" t="s">
        <v>339</v>
      </c>
      <c r="D40" s="3">
        <v>1</v>
      </c>
      <c r="E40" s="84">
        <v>10941</v>
      </c>
      <c r="F40" s="84">
        <f>Tabla10Maquinaria[[#This Row],[Cantidad]]*Tabla10Maquinaria[[#This Row],[Costo]]</f>
        <v>10941</v>
      </c>
    </row>
    <row r="41" spans="2:6" x14ac:dyDescent="0.25">
      <c r="B41" s="10" t="s">
        <v>489</v>
      </c>
      <c r="C41" s="10" t="s">
        <v>340</v>
      </c>
      <c r="D41" s="3">
        <v>1</v>
      </c>
      <c r="E41" s="84">
        <v>12182</v>
      </c>
      <c r="F41" s="84">
        <f>Tabla10Maquinaria[[#This Row],[Cantidad]]*Tabla10Maquinaria[[#This Row],[Costo]]</f>
        <v>12182</v>
      </c>
    </row>
    <row r="42" spans="2:6" x14ac:dyDescent="0.25">
      <c r="B42" s="10" t="s">
        <v>489</v>
      </c>
      <c r="C42" s="10" t="s">
        <v>341</v>
      </c>
      <c r="D42" s="3">
        <v>1</v>
      </c>
      <c r="E42" s="84">
        <v>13659</v>
      </c>
      <c r="F42" s="84">
        <f>Tabla10Maquinaria[[#This Row],[Cantidad]]*Tabla10Maquinaria[[#This Row],[Costo]]</f>
        <v>13659</v>
      </c>
    </row>
    <row r="43" spans="2:6" x14ac:dyDescent="0.25">
      <c r="B43" s="10" t="s">
        <v>489</v>
      </c>
      <c r="C43" s="10" t="s">
        <v>342</v>
      </c>
      <c r="D43" s="3">
        <v>1</v>
      </c>
      <c r="E43" s="84">
        <v>13659</v>
      </c>
      <c r="F43" s="84">
        <f>Tabla10Maquinaria[[#This Row],[Cantidad]]*Tabla10Maquinaria[[#This Row],[Costo]]</f>
        <v>13659</v>
      </c>
    </row>
    <row r="44" spans="2:6" x14ac:dyDescent="0.25">
      <c r="B44" s="10" t="s">
        <v>489</v>
      </c>
      <c r="C44" s="10" t="s">
        <v>343</v>
      </c>
      <c r="D44" s="3">
        <v>1</v>
      </c>
      <c r="E44" s="84">
        <v>15740</v>
      </c>
      <c r="F44" s="84">
        <f>Tabla10Maquinaria[[#This Row],[Cantidad]]*Tabla10Maquinaria[[#This Row],[Costo]]</f>
        <v>15740</v>
      </c>
    </row>
    <row r="45" spans="2:6" x14ac:dyDescent="0.25">
      <c r="B45" s="10" t="s">
        <v>489</v>
      </c>
      <c r="C45" s="10" t="s">
        <v>344</v>
      </c>
      <c r="D45" s="3">
        <v>1</v>
      </c>
      <c r="E45" s="84">
        <v>17251</v>
      </c>
      <c r="F45" s="84">
        <f>Tabla10Maquinaria[[#This Row],[Cantidad]]*Tabla10Maquinaria[[#This Row],[Costo]]</f>
        <v>17251</v>
      </c>
    </row>
    <row r="46" spans="2:6" x14ac:dyDescent="0.25">
      <c r="B46" s="10" t="s">
        <v>489</v>
      </c>
      <c r="C46" s="10" t="s">
        <v>345</v>
      </c>
      <c r="D46" s="3">
        <v>1</v>
      </c>
      <c r="E46" s="84">
        <v>17822</v>
      </c>
      <c r="F46" s="84">
        <f>Tabla10Maquinaria[[#This Row],[Cantidad]]*Tabla10Maquinaria[[#This Row],[Costo]]</f>
        <v>17822</v>
      </c>
    </row>
    <row r="47" spans="2:6" x14ac:dyDescent="0.25">
      <c r="B47" s="10" t="s">
        <v>489</v>
      </c>
      <c r="C47" s="10" t="s">
        <v>346</v>
      </c>
      <c r="D47" s="3">
        <v>1</v>
      </c>
      <c r="E47" s="84">
        <v>19544</v>
      </c>
      <c r="F47" s="84">
        <f>Tabla10Maquinaria[[#This Row],[Cantidad]]*Tabla10Maquinaria[[#This Row],[Costo]]</f>
        <v>19544</v>
      </c>
    </row>
    <row r="48" spans="2:6" x14ac:dyDescent="0.25">
      <c r="B48" s="10" t="s">
        <v>489</v>
      </c>
      <c r="C48" s="10" t="s">
        <v>347</v>
      </c>
      <c r="D48" s="3">
        <v>1</v>
      </c>
      <c r="E48" s="84">
        <v>20341</v>
      </c>
      <c r="F48" s="84">
        <f>Tabla10Maquinaria[[#This Row],[Cantidad]]*Tabla10Maquinaria[[#This Row],[Costo]]</f>
        <v>20341</v>
      </c>
    </row>
    <row r="49" spans="2:6" x14ac:dyDescent="0.25">
      <c r="B49" s="10" t="s">
        <v>489</v>
      </c>
      <c r="C49" s="10" t="s">
        <v>348</v>
      </c>
      <c r="D49" s="3">
        <v>1</v>
      </c>
      <c r="E49" s="84">
        <v>24487</v>
      </c>
      <c r="F49" s="84">
        <f>Tabla10Maquinaria[[#This Row],[Cantidad]]*Tabla10Maquinaria[[#This Row],[Costo]]</f>
        <v>24487</v>
      </c>
    </row>
    <row r="50" spans="2:6" x14ac:dyDescent="0.25">
      <c r="B50" s="10" t="s">
        <v>489</v>
      </c>
      <c r="C50" s="10" t="s">
        <v>349</v>
      </c>
      <c r="D50" s="3">
        <v>1</v>
      </c>
      <c r="E50" s="84">
        <v>26654</v>
      </c>
      <c r="F50" s="84">
        <f>Tabla10Maquinaria[[#This Row],[Cantidad]]*Tabla10Maquinaria[[#This Row],[Costo]]</f>
        <v>26654</v>
      </c>
    </row>
    <row r="51" spans="2:6" x14ac:dyDescent="0.25">
      <c r="B51" s="10" t="s">
        <v>489</v>
      </c>
      <c r="C51" s="10" t="s">
        <v>350</v>
      </c>
      <c r="D51" s="3">
        <v>1</v>
      </c>
      <c r="E51" s="84">
        <v>35040</v>
      </c>
      <c r="F51" s="84">
        <f>Tabla10Maquinaria[[#This Row],[Cantidad]]*Tabla10Maquinaria[[#This Row],[Costo]]</f>
        <v>35040</v>
      </c>
    </row>
    <row r="52" spans="2:6" x14ac:dyDescent="0.25">
      <c r="B52" s="10" t="s">
        <v>489</v>
      </c>
      <c r="C52" s="10" t="s">
        <v>351</v>
      </c>
      <c r="D52" s="3">
        <v>1</v>
      </c>
      <c r="E52" s="84">
        <v>38292</v>
      </c>
      <c r="F52" s="84">
        <f>Tabla10Maquinaria[[#This Row],[Cantidad]]*Tabla10Maquinaria[[#This Row],[Costo]]</f>
        <v>38292</v>
      </c>
    </row>
    <row r="53" spans="2:6" x14ac:dyDescent="0.25">
      <c r="B53" s="10" t="s">
        <v>489</v>
      </c>
      <c r="C53" s="10" t="s">
        <v>352</v>
      </c>
      <c r="D53" s="3">
        <v>1</v>
      </c>
      <c r="E53" s="84">
        <v>39408</v>
      </c>
      <c r="F53" s="84">
        <f>Tabla10Maquinaria[[#This Row],[Cantidad]]*Tabla10Maquinaria[[#This Row],[Costo]]</f>
        <v>39408</v>
      </c>
    </row>
    <row r="54" spans="2:6" x14ac:dyDescent="0.25">
      <c r="B54" s="10" t="s">
        <v>489</v>
      </c>
      <c r="C54" s="10" t="s">
        <v>353</v>
      </c>
      <c r="D54" s="3">
        <v>1</v>
      </c>
      <c r="E54" s="84">
        <v>35017</v>
      </c>
      <c r="F54" s="84">
        <f>Tabla10Maquinaria[[#This Row],[Cantidad]]*Tabla10Maquinaria[[#This Row],[Costo]]</f>
        <v>35017</v>
      </c>
    </row>
    <row r="55" spans="2:6" x14ac:dyDescent="0.25">
      <c r="B55" s="10" t="s">
        <v>489</v>
      </c>
      <c r="C55" s="10" t="s">
        <v>354</v>
      </c>
      <c r="D55" s="3">
        <v>1</v>
      </c>
      <c r="E55" s="84">
        <v>37133</v>
      </c>
      <c r="F55" s="84">
        <f>Tabla10Maquinaria[[#This Row],[Cantidad]]*Tabla10Maquinaria[[#This Row],[Costo]]</f>
        <v>37133</v>
      </c>
    </row>
    <row r="56" spans="2:6" x14ac:dyDescent="0.25">
      <c r="B56" s="10" t="s">
        <v>490</v>
      </c>
      <c r="C56" s="10" t="s">
        <v>355</v>
      </c>
      <c r="D56" s="3">
        <v>1</v>
      </c>
      <c r="E56" s="84">
        <v>26446</v>
      </c>
      <c r="F56" s="84">
        <f>Tabla10Maquinaria[[#This Row],[Cantidad]]*Tabla10Maquinaria[[#This Row],[Costo]]</f>
        <v>26446</v>
      </c>
    </row>
    <row r="57" spans="2:6" x14ac:dyDescent="0.25">
      <c r="B57" s="10" t="s">
        <v>490</v>
      </c>
      <c r="C57" s="10" t="s">
        <v>356</v>
      </c>
      <c r="D57" s="3">
        <v>1</v>
      </c>
      <c r="E57" s="84">
        <v>28661</v>
      </c>
      <c r="F57" s="84">
        <f>Tabla10Maquinaria[[#This Row],[Cantidad]]*Tabla10Maquinaria[[#This Row],[Costo]]</f>
        <v>28661</v>
      </c>
    </row>
    <row r="58" spans="2:6" x14ac:dyDescent="0.25">
      <c r="B58" s="10" t="s">
        <v>490</v>
      </c>
      <c r="C58" s="10" t="s">
        <v>357</v>
      </c>
      <c r="D58" s="3">
        <v>1</v>
      </c>
      <c r="E58" s="84">
        <v>31078</v>
      </c>
      <c r="F58" s="84">
        <f>Tabla10Maquinaria[[#This Row],[Cantidad]]*Tabla10Maquinaria[[#This Row],[Costo]]</f>
        <v>31078</v>
      </c>
    </row>
    <row r="59" spans="2:6" x14ac:dyDescent="0.25">
      <c r="B59" s="10" t="s">
        <v>490</v>
      </c>
      <c r="C59" s="10" t="s">
        <v>358</v>
      </c>
      <c r="D59" s="3">
        <v>1</v>
      </c>
      <c r="E59" s="84">
        <v>29467</v>
      </c>
      <c r="F59" s="84">
        <f>Tabla10Maquinaria[[#This Row],[Cantidad]]*Tabla10Maquinaria[[#This Row],[Costo]]</f>
        <v>29467</v>
      </c>
    </row>
    <row r="60" spans="2:6" x14ac:dyDescent="0.25">
      <c r="B60" s="10" t="s">
        <v>490</v>
      </c>
      <c r="C60" s="10" t="s">
        <v>359</v>
      </c>
      <c r="D60" s="3">
        <v>1</v>
      </c>
      <c r="E60" s="84">
        <v>32487</v>
      </c>
      <c r="F60" s="84">
        <f>Tabla10Maquinaria[[#This Row],[Cantidad]]*Tabla10Maquinaria[[#This Row],[Costo]]</f>
        <v>32487</v>
      </c>
    </row>
    <row r="61" spans="2:6" x14ac:dyDescent="0.25">
      <c r="B61" s="10" t="s">
        <v>490</v>
      </c>
      <c r="C61" s="10" t="s">
        <v>360</v>
      </c>
      <c r="D61" s="3">
        <v>1</v>
      </c>
      <c r="E61" s="84">
        <v>31820</v>
      </c>
      <c r="F61" s="84">
        <f>Tabla10Maquinaria[[#This Row],[Cantidad]]*Tabla10Maquinaria[[#This Row],[Costo]]</f>
        <v>31820</v>
      </c>
    </row>
    <row r="62" spans="2:6" x14ac:dyDescent="0.25">
      <c r="B62" s="10" t="s">
        <v>490</v>
      </c>
      <c r="C62" s="10" t="s">
        <v>361</v>
      </c>
      <c r="D62" s="3">
        <v>1</v>
      </c>
      <c r="E62" s="84">
        <v>40340</v>
      </c>
      <c r="F62" s="84">
        <f>Tabla10Maquinaria[[#This Row],[Cantidad]]*Tabla10Maquinaria[[#This Row],[Costo]]</f>
        <v>40340</v>
      </c>
    </row>
    <row r="63" spans="2:6" x14ac:dyDescent="0.25">
      <c r="B63" s="10" t="s">
        <v>490</v>
      </c>
      <c r="C63" s="10" t="s">
        <v>362</v>
      </c>
      <c r="D63" s="3">
        <v>1</v>
      </c>
      <c r="E63" s="84">
        <v>45596</v>
      </c>
      <c r="F63" s="84">
        <f>Tabla10Maquinaria[[#This Row],[Cantidad]]*Tabla10Maquinaria[[#This Row],[Costo]]</f>
        <v>45596</v>
      </c>
    </row>
    <row r="64" spans="2:6" x14ac:dyDescent="0.25">
      <c r="B64" s="10" t="s">
        <v>490</v>
      </c>
      <c r="C64" s="10" t="s">
        <v>363</v>
      </c>
      <c r="D64" s="3">
        <v>1</v>
      </c>
      <c r="E64" s="84">
        <v>39309</v>
      </c>
      <c r="F64" s="84">
        <f>Tabla10Maquinaria[[#This Row],[Cantidad]]*Tabla10Maquinaria[[#This Row],[Costo]]</f>
        <v>39309</v>
      </c>
    </row>
    <row r="65" spans="2:6" x14ac:dyDescent="0.25">
      <c r="B65" s="10" t="s">
        <v>490</v>
      </c>
      <c r="C65" s="10" t="s">
        <v>364</v>
      </c>
      <c r="D65" s="3">
        <v>1</v>
      </c>
      <c r="E65" s="84">
        <v>31078</v>
      </c>
      <c r="F65" s="84">
        <f>Tabla10Maquinaria[[#This Row],[Cantidad]]*Tabla10Maquinaria[[#This Row],[Costo]]</f>
        <v>31078</v>
      </c>
    </row>
    <row r="66" spans="2:6" x14ac:dyDescent="0.25">
      <c r="B66" s="10" t="s">
        <v>490</v>
      </c>
      <c r="C66" s="10" t="s">
        <v>365</v>
      </c>
      <c r="D66" s="3">
        <v>1</v>
      </c>
      <c r="E66" s="84">
        <v>29467</v>
      </c>
      <c r="F66" s="84">
        <f>Tabla10Maquinaria[[#This Row],[Cantidad]]*Tabla10Maquinaria[[#This Row],[Costo]]</f>
        <v>29467</v>
      </c>
    </row>
    <row r="67" spans="2:6" x14ac:dyDescent="0.25">
      <c r="B67" s="10" t="s">
        <v>491</v>
      </c>
      <c r="C67" s="10" t="s">
        <v>366</v>
      </c>
      <c r="D67" s="3">
        <v>1</v>
      </c>
      <c r="E67" s="84">
        <v>9148</v>
      </c>
      <c r="F67" s="84">
        <f>Tabla10Maquinaria[[#This Row],[Cantidad]]*Tabla10Maquinaria[[#This Row],[Costo]]</f>
        <v>9148</v>
      </c>
    </row>
    <row r="68" spans="2:6" x14ac:dyDescent="0.25">
      <c r="B68" s="10" t="s">
        <v>491</v>
      </c>
      <c r="C68" s="10" t="s">
        <v>367</v>
      </c>
      <c r="D68" s="3">
        <v>1</v>
      </c>
      <c r="E68" s="84">
        <v>11055</v>
      </c>
      <c r="F68" s="84">
        <f>Tabla10Maquinaria[[#This Row],[Cantidad]]*Tabla10Maquinaria[[#This Row],[Costo]]</f>
        <v>11055</v>
      </c>
    </row>
    <row r="69" spans="2:6" x14ac:dyDescent="0.25">
      <c r="B69" s="10" t="s">
        <v>491</v>
      </c>
      <c r="C69" s="10" t="s">
        <v>368</v>
      </c>
      <c r="D69" s="3">
        <v>1</v>
      </c>
      <c r="E69" s="84">
        <v>25124</v>
      </c>
      <c r="F69" s="84">
        <f>Tabla10Maquinaria[[#This Row],[Cantidad]]*Tabla10Maquinaria[[#This Row],[Costo]]</f>
        <v>25124</v>
      </c>
    </row>
    <row r="70" spans="2:6" x14ac:dyDescent="0.25">
      <c r="B70" s="10" t="s">
        <v>491</v>
      </c>
      <c r="C70" s="10" t="s">
        <v>369</v>
      </c>
      <c r="D70" s="3">
        <v>1</v>
      </c>
      <c r="E70" s="84">
        <v>43796</v>
      </c>
      <c r="F70" s="84">
        <f>Tabla10Maquinaria[[#This Row],[Cantidad]]*Tabla10Maquinaria[[#This Row],[Costo]]</f>
        <v>43796</v>
      </c>
    </row>
    <row r="71" spans="2:6" x14ac:dyDescent="0.25">
      <c r="B71" s="10" t="s">
        <v>489</v>
      </c>
      <c r="C71" s="10" t="s">
        <v>370</v>
      </c>
      <c r="D71" s="3">
        <v>1</v>
      </c>
      <c r="E71" s="84">
        <v>315738</v>
      </c>
      <c r="F71" s="84">
        <f>Tabla10Maquinaria[[#This Row],[Cantidad]]*Tabla10Maquinaria[[#This Row],[Costo]]</f>
        <v>315738</v>
      </c>
    </row>
    <row r="72" spans="2:6" x14ac:dyDescent="0.25">
      <c r="B72" s="10" t="s">
        <v>492</v>
      </c>
      <c r="C72" s="10" t="s">
        <v>371</v>
      </c>
      <c r="D72" s="3">
        <v>1</v>
      </c>
      <c r="E72" s="84">
        <v>61168</v>
      </c>
      <c r="F72" s="84">
        <f>Tabla10Maquinaria[[#This Row],[Cantidad]]*Tabla10Maquinaria[[#This Row],[Costo]]</f>
        <v>61168</v>
      </c>
    </row>
    <row r="73" spans="2:6" x14ac:dyDescent="0.25">
      <c r="B73" s="10" t="s">
        <v>492</v>
      </c>
      <c r="C73" s="10" t="s">
        <v>372</v>
      </c>
      <c r="D73" s="3">
        <v>1</v>
      </c>
      <c r="E73" s="84">
        <v>59675</v>
      </c>
      <c r="F73" s="84">
        <f>Tabla10Maquinaria[[#This Row],[Cantidad]]*Tabla10Maquinaria[[#This Row],[Costo]]</f>
        <v>59675</v>
      </c>
    </row>
    <row r="74" spans="2:6" x14ac:dyDescent="0.25">
      <c r="B74" s="10" t="s">
        <v>492</v>
      </c>
      <c r="C74" s="10" t="s">
        <v>373</v>
      </c>
      <c r="D74" s="3">
        <v>1</v>
      </c>
      <c r="E74" s="84">
        <v>60813</v>
      </c>
      <c r="F74" s="84">
        <f>Tabla10Maquinaria[[#This Row],[Cantidad]]*Tabla10Maquinaria[[#This Row],[Costo]]</f>
        <v>60813</v>
      </c>
    </row>
    <row r="75" spans="2:6" x14ac:dyDescent="0.25">
      <c r="B75" s="10" t="s">
        <v>492</v>
      </c>
      <c r="C75" s="10" t="s">
        <v>374</v>
      </c>
      <c r="D75" s="3">
        <v>1</v>
      </c>
      <c r="E75" s="84">
        <v>62165</v>
      </c>
      <c r="F75" s="84">
        <f>Tabla10Maquinaria[[#This Row],[Cantidad]]*Tabla10Maquinaria[[#This Row],[Costo]]</f>
        <v>62165</v>
      </c>
    </row>
    <row r="76" spans="2:6" x14ac:dyDescent="0.25">
      <c r="B76" s="10" t="s">
        <v>492</v>
      </c>
      <c r="C76" s="10" t="s">
        <v>375</v>
      </c>
      <c r="D76" s="3">
        <v>1</v>
      </c>
      <c r="E76" s="84">
        <v>64727</v>
      </c>
      <c r="F76" s="84">
        <f>Tabla10Maquinaria[[#This Row],[Cantidad]]*Tabla10Maquinaria[[#This Row],[Costo]]</f>
        <v>64727</v>
      </c>
    </row>
    <row r="77" spans="2:6" x14ac:dyDescent="0.25">
      <c r="B77" s="10" t="s">
        <v>492</v>
      </c>
      <c r="C77" s="10" t="s">
        <v>376</v>
      </c>
      <c r="D77" s="3">
        <v>1</v>
      </c>
      <c r="E77" s="84">
        <v>64727</v>
      </c>
      <c r="F77" s="84">
        <f>Tabla10Maquinaria[[#This Row],[Cantidad]]*Tabla10Maquinaria[[#This Row],[Costo]]</f>
        <v>64727</v>
      </c>
    </row>
    <row r="78" spans="2:6" x14ac:dyDescent="0.25">
      <c r="B78" s="10" t="s">
        <v>492</v>
      </c>
      <c r="C78" s="10" t="s">
        <v>377</v>
      </c>
      <c r="D78" s="3">
        <v>1</v>
      </c>
      <c r="E78" s="84">
        <v>70203</v>
      </c>
      <c r="F78" s="84">
        <f>Tabla10Maquinaria[[#This Row],[Cantidad]]*Tabla10Maquinaria[[#This Row],[Costo]]</f>
        <v>70203</v>
      </c>
    </row>
    <row r="79" spans="2:6" x14ac:dyDescent="0.25">
      <c r="B79" s="10" t="s">
        <v>492</v>
      </c>
      <c r="C79" s="10" t="s">
        <v>378</v>
      </c>
      <c r="D79" s="3">
        <v>1</v>
      </c>
      <c r="E79" s="84">
        <v>79734</v>
      </c>
      <c r="F79" s="84">
        <f>Tabla10Maquinaria[[#This Row],[Cantidad]]*Tabla10Maquinaria[[#This Row],[Costo]]</f>
        <v>79734</v>
      </c>
    </row>
    <row r="80" spans="2:6" x14ac:dyDescent="0.25">
      <c r="B80" s="10" t="s">
        <v>492</v>
      </c>
      <c r="C80" s="10" t="s">
        <v>379</v>
      </c>
      <c r="D80" s="3">
        <v>1</v>
      </c>
      <c r="E80" s="84">
        <v>88054</v>
      </c>
      <c r="F80" s="84">
        <f>Tabla10Maquinaria[[#This Row],[Cantidad]]*Tabla10Maquinaria[[#This Row],[Costo]]</f>
        <v>88054</v>
      </c>
    </row>
    <row r="81" spans="2:6" x14ac:dyDescent="0.25">
      <c r="B81" s="10" t="s">
        <v>492</v>
      </c>
      <c r="C81" s="10" t="s">
        <v>380</v>
      </c>
      <c r="D81" s="3">
        <v>1</v>
      </c>
      <c r="E81" s="84">
        <v>104771</v>
      </c>
      <c r="F81" s="84">
        <f>Tabla10Maquinaria[[#This Row],[Cantidad]]*Tabla10Maquinaria[[#This Row],[Costo]]</f>
        <v>104771</v>
      </c>
    </row>
    <row r="82" spans="2:6" x14ac:dyDescent="0.25">
      <c r="B82" s="10" t="s">
        <v>492</v>
      </c>
      <c r="C82" s="10" t="s">
        <v>381</v>
      </c>
      <c r="D82" s="3">
        <v>1</v>
      </c>
      <c r="E82" s="84">
        <v>63931</v>
      </c>
      <c r="F82" s="84">
        <f>Tabla10Maquinaria[[#This Row],[Cantidad]]*Tabla10Maquinaria[[#This Row],[Costo]]</f>
        <v>63931</v>
      </c>
    </row>
    <row r="83" spans="2:6" x14ac:dyDescent="0.25">
      <c r="B83" s="10" t="s">
        <v>492</v>
      </c>
      <c r="C83" s="10" t="s">
        <v>382</v>
      </c>
      <c r="D83" s="3">
        <v>1</v>
      </c>
      <c r="E83" s="84">
        <v>61208</v>
      </c>
      <c r="F83" s="84">
        <f>Tabla10Maquinaria[[#This Row],[Cantidad]]*Tabla10Maquinaria[[#This Row],[Costo]]</f>
        <v>61208</v>
      </c>
    </row>
    <row r="84" spans="2:6" x14ac:dyDescent="0.25">
      <c r="B84" s="10" t="s">
        <v>493</v>
      </c>
      <c r="C84" s="10" t="s">
        <v>383</v>
      </c>
      <c r="D84" s="3">
        <v>1</v>
      </c>
      <c r="E84" s="84">
        <v>170300</v>
      </c>
      <c r="F84" s="84">
        <f>Tabla10Maquinaria[[#This Row],[Cantidad]]*Tabla10Maquinaria[[#This Row],[Costo]]</f>
        <v>170300</v>
      </c>
    </row>
    <row r="85" spans="2:6" x14ac:dyDescent="0.25">
      <c r="B85" s="10" t="s">
        <v>493</v>
      </c>
      <c r="C85" s="10" t="s">
        <v>384</v>
      </c>
      <c r="D85" s="3">
        <v>1</v>
      </c>
      <c r="E85" s="84">
        <v>43745</v>
      </c>
      <c r="F85" s="84">
        <f>Tabla10Maquinaria[[#This Row],[Cantidad]]*Tabla10Maquinaria[[#This Row],[Costo]]</f>
        <v>43745</v>
      </c>
    </row>
    <row r="86" spans="2:6" x14ac:dyDescent="0.25">
      <c r="B86" s="10" t="s">
        <v>493</v>
      </c>
      <c r="C86" s="10" t="s">
        <v>385</v>
      </c>
      <c r="D86" s="3">
        <v>1</v>
      </c>
      <c r="E86" s="84">
        <v>47775</v>
      </c>
      <c r="F86" s="84">
        <f>Tabla10Maquinaria[[#This Row],[Cantidad]]*Tabla10Maquinaria[[#This Row],[Costo]]</f>
        <v>47775</v>
      </c>
    </row>
    <row r="87" spans="2:6" x14ac:dyDescent="0.25">
      <c r="B87" s="10" t="s">
        <v>489</v>
      </c>
      <c r="C87" s="10" t="s">
        <v>386</v>
      </c>
      <c r="D87" s="3">
        <v>1</v>
      </c>
      <c r="E87" s="84">
        <v>67470</v>
      </c>
      <c r="F87" s="84">
        <f>Tabla10Maquinaria[[#This Row],[Cantidad]]*Tabla10Maquinaria[[#This Row],[Costo]]</f>
        <v>67470</v>
      </c>
    </row>
    <row r="88" spans="2:6" x14ac:dyDescent="0.25">
      <c r="B88" s="10" t="s">
        <v>489</v>
      </c>
      <c r="C88" s="10" t="s">
        <v>387</v>
      </c>
      <c r="D88" s="3">
        <v>1</v>
      </c>
      <c r="E88" s="84">
        <v>520780</v>
      </c>
      <c r="F88" s="84">
        <f>Tabla10Maquinaria[[#This Row],[Cantidad]]*Tabla10Maquinaria[[#This Row],[Costo]]</f>
        <v>520780</v>
      </c>
    </row>
    <row r="89" spans="2:6" x14ac:dyDescent="0.25">
      <c r="B89" s="10" t="s">
        <v>494</v>
      </c>
      <c r="C89" s="10" t="s">
        <v>388</v>
      </c>
      <c r="D89" s="3">
        <v>1</v>
      </c>
      <c r="E89" s="84">
        <v>101768</v>
      </c>
      <c r="F89" s="84">
        <f>Tabla10Maquinaria[[#This Row],[Cantidad]]*Tabla10Maquinaria[[#This Row],[Costo]]</f>
        <v>101768</v>
      </c>
    </row>
    <row r="90" spans="2:6" x14ac:dyDescent="0.25">
      <c r="B90" s="10" t="s">
        <v>494</v>
      </c>
      <c r="C90" s="10" t="s">
        <v>389</v>
      </c>
      <c r="D90" s="3">
        <v>1</v>
      </c>
      <c r="E90" s="84">
        <v>32500</v>
      </c>
      <c r="F90" s="84">
        <f>Tabla10Maquinaria[[#This Row],[Cantidad]]*Tabla10Maquinaria[[#This Row],[Costo]]</f>
        <v>32500</v>
      </c>
    </row>
    <row r="91" spans="2:6" x14ac:dyDescent="0.25">
      <c r="B91" s="10" t="s">
        <v>497</v>
      </c>
      <c r="C91" s="10" t="s">
        <v>390</v>
      </c>
      <c r="D91" s="3">
        <v>1</v>
      </c>
      <c r="E91" s="84">
        <v>926055</v>
      </c>
      <c r="F91" s="84">
        <f>Tabla10Maquinaria[[#This Row],[Cantidad]]*Tabla10Maquinaria[[#This Row],[Costo]]</f>
        <v>926055</v>
      </c>
    </row>
    <row r="92" spans="2:6" x14ac:dyDescent="0.25">
      <c r="C92" s="10" t="s">
        <v>391</v>
      </c>
      <c r="D92" s="3">
        <v>1</v>
      </c>
      <c r="E92" s="84">
        <v>238160</v>
      </c>
      <c r="F92" s="84">
        <f>Tabla10Maquinaria[[#This Row],[Cantidad]]*Tabla10Maquinaria[[#This Row],[Costo]]</f>
        <v>238160</v>
      </c>
    </row>
    <row r="93" spans="2:6" x14ac:dyDescent="0.25">
      <c r="B93" s="10" t="s">
        <v>495</v>
      </c>
      <c r="C93" s="10" t="s">
        <v>392</v>
      </c>
      <c r="D93" s="3">
        <v>1</v>
      </c>
      <c r="E93" s="84">
        <v>357825</v>
      </c>
      <c r="F93" s="84">
        <f>Tabla10Maquinaria[[#This Row],[Cantidad]]*Tabla10Maquinaria[[#This Row],[Costo]]</f>
        <v>357825</v>
      </c>
    </row>
    <row r="94" spans="2:6" x14ac:dyDescent="0.25">
      <c r="B94" s="10" t="s">
        <v>495</v>
      </c>
      <c r="C94" s="10" t="s">
        <v>393</v>
      </c>
      <c r="D94" s="3">
        <v>1</v>
      </c>
      <c r="E94" s="84">
        <v>76830</v>
      </c>
      <c r="F94" s="84">
        <f>Tabla10Maquinaria[[#This Row],[Cantidad]]*Tabla10Maquinaria[[#This Row],[Costo]]</f>
        <v>76830</v>
      </c>
    </row>
    <row r="95" spans="2:6" x14ac:dyDescent="0.25">
      <c r="B95" s="10" t="s">
        <v>498</v>
      </c>
      <c r="C95" s="10" t="s">
        <v>394</v>
      </c>
      <c r="D95" s="3">
        <v>1</v>
      </c>
      <c r="E95" s="84">
        <v>126620</v>
      </c>
      <c r="F95" s="84">
        <f>Tabla10Maquinaria[[#This Row],[Cantidad]]*Tabla10Maquinaria[[#This Row],[Costo]]</f>
        <v>126620</v>
      </c>
    </row>
    <row r="96" spans="2:6" x14ac:dyDescent="0.25">
      <c r="B96" s="10" t="s">
        <v>498</v>
      </c>
      <c r="C96" s="10" t="s">
        <v>395</v>
      </c>
      <c r="D96" s="3">
        <v>1</v>
      </c>
      <c r="E96" s="84">
        <v>208390</v>
      </c>
      <c r="F96" s="84">
        <f>Tabla10Maquinaria[[#This Row],[Cantidad]]*Tabla10Maquinaria[[#This Row],[Costo]]</f>
        <v>208390</v>
      </c>
    </row>
    <row r="97" spans="2:6" x14ac:dyDescent="0.25">
      <c r="B97" s="10" t="s">
        <v>489</v>
      </c>
      <c r="C97" s="10" t="s">
        <v>396</v>
      </c>
      <c r="D97" s="3">
        <v>1</v>
      </c>
      <c r="E97" s="84">
        <v>340210</v>
      </c>
      <c r="F97" s="84">
        <f>Tabla10Maquinaria[[#This Row],[Cantidad]]*Tabla10Maquinaria[[#This Row],[Costo]]</f>
        <v>340210</v>
      </c>
    </row>
    <row r="98" spans="2:6" x14ac:dyDescent="0.25">
      <c r="B98" s="10" t="s">
        <v>489</v>
      </c>
      <c r="C98" s="10" t="s">
        <v>397</v>
      </c>
      <c r="D98" s="3">
        <v>1</v>
      </c>
      <c r="E98" s="84">
        <v>91845</v>
      </c>
      <c r="F98" s="84">
        <f>Tabla10Maquinaria[[#This Row],[Cantidad]]*Tabla10Maquinaria[[#This Row],[Costo]]</f>
        <v>91845</v>
      </c>
    </row>
    <row r="99" spans="2:6" x14ac:dyDescent="0.25">
      <c r="B99" s="10" t="s">
        <v>489</v>
      </c>
      <c r="C99" s="10" t="s">
        <v>398</v>
      </c>
      <c r="D99" s="3">
        <v>1</v>
      </c>
      <c r="E99" s="84">
        <v>201890</v>
      </c>
      <c r="F99" s="84">
        <f>Tabla10Maquinaria[[#This Row],[Cantidad]]*Tabla10Maquinaria[[#This Row],[Costo]]</f>
        <v>201890</v>
      </c>
    </row>
    <row r="100" spans="2:6" x14ac:dyDescent="0.25">
      <c r="B100" s="10" t="s">
        <v>489</v>
      </c>
      <c r="C100" s="10" t="s">
        <v>399</v>
      </c>
      <c r="D100" s="3">
        <v>1</v>
      </c>
      <c r="E100" s="84">
        <v>338130</v>
      </c>
      <c r="F100" s="84">
        <f>Tabla10Maquinaria[[#This Row],[Cantidad]]*Tabla10Maquinaria[[#This Row],[Costo]]</f>
        <v>338130</v>
      </c>
    </row>
    <row r="101" spans="2:6" x14ac:dyDescent="0.25">
      <c r="B101" s="10" t="s">
        <v>489</v>
      </c>
      <c r="C101" s="10" t="s">
        <v>400</v>
      </c>
      <c r="D101" s="3">
        <v>1</v>
      </c>
      <c r="E101" s="84">
        <v>398190</v>
      </c>
      <c r="F101" s="84">
        <f>Tabla10Maquinaria[[#This Row],[Cantidad]]*Tabla10Maquinaria[[#This Row],[Costo]]</f>
        <v>398190</v>
      </c>
    </row>
    <row r="102" spans="2:6" x14ac:dyDescent="0.25">
      <c r="B102" s="10" t="s">
        <v>489</v>
      </c>
      <c r="C102" s="10" t="s">
        <v>401</v>
      </c>
      <c r="D102" s="3">
        <v>1</v>
      </c>
      <c r="E102" s="84">
        <v>325455</v>
      </c>
      <c r="F102" s="84">
        <f>Tabla10Maquinaria[[#This Row],[Cantidad]]*Tabla10Maquinaria[[#This Row],[Costo]]</f>
        <v>325455</v>
      </c>
    </row>
    <row r="103" spans="2:6" x14ac:dyDescent="0.25">
      <c r="B103" s="10" t="s">
        <v>496</v>
      </c>
      <c r="C103" s="10" t="s">
        <v>402</v>
      </c>
      <c r="D103" s="3">
        <v>1</v>
      </c>
      <c r="E103" s="84">
        <v>312000</v>
      </c>
      <c r="F103" s="84">
        <f>Tabla10Maquinaria[[#This Row],[Cantidad]]*Tabla10Maquinaria[[#This Row],[Costo]]</f>
        <v>312000</v>
      </c>
    </row>
    <row r="104" spans="2:6" x14ac:dyDescent="0.25">
      <c r="B104" s="10" t="s">
        <v>499</v>
      </c>
      <c r="C104" s="10" t="s">
        <v>403</v>
      </c>
      <c r="D104" s="3">
        <v>1</v>
      </c>
      <c r="E104" s="84">
        <v>361920</v>
      </c>
      <c r="F104" s="84">
        <f>Tabla10Maquinaria[[#This Row],[Cantidad]]*Tabla10Maquinaria[[#This Row],[Costo]]</f>
        <v>361920</v>
      </c>
    </row>
    <row r="105" spans="2:6" x14ac:dyDescent="0.25">
      <c r="C105" s="10" t="s">
        <v>404</v>
      </c>
      <c r="D105" s="3">
        <v>1</v>
      </c>
      <c r="E105" s="84">
        <v>422630</v>
      </c>
      <c r="F105" s="84">
        <f>Tabla10Maquinaria[[#This Row],[Cantidad]]*Tabla10Maquinaria[[#This Row],[Costo]]</f>
        <v>422630</v>
      </c>
    </row>
    <row r="106" spans="2:6" x14ac:dyDescent="0.25">
      <c r="B106" s="10" t="s">
        <v>489</v>
      </c>
      <c r="C106" s="10" t="s">
        <v>405</v>
      </c>
      <c r="D106" s="3">
        <v>4</v>
      </c>
      <c r="E106" s="84">
        <v>65000</v>
      </c>
      <c r="F106" s="84">
        <f>Tabla10Maquinaria[[#This Row],[Cantidad]]*Tabla10Maquinaria[[#This Row],[Costo]]</f>
        <v>260000</v>
      </c>
    </row>
    <row r="107" spans="2:6" x14ac:dyDescent="0.25">
      <c r="B107" s="10" t="s">
        <v>500</v>
      </c>
      <c r="C107" s="10" t="s">
        <v>406</v>
      </c>
      <c r="D107" s="3">
        <v>1</v>
      </c>
      <c r="E107" s="84">
        <v>8712000</v>
      </c>
      <c r="F107" s="84">
        <f>Tabla10Maquinaria[[#This Row],[Cantidad]]*Tabla10Maquinaria[[#This Row],[Costo]]</f>
        <v>8712000</v>
      </c>
    </row>
    <row r="108" spans="2:6" x14ac:dyDescent="0.25">
      <c r="B108" s="10" t="s">
        <v>500</v>
      </c>
      <c r="C108" s="10" t="s">
        <v>407</v>
      </c>
      <c r="D108" s="3">
        <v>1</v>
      </c>
      <c r="E108" s="84">
        <v>3498000</v>
      </c>
      <c r="F108" s="84">
        <f>Tabla10Maquinaria[[#This Row],[Cantidad]]*Tabla10Maquinaria[[#This Row],[Costo]]</f>
        <v>3498000</v>
      </c>
    </row>
    <row r="109" spans="2:6" x14ac:dyDescent="0.25">
      <c r="B109" s="10" t="s">
        <v>500</v>
      </c>
      <c r="C109" s="10" t="s">
        <v>408</v>
      </c>
      <c r="D109" s="3">
        <v>3</v>
      </c>
      <c r="E109" s="84">
        <v>3960000</v>
      </c>
      <c r="F109" s="84">
        <f>Tabla10Maquinaria[[#This Row],[Cantidad]]*Tabla10Maquinaria[[#This Row],[Costo]]</f>
        <v>11880000</v>
      </c>
    </row>
    <row r="110" spans="2:6" x14ac:dyDescent="0.25">
      <c r="B110" s="10" t="s">
        <v>500</v>
      </c>
      <c r="C110" s="10" t="s">
        <v>409</v>
      </c>
      <c r="D110" s="3">
        <v>1</v>
      </c>
      <c r="E110" s="84">
        <v>603240</v>
      </c>
      <c r="F110" s="84">
        <f>Tabla10Maquinaria[[#This Row],[Cantidad]]*Tabla10Maquinaria[[#This Row],[Costo]]</f>
        <v>603240</v>
      </c>
    </row>
    <row r="111" spans="2:6" x14ac:dyDescent="0.25">
      <c r="B111" s="10" t="s">
        <v>500</v>
      </c>
      <c r="C111" s="10" t="s">
        <v>410</v>
      </c>
      <c r="D111" s="3">
        <v>4</v>
      </c>
      <c r="E111" s="84">
        <v>14256000</v>
      </c>
      <c r="F111" s="84">
        <f>Tabla10Maquinaria[[#This Row],[Cantidad]]*Tabla10Maquinaria[[#This Row],[Costo]]</f>
        <v>57024000</v>
      </c>
    </row>
    <row r="112" spans="2:6" x14ac:dyDescent="0.25">
      <c r="B112" s="10" t="s">
        <v>500</v>
      </c>
      <c r="C112" s="10" t="s">
        <v>411</v>
      </c>
      <c r="D112" s="3">
        <v>2</v>
      </c>
      <c r="E112" s="84">
        <v>594000</v>
      </c>
      <c r="F112" s="84">
        <f>Tabla10Maquinaria[[#This Row],[Cantidad]]*Tabla10Maquinaria[[#This Row],[Costo]]</f>
        <v>1188000</v>
      </c>
    </row>
    <row r="113" spans="2:6" x14ac:dyDescent="0.25">
      <c r="C113" s="10" t="s">
        <v>412</v>
      </c>
      <c r="D113" s="3">
        <v>1</v>
      </c>
      <c r="E113" s="84">
        <v>198000</v>
      </c>
      <c r="F113" s="84">
        <f>Tabla10Maquinaria[[#This Row],[Cantidad]]*Tabla10Maquinaria[[#This Row],[Costo]]</f>
        <v>198000</v>
      </c>
    </row>
    <row r="114" spans="2:6" x14ac:dyDescent="0.25">
      <c r="B114" s="10" t="s">
        <v>500</v>
      </c>
      <c r="C114" s="10" t="s">
        <v>413</v>
      </c>
      <c r="D114" s="3">
        <v>1</v>
      </c>
      <c r="E114" s="84">
        <v>224400</v>
      </c>
      <c r="F114" s="84">
        <f>Tabla10Maquinaria[[#This Row],[Cantidad]]*Tabla10Maquinaria[[#This Row],[Costo]]</f>
        <v>224400</v>
      </c>
    </row>
    <row r="115" spans="2:6" x14ac:dyDescent="0.25">
      <c r="C115" s="10" t="s">
        <v>414</v>
      </c>
      <c r="D115" s="3">
        <v>4</v>
      </c>
      <c r="E115" s="84">
        <v>8580000</v>
      </c>
      <c r="F115" s="84">
        <f>Tabla10Maquinaria[[#This Row],[Cantidad]]*Tabla10Maquinaria[[#This Row],[Costo]]</f>
        <v>34320000</v>
      </c>
    </row>
    <row r="116" spans="2:6" x14ac:dyDescent="0.25">
      <c r="B116" s="10" t="s">
        <v>501</v>
      </c>
      <c r="C116" s="10" t="s">
        <v>415</v>
      </c>
      <c r="D116" s="3">
        <v>2</v>
      </c>
      <c r="E116" s="84">
        <v>7260000</v>
      </c>
      <c r="F116" s="84">
        <f>Tabla10Maquinaria[[#This Row],[Cantidad]]*Tabla10Maquinaria[[#This Row],[Costo]]</f>
        <v>14520000</v>
      </c>
    </row>
    <row r="117" spans="2:6" x14ac:dyDescent="0.25">
      <c r="B117" s="10" t="s">
        <v>500</v>
      </c>
      <c r="C117" s="10" t="s">
        <v>416</v>
      </c>
      <c r="D117" s="3">
        <v>4</v>
      </c>
      <c r="E117" s="84">
        <v>739200</v>
      </c>
      <c r="F117" s="84">
        <f>Tabla10Maquinaria[[#This Row],[Cantidad]]*Tabla10Maquinaria[[#This Row],[Costo]]</f>
        <v>2956800</v>
      </c>
    </row>
    <row r="118" spans="2:6" x14ac:dyDescent="0.25">
      <c r="B118" s="10" t="s">
        <v>500</v>
      </c>
      <c r="C118" s="10" t="s">
        <v>417</v>
      </c>
      <c r="D118" s="3">
        <v>1</v>
      </c>
      <c r="E118" s="84">
        <v>2494800</v>
      </c>
      <c r="F118" s="84">
        <f>Tabla10Maquinaria[[#This Row],[Cantidad]]*Tabla10Maquinaria[[#This Row],[Costo]]</f>
        <v>2494800</v>
      </c>
    </row>
    <row r="119" spans="2:6" x14ac:dyDescent="0.25">
      <c r="B119" s="10" t="s">
        <v>502</v>
      </c>
      <c r="C119" s="10" t="s">
        <v>418</v>
      </c>
      <c r="D119" s="3">
        <v>1</v>
      </c>
      <c r="E119" s="84">
        <v>85800</v>
      </c>
      <c r="F119" s="84">
        <f>Tabla10Maquinaria[[#This Row],[Cantidad]]*Tabla10Maquinaria[[#This Row],[Costo]]</f>
        <v>85800</v>
      </c>
    </row>
    <row r="120" spans="2:6" x14ac:dyDescent="0.25">
      <c r="B120" s="10" t="s">
        <v>502</v>
      </c>
      <c r="C120" s="10" t="s">
        <v>419</v>
      </c>
      <c r="D120" s="3">
        <v>4</v>
      </c>
      <c r="E120" s="84">
        <v>2376000</v>
      </c>
      <c r="F120" s="84">
        <f>Tabla10Maquinaria[[#This Row],[Cantidad]]*Tabla10Maquinaria[[#This Row],[Costo]]</f>
        <v>9504000</v>
      </c>
    </row>
    <row r="121" spans="2:6" x14ac:dyDescent="0.25">
      <c r="B121" s="10" t="s">
        <v>502</v>
      </c>
      <c r="C121" s="10" t="s">
        <v>420</v>
      </c>
      <c r="D121" s="3">
        <v>1</v>
      </c>
      <c r="E121" s="84">
        <v>792000</v>
      </c>
      <c r="F121" s="84">
        <f>Tabla10Maquinaria[[#This Row],[Cantidad]]*Tabla10Maquinaria[[#This Row],[Costo]]</f>
        <v>792000</v>
      </c>
    </row>
    <row r="122" spans="2:6" x14ac:dyDescent="0.25">
      <c r="C122" s="10" t="s">
        <v>421</v>
      </c>
      <c r="D122" s="3">
        <v>1</v>
      </c>
      <c r="E122" s="84">
        <v>14520000</v>
      </c>
      <c r="F122" s="84">
        <f>Tabla10Maquinaria[[#This Row],[Cantidad]]*Tabla10Maquinaria[[#This Row],[Costo]]</f>
        <v>14520000</v>
      </c>
    </row>
    <row r="123" spans="2:6" x14ac:dyDescent="0.25">
      <c r="B123" s="10" t="s">
        <v>500</v>
      </c>
      <c r="C123" s="10" t="s">
        <v>422</v>
      </c>
      <c r="D123" s="3">
        <v>1</v>
      </c>
      <c r="E123" s="84">
        <v>39600000</v>
      </c>
      <c r="F123" s="84">
        <f>Tabla10Maquinaria[[#This Row],[Cantidad]]*Tabla10Maquinaria[[#This Row],[Costo]]</f>
        <v>39600000</v>
      </c>
    </row>
    <row r="124" spans="2:6" x14ac:dyDescent="0.25">
      <c r="B124" s="10" t="s">
        <v>13</v>
      </c>
      <c r="D124" s="17"/>
      <c r="E124" s="116"/>
      <c r="F124" s="116">
        <f>SUBTOTAL(109,Tabla10Maquinaria[Subtotal])</f>
        <v>212672371</v>
      </c>
    </row>
    <row r="126" spans="2:6" x14ac:dyDescent="0.25">
      <c r="B126" s="2" t="s">
        <v>32</v>
      </c>
      <c r="C126" s="2"/>
    </row>
    <row r="127" spans="2:6" x14ac:dyDescent="0.25">
      <c r="B127" s="10" t="s">
        <v>29</v>
      </c>
      <c r="C127" s="10" t="s">
        <v>172</v>
      </c>
      <c r="D127" s="3" t="s">
        <v>30</v>
      </c>
      <c r="E127" s="3" t="s">
        <v>31</v>
      </c>
      <c r="F127" s="3" t="s">
        <v>23</v>
      </c>
    </row>
    <row r="128" spans="2:6" ht="30" x14ac:dyDescent="0.25">
      <c r="B128" s="10" t="s">
        <v>503</v>
      </c>
      <c r="C128" s="10" t="s">
        <v>431</v>
      </c>
      <c r="D128" s="3">
        <v>3</v>
      </c>
      <c r="E128" s="84">
        <v>652365</v>
      </c>
      <c r="F128" s="84">
        <f>Tabla11Equipo[[#This Row],[Cantidad]]*Tabla11Equipo[[#This Row],[Costo]]</f>
        <v>1957095</v>
      </c>
    </row>
    <row r="129" spans="2:6" x14ac:dyDescent="0.25">
      <c r="B129" s="10" t="s">
        <v>503</v>
      </c>
      <c r="C129" s="10" t="s">
        <v>432</v>
      </c>
      <c r="D129" s="3">
        <v>1</v>
      </c>
      <c r="E129" s="84">
        <v>889852</v>
      </c>
      <c r="F129" s="84">
        <f>Tabla11Equipo[[#This Row],[Cantidad]]*Tabla11Equipo[[#This Row],[Costo]]</f>
        <v>889852</v>
      </c>
    </row>
    <row r="130" spans="2:6" x14ac:dyDescent="0.25">
      <c r="B130" s="10" t="s">
        <v>504</v>
      </c>
      <c r="C130" s="10" t="s">
        <v>433</v>
      </c>
      <c r="D130" s="3">
        <v>3</v>
      </c>
      <c r="E130" s="84">
        <v>195000</v>
      </c>
      <c r="F130" s="84">
        <f>Tabla11Equipo[[#This Row],[Cantidad]]*Tabla11Equipo[[#This Row],[Costo]]</f>
        <v>585000</v>
      </c>
    </row>
    <row r="131" spans="2:6" x14ac:dyDescent="0.25">
      <c r="B131" s="10" t="s">
        <v>504</v>
      </c>
      <c r="C131" s="10" t="s">
        <v>434</v>
      </c>
      <c r="D131" s="3">
        <v>1</v>
      </c>
      <c r="E131" s="84">
        <v>689622</v>
      </c>
      <c r="F131" s="84">
        <f>Tabla11Equipo[[#This Row],[Cantidad]]*Tabla11Equipo[[#This Row],[Costo]]</f>
        <v>689622</v>
      </c>
    </row>
    <row r="132" spans="2:6" x14ac:dyDescent="0.25">
      <c r="B132" s="10" t="s">
        <v>504</v>
      </c>
      <c r="C132" s="10" t="s">
        <v>435</v>
      </c>
      <c r="D132" s="3">
        <v>2</v>
      </c>
      <c r="E132" s="84">
        <v>299000</v>
      </c>
      <c r="F132" s="84">
        <f>Tabla11Equipo[[#This Row],[Cantidad]]*Tabla11Equipo[[#This Row],[Costo]]</f>
        <v>598000</v>
      </c>
    </row>
    <row r="133" spans="2:6" x14ac:dyDescent="0.25">
      <c r="B133" s="10" t="s">
        <v>506</v>
      </c>
      <c r="C133" s="10" t="s">
        <v>436</v>
      </c>
      <c r="D133" s="3">
        <v>4</v>
      </c>
      <c r="E133" s="84">
        <v>520111</v>
      </c>
      <c r="F133" s="84">
        <f>Tabla11Equipo[[#This Row],[Cantidad]]*Tabla11Equipo[[#This Row],[Costo]]</f>
        <v>2080444</v>
      </c>
    </row>
    <row r="134" spans="2:6" x14ac:dyDescent="0.25">
      <c r="B134" s="10" t="s">
        <v>504</v>
      </c>
      <c r="C134" s="10" t="s">
        <v>437</v>
      </c>
      <c r="D134" s="3">
        <v>10</v>
      </c>
      <c r="E134" s="84">
        <v>85000</v>
      </c>
      <c r="F134" s="84">
        <f>Tabla11Equipo[[#This Row],[Cantidad]]*Tabla11Equipo[[#This Row],[Costo]]</f>
        <v>850000</v>
      </c>
    </row>
    <row r="135" spans="2:6" x14ac:dyDescent="0.25">
      <c r="B135" s="10" t="s">
        <v>505</v>
      </c>
      <c r="C135" s="10" t="s">
        <v>438</v>
      </c>
      <c r="D135" s="3">
        <v>1</v>
      </c>
      <c r="E135" s="84">
        <v>689500</v>
      </c>
      <c r="F135" s="84">
        <f>Tabla11Equipo[[#This Row],[Cantidad]]*Tabla11Equipo[[#This Row],[Costo]]</f>
        <v>689500</v>
      </c>
    </row>
    <row r="136" spans="2:6" x14ac:dyDescent="0.25">
      <c r="B136" s="10" t="s">
        <v>505</v>
      </c>
      <c r="C136" s="10" t="s">
        <v>439</v>
      </c>
      <c r="D136" s="3">
        <v>2</v>
      </c>
      <c r="E136" s="84">
        <v>358900</v>
      </c>
      <c r="F136" s="84">
        <f>Tabla11Equipo[[#This Row],[Cantidad]]*Tabla11Equipo[[#This Row],[Costo]]</f>
        <v>717800</v>
      </c>
    </row>
    <row r="137" spans="2:6" x14ac:dyDescent="0.25">
      <c r="B137" s="10" t="s">
        <v>504</v>
      </c>
      <c r="C137" s="10" t="s">
        <v>440</v>
      </c>
      <c r="D137" s="3">
        <v>8</v>
      </c>
      <c r="E137" s="84">
        <v>32000</v>
      </c>
      <c r="F137" s="84">
        <f>Tabla11Equipo[[#This Row],[Cantidad]]*Tabla11Equipo[[#This Row],[Costo]]</f>
        <v>256000</v>
      </c>
    </row>
    <row r="138" spans="2:6" x14ac:dyDescent="0.25">
      <c r="B138" s="10" t="s">
        <v>13</v>
      </c>
      <c r="D138" s="17"/>
      <c r="E138" s="116"/>
      <c r="F138" s="116">
        <f>SUBTOTAL(109,Tabla11Equipo[Subtotal])</f>
        <v>9313313</v>
      </c>
    </row>
    <row r="140" spans="2:6" x14ac:dyDescent="0.25">
      <c r="B140" s="2" t="s">
        <v>33</v>
      </c>
      <c r="C140" s="2"/>
    </row>
    <row r="141" spans="2:6" x14ac:dyDescent="0.25">
      <c r="B141" s="10" t="s">
        <v>29</v>
      </c>
      <c r="C141" s="10" t="s">
        <v>172</v>
      </c>
      <c r="D141" s="3" t="s">
        <v>30</v>
      </c>
      <c r="E141" s="3" t="s">
        <v>31</v>
      </c>
      <c r="F141" s="3" t="s">
        <v>441</v>
      </c>
    </row>
    <row r="142" spans="2:6" ht="15.75" x14ac:dyDescent="0.25">
      <c r="B142" s="10" t="s">
        <v>510</v>
      </c>
      <c r="C142" s="92" t="s">
        <v>423</v>
      </c>
      <c r="D142" s="92">
        <v>3</v>
      </c>
      <c r="E142" s="106">
        <v>1484900</v>
      </c>
      <c r="F142" s="84">
        <f>Tabla12Computo[[#This Row],[Cantidad]]*Tabla12Computo[[#This Row],[Costo]]</f>
        <v>4454700</v>
      </c>
    </row>
    <row r="143" spans="2:6" x14ac:dyDescent="0.25">
      <c r="B143" s="10" t="s">
        <v>507</v>
      </c>
      <c r="C143" s="10" t="s">
        <v>424</v>
      </c>
      <c r="D143" s="3">
        <v>1</v>
      </c>
      <c r="E143" s="84">
        <v>932000</v>
      </c>
      <c r="F143" s="84">
        <f>Tabla12Computo[[#This Row],[Cantidad]]*Tabla12Computo[[#This Row],[Costo]]</f>
        <v>932000</v>
      </c>
    </row>
    <row r="144" spans="2:6" x14ac:dyDescent="0.25">
      <c r="B144" s="10" t="s">
        <v>507</v>
      </c>
      <c r="C144" s="10" t="s">
        <v>425</v>
      </c>
      <c r="D144" s="3">
        <v>5</v>
      </c>
      <c r="E144" s="84">
        <v>185236</v>
      </c>
      <c r="F144" s="84">
        <f>Tabla12Computo[[#This Row],[Cantidad]]*Tabla12Computo[[#This Row],[Costo]]</f>
        <v>926180</v>
      </c>
    </row>
    <row r="145" spans="2:6" x14ac:dyDescent="0.25">
      <c r="B145" s="10" t="s">
        <v>508</v>
      </c>
      <c r="C145" s="10" t="s">
        <v>426</v>
      </c>
      <c r="D145" s="3">
        <v>1</v>
      </c>
      <c r="E145" s="84">
        <v>954752</v>
      </c>
      <c r="F145" s="84">
        <f>Tabla12Computo[[#This Row],[Cantidad]]*Tabla12Computo[[#This Row],[Costo]]</f>
        <v>954752</v>
      </c>
    </row>
    <row r="146" spans="2:6" x14ac:dyDescent="0.25">
      <c r="B146" s="10" t="s">
        <v>509</v>
      </c>
      <c r="C146" s="10" t="s">
        <v>427</v>
      </c>
      <c r="D146" s="3">
        <v>5</v>
      </c>
      <c r="E146" s="84">
        <v>195000</v>
      </c>
      <c r="F146" s="84">
        <f>Tabla12Computo[[#This Row],[Cantidad]]*Tabla12Computo[[#This Row],[Costo]]</f>
        <v>975000</v>
      </c>
    </row>
    <row r="147" spans="2:6" x14ac:dyDescent="0.25">
      <c r="B147" s="10" t="s">
        <v>509</v>
      </c>
      <c r="C147" s="10" t="s">
        <v>428</v>
      </c>
      <c r="D147" s="3">
        <v>1</v>
      </c>
      <c r="E147" s="84">
        <v>1458200</v>
      </c>
      <c r="F147" s="84">
        <f>Tabla12Computo[[#This Row],[Cantidad]]*Tabla12Computo[[#This Row],[Costo]]</f>
        <v>1458200</v>
      </c>
    </row>
    <row r="148" spans="2:6" x14ac:dyDescent="0.25">
      <c r="B148" s="10" t="s">
        <v>507</v>
      </c>
      <c r="C148" s="10" t="s">
        <v>429</v>
      </c>
      <c r="D148" s="3">
        <v>1</v>
      </c>
      <c r="E148" s="84">
        <v>954752</v>
      </c>
      <c r="F148" s="84">
        <f>Tabla12Computo[[#This Row],[Cantidad]]*Tabla12Computo[[#This Row],[Costo]]</f>
        <v>954752</v>
      </c>
    </row>
    <row r="149" spans="2:6" x14ac:dyDescent="0.25">
      <c r="B149" s="10" t="s">
        <v>507</v>
      </c>
      <c r="C149" s="10" t="s">
        <v>430</v>
      </c>
      <c r="D149" s="3">
        <v>1</v>
      </c>
      <c r="E149" s="84">
        <v>132500</v>
      </c>
      <c r="F149" s="84">
        <f>Tabla12Computo[[#This Row],[Cantidad]]*Tabla12Computo[[#This Row],[Costo]]</f>
        <v>132500</v>
      </c>
    </row>
    <row r="150" spans="2:6" x14ac:dyDescent="0.25">
      <c r="B150" s="10" t="s">
        <v>13</v>
      </c>
      <c r="D150" s="17"/>
      <c r="E150" s="115"/>
      <c r="F150" s="115">
        <f>SUBTOTAL(109,Tabla12Computo[TOTAL])</f>
        <v>10788084</v>
      </c>
    </row>
    <row r="151" spans="2:6" ht="15.75" thickBot="1" x14ac:dyDescent="0.3">
      <c r="E151" s="84"/>
      <c r="F151" s="84"/>
    </row>
    <row r="152" spans="2:6" ht="15.75" thickTop="1" x14ac:dyDescent="0.25">
      <c r="B152" s="24" t="s">
        <v>34</v>
      </c>
      <c r="C152" s="23"/>
      <c r="D152" s="15"/>
      <c r="E152" s="89"/>
      <c r="F152" s="90">
        <f>Tabla10Maquinaria[[#Totals],[Subtotal]]+Tabla11Equipo[[#Totals],[Subtotal]]+Tabla12Computo[[#Totals],[TOTAL]]</f>
        <v>232773768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H24"/>
  <sheetViews>
    <sheetView showGridLines="0" topLeftCell="A13" workbookViewId="0">
      <selection activeCell="G26" sqref="G26"/>
    </sheetView>
  </sheetViews>
  <sheetFormatPr baseColWidth="10" defaultRowHeight="15" x14ac:dyDescent="0.25"/>
  <cols>
    <col min="1" max="1" width="11.42578125" style="2"/>
    <col min="2" max="2" width="37.85546875" style="2" bestFit="1" customWidth="1"/>
    <col min="3" max="3" width="14.140625" style="3" bestFit="1" customWidth="1"/>
    <col min="4" max="5" width="11.5703125" style="3" bestFit="1" customWidth="1"/>
    <col min="6" max="8" width="12.140625" style="3" bestFit="1" customWidth="1"/>
    <col min="9" max="16384" width="11.42578125" style="2"/>
  </cols>
  <sheetData>
    <row r="2" spans="2:8" x14ac:dyDescent="0.25">
      <c r="B2" s="8" t="s">
        <v>171</v>
      </c>
    </row>
    <row r="3" spans="2:8" x14ac:dyDescent="0.25">
      <c r="B3" s="12" t="s">
        <v>288</v>
      </c>
    </row>
    <row r="5" spans="2:8" x14ac:dyDescent="0.25">
      <c r="B5" s="2" t="s">
        <v>35</v>
      </c>
    </row>
    <row r="6" spans="2:8" x14ac:dyDescent="0.25">
      <c r="B6" s="2" t="s">
        <v>172</v>
      </c>
      <c r="C6" s="3" t="s">
        <v>36</v>
      </c>
      <c r="D6" s="3" t="s">
        <v>37</v>
      </c>
      <c r="E6" s="3" t="s">
        <v>38</v>
      </c>
      <c r="F6" s="3" t="s">
        <v>39</v>
      </c>
      <c r="G6" s="3" t="s">
        <v>40</v>
      </c>
      <c r="H6" s="3" t="s">
        <v>41</v>
      </c>
    </row>
    <row r="7" spans="2:8" x14ac:dyDescent="0.25">
      <c r="B7" s="2" t="s">
        <v>442</v>
      </c>
      <c r="C7" s="3">
        <v>200000</v>
      </c>
      <c r="D7" s="3">
        <v>2400000</v>
      </c>
      <c r="E7" s="3">
        <v>2498160</v>
      </c>
      <c r="F7" s="3">
        <v>2577601.4879999999</v>
      </c>
      <c r="G7" s="3">
        <v>2675550.344544</v>
      </c>
      <c r="H7" s="3">
        <v>2718626.7050911584</v>
      </c>
    </row>
    <row r="8" spans="2:8" x14ac:dyDescent="0.25">
      <c r="B8" s="2" t="s">
        <v>13</v>
      </c>
      <c r="C8" s="17">
        <f>SUBTOTAL(109,Tabla13GastosAdm[Costo (Mes)])</f>
        <v>200000</v>
      </c>
      <c r="D8" s="17">
        <f>SUBTOTAL(109,Tabla13GastosAdm[Año 1])</f>
        <v>2400000</v>
      </c>
      <c r="E8" s="17">
        <f>SUBTOTAL(109,Tabla13GastosAdm[Año 2])</f>
        <v>2498160</v>
      </c>
      <c r="F8" s="17">
        <f>SUBTOTAL(109,Tabla13GastosAdm[Año 3])</f>
        <v>2577601.4879999999</v>
      </c>
      <c r="G8" s="17">
        <f>SUBTOTAL(109,Tabla13GastosAdm[Año 4])</f>
        <v>2675550.344544</v>
      </c>
      <c r="H8" s="17">
        <f>SUBTOTAL(109,Tabla13GastosAdm[Año 5])</f>
        <v>2718626.7050911584</v>
      </c>
    </row>
    <row r="10" spans="2:8" x14ac:dyDescent="0.25">
      <c r="B10" s="2" t="s">
        <v>42</v>
      </c>
    </row>
    <row r="11" spans="2:8" x14ac:dyDescent="0.25">
      <c r="B11" s="2" t="s">
        <v>172</v>
      </c>
      <c r="C11" s="3" t="s">
        <v>36</v>
      </c>
      <c r="D11" s="3" t="s">
        <v>37</v>
      </c>
      <c r="E11" s="3" t="s">
        <v>38</v>
      </c>
      <c r="F11" s="3" t="s">
        <v>39</v>
      </c>
      <c r="G11" s="3" t="s">
        <v>40</v>
      </c>
      <c r="H11" s="3" t="s">
        <v>41</v>
      </c>
    </row>
    <row r="12" spans="2:8" x14ac:dyDescent="0.25">
      <c r="B12" s="2" t="s">
        <v>443</v>
      </c>
      <c r="C12" s="3">
        <v>125000</v>
      </c>
      <c r="D12" s="3">
        <v>1500000</v>
      </c>
      <c r="E12" s="3">
        <v>1547700</v>
      </c>
      <c r="F12" s="3">
        <v>1606512.6</v>
      </c>
      <c r="G12" s="3">
        <v>1632377.4528600001</v>
      </c>
      <c r="H12" s="3">
        <v>1724117.065710732</v>
      </c>
    </row>
    <row r="13" spans="2:8" x14ac:dyDescent="0.25">
      <c r="B13" s="2" t="s">
        <v>13</v>
      </c>
      <c r="C13" s="17">
        <f>SUBTOTAL(109,Tabla14GastosVentas[Costo (Mes)])</f>
        <v>125000</v>
      </c>
      <c r="D13" s="17">
        <f>SUBTOTAL(109,Tabla14GastosVentas[Año 1])</f>
        <v>1500000</v>
      </c>
      <c r="E13" s="17">
        <f>SUBTOTAL(109,Tabla14GastosVentas[Año 2])</f>
        <v>1547700</v>
      </c>
      <c r="F13" s="17">
        <f>SUBTOTAL(109,Tabla14GastosVentas[Año 3])</f>
        <v>1606512.6</v>
      </c>
      <c r="G13" s="17">
        <f>SUBTOTAL(109,Tabla14GastosVentas[Año 4])</f>
        <v>1632377.4528600001</v>
      </c>
      <c r="H13" s="17">
        <f>SUBTOTAL(109,Tabla14GastosVentas[Año 5])</f>
        <v>1724117.065710732</v>
      </c>
    </row>
    <row r="15" spans="2:8" x14ac:dyDescent="0.25">
      <c r="B15" s="2" t="s">
        <v>43</v>
      </c>
    </row>
    <row r="16" spans="2:8" x14ac:dyDescent="0.25">
      <c r="B16" s="2" t="s">
        <v>172</v>
      </c>
      <c r="C16" s="3" t="s">
        <v>36</v>
      </c>
      <c r="D16" s="3" t="s">
        <v>37</v>
      </c>
      <c r="E16" s="3" t="s">
        <v>38</v>
      </c>
      <c r="F16" s="3" t="s">
        <v>39</v>
      </c>
      <c r="G16" s="3" t="s">
        <v>40</v>
      </c>
      <c r="H16" s="3" t="s">
        <v>41</v>
      </c>
    </row>
    <row r="17" spans="2:8" x14ac:dyDescent="0.25">
      <c r="B17" s="2" t="s">
        <v>444</v>
      </c>
      <c r="C17" s="3">
        <v>3200000</v>
      </c>
      <c r="D17" s="3">
        <v>38400000</v>
      </c>
      <c r="E17" s="3">
        <v>39621120</v>
      </c>
      <c r="F17" s="3">
        <v>41126722.560000002</v>
      </c>
      <c r="G17" s="3">
        <v>41788862.793216005</v>
      </c>
      <c r="H17" s="3">
        <v>44137396.882194743</v>
      </c>
    </row>
    <row r="18" spans="2:8" x14ac:dyDescent="0.25">
      <c r="B18" s="2" t="s">
        <v>44</v>
      </c>
      <c r="C18" s="3">
        <v>98500</v>
      </c>
      <c r="D18" s="3">
        <v>1182000</v>
      </c>
      <c r="E18" s="3">
        <v>1219587.6000000001</v>
      </c>
      <c r="F18" s="3">
        <v>1265931.9288000001</v>
      </c>
      <c r="G18" s="3">
        <v>1286313.4328536801</v>
      </c>
      <c r="H18" s="3">
        <v>1358604.2477800569</v>
      </c>
    </row>
    <row r="19" spans="2:8" x14ac:dyDescent="0.25">
      <c r="B19" s="2" t="s">
        <v>267</v>
      </c>
      <c r="C19" s="3">
        <v>435000</v>
      </c>
      <c r="D19" s="3">
        <v>5220000</v>
      </c>
      <c r="E19" s="3">
        <v>5385996</v>
      </c>
      <c r="F19" s="3">
        <v>5590663.8480000002</v>
      </c>
      <c r="G19" s="3">
        <v>5680673.5359528</v>
      </c>
      <c r="H19" s="3">
        <v>5999927.3886733474</v>
      </c>
    </row>
    <row r="20" spans="2:8" x14ac:dyDescent="0.25">
      <c r="B20" s="2" t="s">
        <v>45</v>
      </c>
      <c r="C20" s="3">
        <v>45000</v>
      </c>
      <c r="D20" s="3">
        <v>540000</v>
      </c>
      <c r="E20" s="3">
        <v>557172</v>
      </c>
      <c r="F20" s="3">
        <v>578344.53599999996</v>
      </c>
      <c r="G20" s="3">
        <v>587655.88302959991</v>
      </c>
      <c r="H20" s="3">
        <v>620682.14365586347</v>
      </c>
    </row>
    <row r="21" spans="2:8" x14ac:dyDescent="0.25">
      <c r="B21" s="2" t="s">
        <v>13</v>
      </c>
      <c r="C21" s="17">
        <f>SUBTOTAL(109,Tabla15GastosOpera[Costo (Mes)])</f>
        <v>3778500</v>
      </c>
      <c r="D21" s="17">
        <f>SUBTOTAL(109,Tabla15GastosOpera[Año 1])</f>
        <v>45342000</v>
      </c>
      <c r="E21" s="17">
        <f>SUBTOTAL(109,Tabla15GastosOpera[Año 2])</f>
        <v>46783875.600000001</v>
      </c>
      <c r="F21" s="17">
        <f>SUBTOTAL(109,Tabla15GastosOpera[Año 3])</f>
        <v>48561662.8728</v>
      </c>
      <c r="G21" s="17">
        <f>SUBTOTAL(109,Tabla15GastosOpera[Año 4])</f>
        <v>49343505.64505209</v>
      </c>
      <c r="H21" s="17">
        <f>SUBTOTAL(109,Tabla15GastosOpera[Año 5])</f>
        <v>52116610.662304014</v>
      </c>
    </row>
    <row r="22" spans="2:8" ht="15.75" thickBot="1" x14ac:dyDescent="0.3"/>
    <row r="23" spans="2:8" ht="16.5" thickTop="1" thickBot="1" x14ac:dyDescent="0.3">
      <c r="B23" s="13" t="s">
        <v>46</v>
      </c>
      <c r="C23" s="26">
        <f>Tabla13GastosAdm[[#Totals],[Costo (Mes)]]+Tabla14GastosVentas[[#Totals],[Costo (Mes)]]+Tabla15GastosOpera[[#Totals],[Costo (Mes)]]</f>
        <v>4103500</v>
      </c>
      <c r="D23" s="26">
        <f>Tabla13GastosAdm[[#Totals],[Año 1]]+Tabla14GastosVentas[[#Totals],[Año 1]]+Tabla15GastosOpera[[#Totals],[Año 1]]</f>
        <v>49242000</v>
      </c>
      <c r="E23" s="26">
        <f>Tabla13GastosAdm[[#Totals],[Año 2]]+Tabla14GastosVentas[[#Totals],[Año 2]]+Tabla15GastosOpera[[#Totals],[Año 2]]</f>
        <v>50829735.600000001</v>
      </c>
      <c r="F23" s="26">
        <f>Tabla13GastosAdm[[#Totals],[Año 3]]+Tabla14GastosVentas[[#Totals],[Año 3]]+Tabla15GastosOpera[[#Totals],[Año 3]]</f>
        <v>52745776.9608</v>
      </c>
      <c r="G23" s="26">
        <f>Tabla13GastosAdm[[#Totals],[Año 4]]+Tabla14GastosVentas[[#Totals],[Año 4]]+Tabla15GastosOpera[[#Totals],[Año 4]]</f>
        <v>53651433.442456089</v>
      </c>
      <c r="H23" s="26">
        <f>Tabla13GastosAdm[[#Totals],[Año 5]]+Tabla14GastosVentas[[#Totals],[Año 5]]+Tabla15GastosOpera[[#Totals],[Año 5]]</f>
        <v>56559354.433105901</v>
      </c>
    </row>
    <row r="24" spans="2:8" ht="15.75" thickTop="1" x14ac:dyDescent="0.25">
      <c r="B24" s="13" t="s">
        <v>47</v>
      </c>
      <c r="C24" s="26">
        <v>3000000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N50"/>
  <sheetViews>
    <sheetView showGridLines="0" topLeftCell="D16" workbookViewId="0">
      <selection activeCell="I24" sqref="I24"/>
    </sheetView>
  </sheetViews>
  <sheetFormatPr baseColWidth="10" defaultRowHeight="15" x14ac:dyDescent="0.25"/>
  <cols>
    <col min="1" max="1" width="11.42578125" style="2"/>
    <col min="2" max="2" width="49.140625" style="2" bestFit="1" customWidth="1"/>
    <col min="3" max="3" width="11.7109375" style="2" bestFit="1" customWidth="1"/>
    <col min="4" max="4" width="12.5703125" style="3" bestFit="1" customWidth="1"/>
    <col min="5" max="5" width="19.7109375" style="2" bestFit="1" customWidth="1"/>
    <col min="6" max="6" width="10.140625" style="3" bestFit="1" customWidth="1"/>
    <col min="7" max="7" width="12.5703125" style="3" bestFit="1" customWidth="1"/>
    <col min="8" max="8" width="11.42578125" style="2"/>
    <col min="9" max="9" width="45.7109375" style="2" bestFit="1" customWidth="1"/>
    <col min="10" max="10" width="11" style="2" bestFit="1" customWidth="1"/>
    <col min="11" max="11" width="12.5703125" style="2" bestFit="1" customWidth="1"/>
    <col min="12" max="12" width="19.7109375" style="2" bestFit="1" customWidth="1"/>
    <col min="13" max="13" width="10.7109375" style="2" bestFit="1" customWidth="1"/>
    <col min="14" max="14" width="14" style="2" bestFit="1" customWidth="1"/>
    <col min="15" max="16384" width="11.42578125" style="2"/>
  </cols>
  <sheetData>
    <row r="2" spans="2:14" x14ac:dyDescent="0.25">
      <c r="B2" s="8" t="s">
        <v>173</v>
      </c>
    </row>
    <row r="3" spans="2:14" x14ac:dyDescent="0.25">
      <c r="B3" s="12" t="s">
        <v>288</v>
      </c>
    </row>
    <row r="6" spans="2:14" x14ac:dyDescent="0.25">
      <c r="B6" s="2" t="s">
        <v>268</v>
      </c>
      <c r="I6" s="2" t="s">
        <v>471</v>
      </c>
      <c r="K6" s="3"/>
      <c r="M6" s="3"/>
      <c r="N6" s="3"/>
    </row>
    <row r="7" spans="2:14" ht="30" x14ac:dyDescent="0.25">
      <c r="B7" s="2" t="s">
        <v>172</v>
      </c>
      <c r="C7" s="2" t="s">
        <v>48</v>
      </c>
      <c r="D7" s="3" t="s">
        <v>30</v>
      </c>
      <c r="E7" s="10" t="s">
        <v>49</v>
      </c>
      <c r="F7" s="3" t="s">
        <v>50</v>
      </c>
      <c r="G7" s="3" t="s">
        <v>13</v>
      </c>
      <c r="I7" s="2" t="s">
        <v>172</v>
      </c>
      <c r="J7" s="2" t="s">
        <v>48</v>
      </c>
      <c r="K7" s="3" t="s">
        <v>30</v>
      </c>
      <c r="L7" s="10" t="s">
        <v>49</v>
      </c>
      <c r="M7" s="3" t="s">
        <v>50</v>
      </c>
      <c r="N7" s="3" t="s">
        <v>13</v>
      </c>
    </row>
    <row r="8" spans="2:14" x14ac:dyDescent="0.25">
      <c r="B8" s="2" t="s">
        <v>53</v>
      </c>
      <c r="C8" s="2" t="s">
        <v>54</v>
      </c>
      <c r="D8" s="3">
        <v>8</v>
      </c>
      <c r="E8" s="2" t="s">
        <v>55</v>
      </c>
      <c r="F8" s="3">
        <v>16500</v>
      </c>
      <c r="G8" s="3">
        <f>Tabla17Papeleria[[#This Row],[Cantidad]]*Tabla17Papeleria[[#This Row],[Precio]]</f>
        <v>132000</v>
      </c>
      <c r="I8" s="2" t="s">
        <v>472</v>
      </c>
      <c r="J8" s="2" t="s">
        <v>54</v>
      </c>
      <c r="K8" s="3">
        <v>120</v>
      </c>
      <c r="L8" s="2" t="s">
        <v>473</v>
      </c>
      <c r="M8" s="112">
        <v>149900</v>
      </c>
      <c r="N8" s="112">
        <f>Tabla17Papeleria5[[#This Row],[Cantidad]]*Tabla17Papeleria5[[#This Row],[Precio]]</f>
        <v>17988000</v>
      </c>
    </row>
    <row r="9" spans="2:14" x14ac:dyDescent="0.25">
      <c r="B9" s="2" t="s">
        <v>56</v>
      </c>
      <c r="C9" s="2" t="s">
        <v>54</v>
      </c>
      <c r="D9" s="3">
        <v>2</v>
      </c>
      <c r="E9" s="2" t="s">
        <v>55</v>
      </c>
      <c r="F9" s="3">
        <v>18600</v>
      </c>
      <c r="G9" s="3">
        <f>Tabla17Papeleria[[#This Row],[Cantidad]]*Tabla17Papeleria[[#This Row],[Precio]]</f>
        <v>37200</v>
      </c>
      <c r="I9" t="s">
        <v>474</v>
      </c>
      <c r="J9" s="2" t="s">
        <v>54</v>
      </c>
      <c r="K9" s="3">
        <v>100</v>
      </c>
      <c r="L9" s="2" t="s">
        <v>476</v>
      </c>
      <c r="M9" s="112">
        <v>220000</v>
      </c>
      <c r="N9" s="112">
        <f>Tabla17Papeleria5[[#This Row],[Cantidad]]*Tabla17Papeleria5[[#This Row],[Precio]]</f>
        <v>22000000</v>
      </c>
    </row>
    <row r="10" spans="2:14" x14ac:dyDescent="0.25">
      <c r="B10" s="2" t="s">
        <v>57</v>
      </c>
      <c r="C10" s="2" t="s">
        <v>54</v>
      </c>
      <c r="D10" s="3">
        <v>6</v>
      </c>
      <c r="E10" s="2" t="s">
        <v>58</v>
      </c>
      <c r="F10" s="3">
        <v>78000</v>
      </c>
      <c r="G10" s="3">
        <f>Tabla17Papeleria[[#This Row],[Cantidad]]*Tabla17Papeleria[[#This Row],[Precio]]</f>
        <v>468000</v>
      </c>
      <c r="I10" s="2" t="s">
        <v>475</v>
      </c>
      <c r="J10" s="2" t="s">
        <v>54</v>
      </c>
      <c r="K10" s="3">
        <v>70</v>
      </c>
      <c r="L10" s="2" t="s">
        <v>477</v>
      </c>
      <c r="M10" s="112">
        <v>361000</v>
      </c>
      <c r="N10" s="112">
        <f>Tabla17Papeleria5[[#This Row],[Cantidad]]*Tabla17Papeleria5[[#This Row],[Precio]]</f>
        <v>25270000</v>
      </c>
    </row>
    <row r="11" spans="2:14" x14ac:dyDescent="0.25">
      <c r="B11" s="2" t="s">
        <v>59</v>
      </c>
      <c r="C11" s="2" t="s">
        <v>54</v>
      </c>
      <c r="D11" s="3">
        <v>3</v>
      </c>
      <c r="E11" s="2" t="s">
        <v>58</v>
      </c>
      <c r="F11" s="3">
        <v>85000</v>
      </c>
      <c r="G11" s="3">
        <f>Tabla17Papeleria[[#This Row],[Cantidad]]*Tabla17Papeleria[[#This Row],[Precio]]</f>
        <v>255000</v>
      </c>
      <c r="I11" s="2" t="s">
        <v>478</v>
      </c>
      <c r="J11" s="2" t="s">
        <v>54</v>
      </c>
      <c r="K11" s="3">
        <v>500</v>
      </c>
      <c r="L11" s="2" t="s">
        <v>61</v>
      </c>
      <c r="M11" s="112">
        <v>12000</v>
      </c>
      <c r="N11" s="112">
        <f>Tabla17Papeleria5[[#This Row],[Cantidad]]*Tabla17Papeleria5[[#This Row],[Precio]]</f>
        <v>6000000</v>
      </c>
    </row>
    <row r="12" spans="2:14" x14ac:dyDescent="0.25">
      <c r="B12" s="2" t="s">
        <v>60</v>
      </c>
      <c r="C12" s="2" t="s">
        <v>54</v>
      </c>
      <c r="D12" s="3">
        <v>4</v>
      </c>
      <c r="E12" s="2" t="s">
        <v>61</v>
      </c>
      <c r="F12" s="3">
        <v>7200</v>
      </c>
      <c r="G12" s="3">
        <f>Tabla17Papeleria[[#This Row],[Cantidad]]*Tabla17Papeleria[[#This Row],[Precio]]</f>
        <v>28800</v>
      </c>
      <c r="I12" s="2" t="s">
        <v>486</v>
      </c>
      <c r="J12" s="2" t="s">
        <v>54</v>
      </c>
      <c r="K12" s="3">
        <v>200</v>
      </c>
      <c r="L12" s="2" t="s">
        <v>61</v>
      </c>
      <c r="M12" s="112">
        <v>39000</v>
      </c>
      <c r="N12" s="112">
        <f>Tabla17Papeleria5[[#This Row],[Cantidad]]*Tabla17Papeleria5[[#This Row],[Precio]]</f>
        <v>7800000</v>
      </c>
    </row>
    <row r="13" spans="2:14" x14ac:dyDescent="0.25">
      <c r="B13" s="2" t="s">
        <v>62</v>
      </c>
      <c r="C13" s="2" t="s">
        <v>54</v>
      </c>
      <c r="D13" s="3">
        <v>2</v>
      </c>
      <c r="E13" s="2" t="s">
        <v>61</v>
      </c>
      <c r="F13" s="3">
        <v>8500</v>
      </c>
      <c r="G13" s="3">
        <f>Tabla17Papeleria[[#This Row],[Cantidad]]*Tabla17Papeleria[[#This Row],[Precio]]</f>
        <v>17000</v>
      </c>
      <c r="I13" s="2" t="s">
        <v>487</v>
      </c>
      <c r="J13" s="2" t="s">
        <v>54</v>
      </c>
      <c r="K13" s="3">
        <v>100</v>
      </c>
      <c r="L13" s="2" t="s">
        <v>61</v>
      </c>
      <c r="M13" s="112">
        <v>35000</v>
      </c>
      <c r="N13" s="112">
        <f>Tabla17Papeleria5[[#This Row],[Cantidad]]*Tabla17Papeleria5[[#This Row],[Precio]]</f>
        <v>3500000</v>
      </c>
    </row>
    <row r="14" spans="2:14" x14ac:dyDescent="0.25">
      <c r="B14" s="2" t="s">
        <v>63</v>
      </c>
      <c r="C14" s="2" t="s">
        <v>54</v>
      </c>
      <c r="D14" s="3">
        <v>4</v>
      </c>
      <c r="E14" s="2" t="s">
        <v>64</v>
      </c>
      <c r="F14" s="3">
        <v>9600</v>
      </c>
      <c r="G14" s="3">
        <f>Tabla17Papeleria[[#This Row],[Cantidad]]*Tabla17Papeleria[[#This Row],[Precio]]</f>
        <v>38400</v>
      </c>
      <c r="I14" s="2" t="s">
        <v>488</v>
      </c>
      <c r="J14" s="2" t="s">
        <v>54</v>
      </c>
      <c r="K14" s="3">
        <v>30</v>
      </c>
      <c r="L14" s="2" t="s">
        <v>61</v>
      </c>
      <c r="M14" s="112">
        <v>300000</v>
      </c>
      <c r="N14" s="112">
        <f>Tabla17Papeleria5[[#This Row],[Cantidad]]*Tabla17Papeleria5[[#This Row],[Precio]]</f>
        <v>9000000</v>
      </c>
    </row>
    <row r="15" spans="2:14" x14ac:dyDescent="0.25">
      <c r="B15" s="2" t="s">
        <v>65</v>
      </c>
      <c r="C15" s="2" t="s">
        <v>54</v>
      </c>
      <c r="D15" s="3">
        <v>3</v>
      </c>
      <c r="E15" s="2" t="s">
        <v>66</v>
      </c>
      <c r="F15" s="3">
        <v>16000</v>
      </c>
      <c r="G15" s="3">
        <f>Tabla17Papeleria[[#This Row],[Cantidad]]*Tabla17Papeleria[[#This Row],[Precio]]</f>
        <v>48000</v>
      </c>
      <c r="I15" s="2" t="s">
        <v>479</v>
      </c>
      <c r="J15" s="2" t="s">
        <v>54</v>
      </c>
      <c r="K15" s="3">
        <v>20</v>
      </c>
      <c r="L15" s="2" t="s">
        <v>61</v>
      </c>
      <c r="M15" s="112">
        <v>200000</v>
      </c>
      <c r="N15" s="112">
        <f>Tabla17Papeleria5[[#This Row],[Cantidad]]*Tabla17Papeleria5[[#This Row],[Precio]]</f>
        <v>4000000</v>
      </c>
    </row>
    <row r="16" spans="2:14" x14ac:dyDescent="0.25">
      <c r="B16" s="2" t="s">
        <v>67</v>
      </c>
      <c r="C16" s="2" t="s">
        <v>54</v>
      </c>
      <c r="D16" s="3">
        <v>2</v>
      </c>
      <c r="E16" s="2" t="s">
        <v>68</v>
      </c>
      <c r="F16" s="3">
        <v>21000</v>
      </c>
      <c r="G16" s="3">
        <f>Tabla17Papeleria[[#This Row],[Cantidad]]*Tabla17Papeleria[[#This Row],[Precio]]</f>
        <v>42000</v>
      </c>
      <c r="I16" s="2" t="s">
        <v>480</v>
      </c>
      <c r="J16" s="2" t="s">
        <v>54</v>
      </c>
      <c r="K16" s="3">
        <v>25</v>
      </c>
      <c r="L16" s="2" t="s">
        <v>61</v>
      </c>
      <c r="M16" s="112">
        <v>280000</v>
      </c>
      <c r="N16" s="112">
        <f>Tabla17Papeleria5[[#This Row],[Cantidad]]*Tabla17Papeleria5[[#This Row],[Precio]]</f>
        <v>7000000</v>
      </c>
    </row>
    <row r="17" spans="2:14" x14ac:dyDescent="0.25">
      <c r="B17" s="2" t="s">
        <v>69</v>
      </c>
      <c r="C17" s="2" t="s">
        <v>54</v>
      </c>
      <c r="D17" s="3">
        <v>3</v>
      </c>
      <c r="E17" s="2" t="s">
        <v>70</v>
      </c>
      <c r="F17" s="3">
        <v>22000</v>
      </c>
      <c r="G17" s="3">
        <f>Tabla17Papeleria[[#This Row],[Cantidad]]*Tabla17Papeleria[[#This Row],[Precio]]</f>
        <v>66000</v>
      </c>
      <c r="I17" s="2" t="s">
        <v>481</v>
      </c>
      <c r="J17" s="2" t="s">
        <v>54</v>
      </c>
      <c r="K17" s="3">
        <v>20</v>
      </c>
      <c r="L17" s="2" t="s">
        <v>61</v>
      </c>
      <c r="M17" s="112">
        <v>350000</v>
      </c>
      <c r="N17" s="112">
        <f>Tabla17Papeleria5[[#This Row],[Cantidad]]*Tabla17Papeleria5[[#This Row],[Precio]]</f>
        <v>7000000</v>
      </c>
    </row>
    <row r="18" spans="2:14" x14ac:dyDescent="0.25">
      <c r="B18" s="2" t="s">
        <v>71</v>
      </c>
      <c r="C18" s="2" t="s">
        <v>54</v>
      </c>
      <c r="D18" s="3">
        <v>3</v>
      </c>
      <c r="E18" s="2" t="s">
        <v>61</v>
      </c>
      <c r="F18" s="3">
        <v>10200</v>
      </c>
      <c r="G18" s="3">
        <f>Tabla17Papeleria[[#This Row],[Cantidad]]*Tabla17Papeleria[[#This Row],[Precio]]</f>
        <v>30600</v>
      </c>
      <c r="I18" s="2" t="s">
        <v>482</v>
      </c>
      <c r="J18" s="2" t="s">
        <v>54</v>
      </c>
      <c r="K18" s="3">
        <v>15</v>
      </c>
      <c r="L18" s="2" t="s">
        <v>61</v>
      </c>
      <c r="M18" s="112">
        <v>380000</v>
      </c>
      <c r="N18" s="112">
        <f>Tabla17Papeleria5[[#This Row],[Cantidad]]*Tabla17Papeleria5[[#This Row],[Precio]]</f>
        <v>5700000</v>
      </c>
    </row>
    <row r="19" spans="2:14" x14ac:dyDescent="0.25">
      <c r="B19" s="2" t="s">
        <v>72</v>
      </c>
      <c r="C19" s="2" t="s">
        <v>54</v>
      </c>
      <c r="D19" s="3">
        <v>12</v>
      </c>
      <c r="E19" s="2" t="s">
        <v>61</v>
      </c>
      <c r="F19" s="3">
        <v>13000</v>
      </c>
      <c r="G19" s="3">
        <f>Tabla17Papeleria[[#This Row],[Cantidad]]*Tabla17Papeleria[[#This Row],[Precio]]</f>
        <v>156000</v>
      </c>
      <c r="I19" s="2" t="s">
        <v>483</v>
      </c>
      <c r="J19" s="2" t="s">
        <v>54</v>
      </c>
      <c r="K19" s="3">
        <v>15</v>
      </c>
      <c r="L19" s="2" t="s">
        <v>61</v>
      </c>
      <c r="M19" s="112">
        <v>400000</v>
      </c>
      <c r="N19" s="112">
        <f>Tabla17Papeleria5[[#This Row],[Cantidad]]*Tabla17Papeleria5[[#This Row],[Precio]]</f>
        <v>6000000</v>
      </c>
    </row>
    <row r="20" spans="2:14" ht="15.75" thickBot="1" x14ac:dyDescent="0.3">
      <c r="B20" s="2" t="s">
        <v>73</v>
      </c>
      <c r="C20" s="2" t="s">
        <v>54</v>
      </c>
      <c r="D20" s="3">
        <v>3</v>
      </c>
      <c r="E20" s="2" t="s">
        <v>61</v>
      </c>
      <c r="F20" s="3">
        <v>4000</v>
      </c>
      <c r="G20" s="3">
        <f>Tabla17Papeleria[[#This Row],[Cantidad]]*Tabla17Papeleria[[#This Row],[Precio]]</f>
        <v>12000</v>
      </c>
      <c r="I20" s="2" t="s">
        <v>13</v>
      </c>
      <c r="K20" s="113"/>
      <c r="M20" s="113"/>
      <c r="N20" s="114">
        <f>SUBTOTAL(109,Tabla17Papeleria5[Total])</f>
        <v>121258000</v>
      </c>
    </row>
    <row r="21" spans="2:14" ht="16.5" thickTop="1" thickBot="1" x14ac:dyDescent="0.3">
      <c r="B21" s="2" t="s">
        <v>263</v>
      </c>
      <c r="C21" s="2" t="s">
        <v>54</v>
      </c>
      <c r="D21" s="3">
        <v>2</v>
      </c>
      <c r="E21" s="2" t="s">
        <v>61</v>
      </c>
      <c r="F21" s="3">
        <v>1800</v>
      </c>
      <c r="G21" s="3">
        <f>Tabla17Papeleria[[#This Row],[Cantidad]]*Tabla17Papeleria[[#This Row],[Precio]]</f>
        <v>3600</v>
      </c>
      <c r="I21" s="13" t="s">
        <v>51</v>
      </c>
      <c r="J21" s="18"/>
      <c r="K21" s="21"/>
      <c r="L21" s="18"/>
      <c r="M21" s="21"/>
      <c r="N21" s="16">
        <f>Tabla17Papeleria5[[#Totals],[Total]]/6</f>
        <v>20209666.666666668</v>
      </c>
    </row>
    <row r="22" spans="2:14" ht="15.75" thickTop="1" x14ac:dyDescent="0.25">
      <c r="B22" s="2" t="s">
        <v>74</v>
      </c>
      <c r="C22" s="2" t="s">
        <v>54</v>
      </c>
      <c r="D22" s="3">
        <v>3</v>
      </c>
      <c r="E22" s="2" t="s">
        <v>61</v>
      </c>
      <c r="F22" s="3">
        <v>3000</v>
      </c>
      <c r="G22" s="3">
        <f>Tabla17Papeleria[[#This Row],[Cantidad]]*Tabla17Papeleria[[#This Row],[Precio]]</f>
        <v>9000</v>
      </c>
      <c r="I22" s="13" t="s">
        <v>27</v>
      </c>
      <c r="J22" s="18"/>
      <c r="K22" s="21"/>
      <c r="L22" s="18"/>
      <c r="M22" s="21"/>
      <c r="N22" s="16">
        <f>N21*12</f>
        <v>242516000</v>
      </c>
    </row>
    <row r="23" spans="2:14" x14ac:dyDescent="0.25">
      <c r="B23" s="2" t="s">
        <v>75</v>
      </c>
      <c r="C23" s="2" t="s">
        <v>54</v>
      </c>
      <c r="D23" s="3">
        <v>3</v>
      </c>
      <c r="E23" s="2" t="s">
        <v>61</v>
      </c>
      <c r="F23" s="3">
        <v>8500</v>
      </c>
      <c r="G23" s="3">
        <f>Tabla17Papeleria[[#This Row],[Cantidad]]*Tabla17Papeleria[[#This Row],[Precio]]</f>
        <v>25500</v>
      </c>
    </row>
    <row r="24" spans="2:14" ht="15.75" thickBot="1" x14ac:dyDescent="0.3">
      <c r="B24" s="2" t="s">
        <v>13</v>
      </c>
      <c r="D24" s="27"/>
      <c r="F24" s="27"/>
      <c r="G24" s="17">
        <f>SUBTOTAL(109,Tabla17Papeleria[Total])</f>
        <v>1369100</v>
      </c>
    </row>
    <row r="25" spans="2:14" ht="16.5" thickTop="1" thickBot="1" x14ac:dyDescent="0.3">
      <c r="B25" s="13" t="s">
        <v>51</v>
      </c>
      <c r="C25" s="18"/>
      <c r="D25" s="21"/>
      <c r="E25" s="18"/>
      <c r="F25" s="21"/>
      <c r="G25" s="16">
        <f>Tabla17Papeleria[[#Totals],[Total]]/6</f>
        <v>228183.33333333334</v>
      </c>
    </row>
    <row r="26" spans="2:14" ht="15.75" thickTop="1" x14ac:dyDescent="0.25">
      <c r="B26" s="13" t="s">
        <v>27</v>
      </c>
      <c r="C26" s="18"/>
      <c r="D26" s="21"/>
      <c r="E26" s="18"/>
      <c r="F26" s="21"/>
      <c r="G26" s="16">
        <f>G25*12</f>
        <v>2738200</v>
      </c>
    </row>
    <row r="28" spans="2:14" x14ac:dyDescent="0.25">
      <c r="B28" s="2" t="s">
        <v>76</v>
      </c>
    </row>
    <row r="29" spans="2:14" ht="30" x14ac:dyDescent="0.25">
      <c r="B29" s="2" t="s">
        <v>172</v>
      </c>
      <c r="C29" s="2" t="s">
        <v>48</v>
      </c>
      <c r="D29" s="3" t="s">
        <v>30</v>
      </c>
      <c r="E29" s="10" t="s">
        <v>49</v>
      </c>
      <c r="F29" s="3" t="s">
        <v>50</v>
      </c>
      <c r="G29" s="3" t="s">
        <v>13</v>
      </c>
    </row>
    <row r="30" spans="2:14" x14ac:dyDescent="0.25">
      <c r="B30" s="2" t="s">
        <v>445</v>
      </c>
      <c r="C30" s="2" t="s">
        <v>77</v>
      </c>
      <c r="D30" s="3">
        <v>1</v>
      </c>
      <c r="E30" s="2" t="s">
        <v>269</v>
      </c>
      <c r="F30" s="3">
        <v>28000</v>
      </c>
      <c r="G30" s="3">
        <f>Tabla18Aseo[[#This Row],[Cantidad]]*Tabla18Aseo[[#This Row],[Precio]]</f>
        <v>28000</v>
      </c>
    </row>
    <row r="31" spans="2:14" x14ac:dyDescent="0.25">
      <c r="B31" s="2" t="s">
        <v>446</v>
      </c>
      <c r="C31" s="2" t="s">
        <v>77</v>
      </c>
      <c r="D31" s="3">
        <v>2</v>
      </c>
      <c r="E31" s="2" t="s">
        <v>269</v>
      </c>
      <c r="F31" s="3">
        <v>58000</v>
      </c>
      <c r="G31" s="3">
        <f>Tabla18Aseo[[#This Row],[Cantidad]]*Tabla18Aseo[[#This Row],[Precio]]</f>
        <v>116000</v>
      </c>
    </row>
    <row r="32" spans="2:14" x14ac:dyDescent="0.25">
      <c r="B32" s="2" t="s">
        <v>78</v>
      </c>
      <c r="C32" s="2" t="s">
        <v>77</v>
      </c>
      <c r="D32" s="3">
        <v>6</v>
      </c>
      <c r="E32" s="2" t="s">
        <v>61</v>
      </c>
      <c r="F32" s="3">
        <v>5000</v>
      </c>
      <c r="G32" s="3">
        <f>Tabla18Aseo[[#This Row],[Cantidad]]*Tabla18Aseo[[#This Row],[Precio]]</f>
        <v>30000</v>
      </c>
    </row>
    <row r="33" spans="2:7" x14ac:dyDescent="0.25">
      <c r="B33" s="2" t="s">
        <v>79</v>
      </c>
      <c r="C33" s="2" t="s">
        <v>77</v>
      </c>
      <c r="D33" s="3">
        <v>6</v>
      </c>
      <c r="E33" s="2" t="s">
        <v>80</v>
      </c>
      <c r="F33" s="3">
        <v>10000</v>
      </c>
      <c r="G33" s="3">
        <f>Tabla18Aseo[[#This Row],[Cantidad]]*Tabla18Aseo[[#This Row],[Precio]]</f>
        <v>60000</v>
      </c>
    </row>
    <row r="34" spans="2:7" x14ac:dyDescent="0.25">
      <c r="B34" s="2" t="s">
        <v>81</v>
      </c>
      <c r="C34" s="2" t="s">
        <v>77</v>
      </c>
      <c r="D34" s="3">
        <v>3</v>
      </c>
      <c r="E34" s="2" t="s">
        <v>61</v>
      </c>
      <c r="F34" s="3">
        <v>6500</v>
      </c>
      <c r="G34" s="3">
        <f>Tabla18Aseo[[#This Row],[Cantidad]]*Tabla18Aseo[[#This Row],[Precio]]</f>
        <v>19500</v>
      </c>
    </row>
    <row r="35" spans="2:7" x14ac:dyDescent="0.25">
      <c r="B35" s="2" t="s">
        <v>82</v>
      </c>
      <c r="C35" s="2" t="s">
        <v>77</v>
      </c>
      <c r="D35" s="3">
        <v>1</v>
      </c>
      <c r="E35" s="2" t="s">
        <v>61</v>
      </c>
      <c r="F35" s="3">
        <v>4500</v>
      </c>
      <c r="G35" s="3">
        <f>Tabla18Aseo[[#This Row],[Cantidad]]*Tabla18Aseo[[#This Row],[Precio]]</f>
        <v>4500</v>
      </c>
    </row>
    <row r="36" spans="2:7" x14ac:dyDescent="0.25">
      <c r="B36" s="2" t="s">
        <v>83</v>
      </c>
      <c r="C36" s="2" t="s">
        <v>77</v>
      </c>
      <c r="D36" s="3">
        <v>1</v>
      </c>
      <c r="E36" s="2" t="s">
        <v>61</v>
      </c>
      <c r="F36" s="3">
        <v>5600</v>
      </c>
      <c r="G36" s="3">
        <f>Tabla18Aseo[[#This Row],[Cantidad]]*Tabla18Aseo[[#This Row],[Precio]]</f>
        <v>5600</v>
      </c>
    </row>
    <row r="37" spans="2:7" x14ac:dyDescent="0.25">
      <c r="B37" s="2" t="s">
        <v>264</v>
      </c>
      <c r="C37" s="2" t="s">
        <v>77</v>
      </c>
      <c r="D37" s="3">
        <v>4</v>
      </c>
      <c r="E37" s="2" t="s">
        <v>61</v>
      </c>
      <c r="F37" s="3">
        <v>2000</v>
      </c>
      <c r="G37" s="3">
        <f>Tabla18Aseo[[#This Row],[Cantidad]]*Tabla18Aseo[[#This Row],[Precio]]</f>
        <v>8000</v>
      </c>
    </row>
    <row r="38" spans="2:7" ht="15.75" thickBot="1" x14ac:dyDescent="0.3">
      <c r="B38" s="2" t="s">
        <v>13</v>
      </c>
      <c r="D38" s="27"/>
      <c r="F38" s="27"/>
      <c r="G38" s="17">
        <f>SUBTOTAL(109,Tabla18Aseo[Total])</f>
        <v>271600</v>
      </c>
    </row>
    <row r="39" spans="2:7" ht="16.5" thickTop="1" thickBot="1" x14ac:dyDescent="0.3">
      <c r="B39" s="13" t="s">
        <v>51</v>
      </c>
      <c r="C39" s="18"/>
      <c r="D39" s="21"/>
      <c r="E39" s="18"/>
      <c r="F39" s="21"/>
      <c r="G39" s="16">
        <f>Tabla18Aseo[[#Totals],[Total]]/3</f>
        <v>90533.333333333328</v>
      </c>
    </row>
    <row r="40" spans="2:7" ht="15.75" thickTop="1" x14ac:dyDescent="0.25">
      <c r="B40" s="13" t="s">
        <v>27</v>
      </c>
      <c r="C40" s="18"/>
      <c r="D40" s="21"/>
      <c r="E40" s="18"/>
      <c r="F40" s="21"/>
      <c r="G40" s="16">
        <f>G39*12</f>
        <v>1086400</v>
      </c>
    </row>
    <row r="42" spans="2:7" x14ac:dyDescent="0.25">
      <c r="B42" s="2" t="s">
        <v>84</v>
      </c>
    </row>
    <row r="43" spans="2:7" ht="30" x14ac:dyDescent="0.25">
      <c r="B43" s="2" t="s">
        <v>172</v>
      </c>
      <c r="C43" s="2" t="s">
        <v>48</v>
      </c>
      <c r="D43" s="3" t="s">
        <v>30</v>
      </c>
      <c r="E43" s="10" t="s">
        <v>49</v>
      </c>
      <c r="F43" s="3" t="s">
        <v>50</v>
      </c>
      <c r="G43" s="3" t="s">
        <v>13</v>
      </c>
    </row>
    <row r="44" spans="2:7" x14ac:dyDescent="0.25">
      <c r="B44" s="2" t="s">
        <v>270</v>
      </c>
      <c r="C44" s="2" t="s">
        <v>85</v>
      </c>
      <c r="D44" s="3">
        <v>1</v>
      </c>
      <c r="E44" s="2" t="s">
        <v>61</v>
      </c>
      <c r="F44" s="3">
        <v>150000</v>
      </c>
      <c r="G44" s="3">
        <f>Tabla19OtrosInsumos[[#This Row],[Cantidad]]*Tabla19OtrosInsumos[[#This Row],[Precio]]</f>
        <v>150000</v>
      </c>
    </row>
    <row r="45" spans="2:7" x14ac:dyDescent="0.25">
      <c r="B45" s="2" t="s">
        <v>271</v>
      </c>
      <c r="C45" s="2" t="s">
        <v>85</v>
      </c>
      <c r="D45" s="3">
        <v>1</v>
      </c>
      <c r="E45" s="2" t="s">
        <v>61</v>
      </c>
      <c r="F45" s="3">
        <v>60000</v>
      </c>
      <c r="G45" s="3">
        <f>Tabla19OtrosInsumos[[#This Row],[Cantidad]]*Tabla19OtrosInsumos[[#This Row],[Precio]]</f>
        <v>60000</v>
      </c>
    </row>
    <row r="46" spans="2:7" x14ac:dyDescent="0.25">
      <c r="B46" s="2" t="s">
        <v>86</v>
      </c>
      <c r="C46" s="2" t="s">
        <v>85</v>
      </c>
      <c r="D46" s="3">
        <v>3</v>
      </c>
      <c r="E46" s="2" t="s">
        <v>87</v>
      </c>
      <c r="F46" s="3">
        <v>65000</v>
      </c>
      <c r="G46" s="3">
        <f>Tabla19OtrosInsumos[[#This Row],[Cantidad]]*Tabla19OtrosInsumos[[#This Row],[Precio]]</f>
        <v>195000</v>
      </c>
    </row>
    <row r="47" spans="2:7" ht="15.75" thickBot="1" x14ac:dyDescent="0.3">
      <c r="B47" s="2" t="s">
        <v>13</v>
      </c>
      <c r="D47" s="27"/>
      <c r="F47" s="27"/>
      <c r="G47" s="17">
        <f>SUBTOTAL(109,Tabla19OtrosInsumos[Total])</f>
        <v>405000</v>
      </c>
    </row>
    <row r="48" spans="2:7" ht="15.75" thickTop="1" x14ac:dyDescent="0.25">
      <c r="B48" s="13" t="s">
        <v>51</v>
      </c>
      <c r="C48" s="18"/>
      <c r="D48" s="21"/>
      <c r="E48" s="18"/>
      <c r="F48" s="21"/>
      <c r="G48" s="16">
        <f>Tabla19OtrosInsumos[[#Totals],[Total]]/12</f>
        <v>33750</v>
      </c>
    </row>
    <row r="49" spans="2:7" ht="15.75" thickBot="1" x14ac:dyDescent="0.3"/>
    <row r="50" spans="2:7" ht="15.75" thickTop="1" x14ac:dyDescent="0.25">
      <c r="B50" s="13" t="s">
        <v>52</v>
      </c>
      <c r="C50" s="18"/>
      <c r="D50" s="21"/>
      <c r="E50" s="18"/>
      <c r="F50" s="21"/>
      <c r="G50" s="16">
        <f>SUM(Tabla19OtrosInsumos[[#Totals],[Total]]+G40+G26)</f>
        <v>4229600</v>
      </c>
    </row>
  </sheetData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F9"/>
  <sheetViews>
    <sheetView showGridLines="0" workbookViewId="0">
      <selection activeCell="C13" sqref="C13"/>
    </sheetView>
  </sheetViews>
  <sheetFormatPr baseColWidth="10" defaultRowHeight="15" x14ac:dyDescent="0.25"/>
  <cols>
    <col min="1" max="1" width="11.42578125" style="2"/>
    <col min="2" max="2" width="41.42578125" style="2" bestFit="1" customWidth="1"/>
    <col min="3" max="3" width="16.7109375" style="3" bestFit="1" customWidth="1"/>
    <col min="4" max="4" width="16.5703125" style="3" bestFit="1" customWidth="1"/>
    <col min="5" max="5" width="19.140625" style="6" bestFit="1" customWidth="1"/>
    <col min="6" max="6" width="22.7109375" style="3" bestFit="1" customWidth="1"/>
    <col min="7" max="16384" width="11.42578125" style="2"/>
  </cols>
  <sheetData>
    <row r="2" spans="2:6" x14ac:dyDescent="0.25">
      <c r="B2" s="8" t="s">
        <v>175</v>
      </c>
    </row>
    <row r="3" spans="2:6" x14ac:dyDescent="0.25">
      <c r="B3" s="12" t="s">
        <v>288</v>
      </c>
    </row>
    <row r="5" spans="2:6" ht="30" x14ac:dyDescent="0.25">
      <c r="B5" s="2" t="s">
        <v>88</v>
      </c>
      <c r="C5" s="3" t="s">
        <v>89</v>
      </c>
      <c r="D5" s="25" t="s">
        <v>272</v>
      </c>
      <c r="E5" s="28" t="s">
        <v>273</v>
      </c>
      <c r="F5" s="25" t="s">
        <v>274</v>
      </c>
    </row>
    <row r="6" spans="2:6" x14ac:dyDescent="0.25">
      <c r="B6" s="2" t="s">
        <v>447</v>
      </c>
      <c r="C6" s="84">
        <f>(Tabla10Maquinaria[[#Totals],[Subtotal]])</f>
        <v>212672371</v>
      </c>
      <c r="D6" s="3">
        <v>10</v>
      </c>
      <c r="E6" s="6">
        <v>0.1</v>
      </c>
      <c r="F6" s="84">
        <v>19477126.388999999</v>
      </c>
    </row>
    <row r="7" spans="2:6" x14ac:dyDescent="0.25">
      <c r="B7" s="2" t="s">
        <v>452</v>
      </c>
      <c r="C7" s="84">
        <f>(Tabla11Equipo[[#Totals],[Subtotal]])</f>
        <v>9313313</v>
      </c>
      <c r="D7" s="3">
        <v>10</v>
      </c>
      <c r="E7" s="6">
        <v>0.1</v>
      </c>
      <c r="F7" s="84">
        <v>1108284.247</v>
      </c>
    </row>
    <row r="8" spans="2:6" x14ac:dyDescent="0.25">
      <c r="B8" s="2" t="s">
        <v>448</v>
      </c>
      <c r="C8" s="84">
        <f>(Tabla12Computo[[#Totals],[TOTAL]])</f>
        <v>10788084</v>
      </c>
      <c r="D8" s="3">
        <v>5</v>
      </c>
      <c r="E8" s="6">
        <v>0.2</v>
      </c>
      <c r="F8" s="84">
        <v>890940</v>
      </c>
    </row>
    <row r="9" spans="2:6" x14ac:dyDescent="0.25">
      <c r="B9" s="2" t="s">
        <v>13</v>
      </c>
      <c r="C9" s="17"/>
      <c r="D9" s="17"/>
      <c r="E9" s="29"/>
      <c r="F9" s="84">
        <f>SUBTOTAL(109,Tabla20Depre[Depreciación
(Anual)])</f>
        <v>21476350.636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K16"/>
  <sheetViews>
    <sheetView showGridLines="0" workbookViewId="0">
      <selection activeCell="E16" sqref="E16"/>
    </sheetView>
  </sheetViews>
  <sheetFormatPr baseColWidth="10" defaultRowHeight="15" x14ac:dyDescent="0.25"/>
  <cols>
    <col min="1" max="1" width="11.42578125" style="2"/>
    <col min="2" max="2" width="29.140625" style="2" bestFit="1" customWidth="1"/>
    <col min="3" max="3" width="25.85546875" style="2" bestFit="1" customWidth="1"/>
    <col min="4" max="5" width="16.7109375" style="2" bestFit="1" customWidth="1"/>
    <col min="6" max="6" width="11.42578125" style="2"/>
    <col min="7" max="8" width="15.5703125" style="2" bestFit="1" customWidth="1"/>
    <col min="9" max="10" width="16.7109375" style="2" bestFit="1" customWidth="1"/>
    <col min="11" max="16384" width="11.42578125" style="2"/>
  </cols>
  <sheetData>
    <row r="2" spans="2:11" x14ac:dyDescent="0.25">
      <c r="B2" s="8" t="s">
        <v>174</v>
      </c>
    </row>
    <row r="3" spans="2:11" x14ac:dyDescent="0.25">
      <c r="B3" s="12" t="s">
        <v>288</v>
      </c>
    </row>
    <row r="5" spans="2:11" x14ac:dyDescent="0.25">
      <c r="B5" s="2" t="s">
        <v>154</v>
      </c>
      <c r="C5" s="5"/>
      <c r="G5" s="84"/>
      <c r="H5" s="91" t="s">
        <v>453</v>
      </c>
      <c r="I5" s="84">
        <f>(Maquinas!F152)</f>
        <v>232773768</v>
      </c>
      <c r="J5" s="2" t="s">
        <v>454</v>
      </c>
    </row>
    <row r="6" spans="2:11" x14ac:dyDescent="0.25">
      <c r="I6" s="91">
        <f>(Nomina!L11)</f>
        <v>12241155.442679999</v>
      </c>
      <c r="J6" s="2" t="s">
        <v>455</v>
      </c>
    </row>
    <row r="7" spans="2:11" x14ac:dyDescent="0.25">
      <c r="B7" s="2" t="s">
        <v>88</v>
      </c>
      <c r="C7" s="2" t="s">
        <v>90</v>
      </c>
      <c r="D7" s="2" t="s">
        <v>91</v>
      </c>
      <c r="E7" s="2" t="s">
        <v>13</v>
      </c>
      <c r="I7" s="84">
        <f>(Compras!G50)</f>
        <v>4229600</v>
      </c>
      <c r="J7" s="2" t="s">
        <v>456</v>
      </c>
    </row>
    <row r="8" spans="2:11" ht="15.75" thickBot="1" x14ac:dyDescent="0.3">
      <c r="B8" s="2" t="s">
        <v>460</v>
      </c>
      <c r="C8" s="84">
        <v>0</v>
      </c>
      <c r="D8" s="84">
        <v>0</v>
      </c>
      <c r="E8" s="84">
        <v>0</v>
      </c>
      <c r="I8" s="84">
        <f>Gastos!D23</f>
        <v>49242000</v>
      </c>
      <c r="J8" s="2" t="s">
        <v>457</v>
      </c>
    </row>
    <row r="9" spans="2:11" x14ac:dyDescent="0.25">
      <c r="B9" s="2" t="s">
        <v>461</v>
      </c>
      <c r="C9" s="84">
        <f>(J9)</f>
        <v>179091914.06560799</v>
      </c>
      <c r="D9" s="84">
        <v>0</v>
      </c>
      <c r="E9" s="84">
        <f>(Tabla21Capital[[#This Row],[Aporte del emprendedor]])</f>
        <v>179091914.06560799</v>
      </c>
      <c r="I9" s="107">
        <f>SUM(I5:I8)</f>
        <v>298486523.44268</v>
      </c>
      <c r="J9" s="119">
        <f>(I9*60%)</f>
        <v>179091914.06560799</v>
      </c>
      <c r="K9" s="120" t="s">
        <v>458</v>
      </c>
    </row>
    <row r="10" spans="2:11" ht="15.75" thickBot="1" x14ac:dyDescent="0.3">
      <c r="B10" s="2" t="s">
        <v>462</v>
      </c>
      <c r="C10" s="84">
        <v>0</v>
      </c>
      <c r="D10" s="84">
        <f>(J10)</f>
        <v>119394609.37707201</v>
      </c>
      <c r="E10" s="84">
        <f>(Tabla21Capital[[#This Row],[Otras fuentes]])</f>
        <v>119394609.37707201</v>
      </c>
      <c r="J10" s="121">
        <f>(I9*40%)</f>
        <v>119394609.37707201</v>
      </c>
      <c r="K10" s="122" t="s">
        <v>459</v>
      </c>
    </row>
    <row r="11" spans="2:11" x14ac:dyDescent="0.25">
      <c r="B11" s="2" t="s">
        <v>463</v>
      </c>
      <c r="C11" s="84">
        <v>0</v>
      </c>
      <c r="D11" s="84">
        <v>0</v>
      </c>
      <c r="E11" s="84">
        <v>0</v>
      </c>
    </row>
    <row r="12" spans="2:11" x14ac:dyDescent="0.25">
      <c r="B12" s="2" t="s">
        <v>464</v>
      </c>
      <c r="C12" s="84">
        <v>0</v>
      </c>
      <c r="D12" s="84">
        <v>0</v>
      </c>
      <c r="E12" s="84">
        <v>0</v>
      </c>
    </row>
    <row r="13" spans="2:11" x14ac:dyDescent="0.25">
      <c r="B13" s="2" t="s">
        <v>465</v>
      </c>
      <c r="C13" s="84">
        <v>0</v>
      </c>
      <c r="D13" s="84">
        <v>0</v>
      </c>
      <c r="E13" s="84">
        <v>0</v>
      </c>
    </row>
    <row r="14" spans="2:11" x14ac:dyDescent="0.25">
      <c r="B14" s="2" t="s">
        <v>466</v>
      </c>
      <c r="C14" s="84">
        <v>0</v>
      </c>
      <c r="D14" s="84">
        <v>0</v>
      </c>
      <c r="E14" s="84">
        <v>0</v>
      </c>
    </row>
    <row r="15" spans="2:11" x14ac:dyDescent="0.25">
      <c r="B15" s="2" t="s">
        <v>467</v>
      </c>
      <c r="C15" s="84">
        <v>0</v>
      </c>
      <c r="D15" s="84">
        <v>0</v>
      </c>
      <c r="E15" s="84">
        <v>0</v>
      </c>
    </row>
    <row r="16" spans="2:11" x14ac:dyDescent="0.25">
      <c r="B16" s="2" t="s">
        <v>13</v>
      </c>
      <c r="C16" s="84"/>
      <c r="D16" s="84"/>
      <c r="E16" s="84">
        <f>SUBTOTAL(109,Tabla21Capital[Total])</f>
        <v>298486523.44268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N70"/>
  <sheetViews>
    <sheetView showGridLines="0" workbookViewId="0">
      <selection activeCell="C5" sqref="C5"/>
    </sheetView>
  </sheetViews>
  <sheetFormatPr baseColWidth="10" defaultRowHeight="15" x14ac:dyDescent="0.25"/>
  <cols>
    <col min="1" max="1" width="11.42578125" style="2"/>
    <col min="2" max="2" width="20.7109375" style="2" bestFit="1" customWidth="1"/>
    <col min="3" max="3" width="12.5703125" style="3" bestFit="1" customWidth="1"/>
    <col min="4" max="4" width="18.42578125" style="3" bestFit="1" customWidth="1"/>
    <col min="5" max="5" width="11" style="3" bestFit="1" customWidth="1"/>
    <col min="6" max="6" width="10.85546875" style="3" bestFit="1" customWidth="1"/>
    <col min="7" max="7" width="17.42578125" style="3" bestFit="1" customWidth="1"/>
    <col min="8" max="8" width="11.5703125" style="3" bestFit="1" customWidth="1"/>
    <col min="9" max="9" width="12.140625" style="77" bestFit="1" customWidth="1"/>
    <col min="10" max="10" width="18.140625" style="77" bestFit="1" customWidth="1"/>
    <col min="11" max="11" width="19.140625" style="77" bestFit="1" customWidth="1"/>
    <col min="12" max="12" width="15.140625" style="3" bestFit="1" customWidth="1"/>
    <col min="13" max="16384" width="11.42578125" style="2"/>
  </cols>
  <sheetData>
    <row r="2" spans="2:14" x14ac:dyDescent="0.25">
      <c r="B2" s="8" t="s">
        <v>176</v>
      </c>
    </row>
    <row r="3" spans="2:14" x14ac:dyDescent="0.25">
      <c r="B3" s="12" t="s">
        <v>288</v>
      </c>
    </row>
    <row r="4" spans="2:14" x14ac:dyDescent="0.25">
      <c r="I4" s="3"/>
      <c r="J4" s="30" t="s">
        <v>94</v>
      </c>
      <c r="K4" s="31">
        <f>Tabla7VentasAnual[Año 1]/12</f>
        <v>62349166.666666664</v>
      </c>
      <c r="L4" s="79"/>
      <c r="M4" s="33"/>
      <c r="N4" s="78"/>
    </row>
    <row r="5" spans="2:14" x14ac:dyDescent="0.25">
      <c r="B5" s="38" t="s">
        <v>275</v>
      </c>
      <c r="C5" s="39">
        <f>(Capital!E10)</f>
        <v>119394609.37707201</v>
      </c>
      <c r="I5" s="3"/>
      <c r="J5" s="32" t="s">
        <v>95</v>
      </c>
      <c r="K5" s="33" t="e">
        <f>Nomina!L11+Maquinas!F152+Gastos!C23+Compras!#REF!+Compras!G25+Compras!G39+Compras!G48</f>
        <v>#REF!</v>
      </c>
      <c r="L5" s="34" t="e">
        <f>K5-(Capital!E9+Capital!E15)</f>
        <v>#REF!</v>
      </c>
      <c r="M5" s="33"/>
      <c r="N5" s="78"/>
    </row>
    <row r="6" spans="2:14" x14ac:dyDescent="0.25">
      <c r="B6" s="38" t="s">
        <v>96</v>
      </c>
      <c r="C6" s="108">
        <v>2.86E-2</v>
      </c>
      <c r="I6" s="3"/>
      <c r="J6" s="35"/>
      <c r="K6" s="36" t="e">
        <f>K4-K5</f>
        <v>#REF!</v>
      </c>
      <c r="L6" s="37"/>
      <c r="M6" s="33"/>
      <c r="N6" s="33"/>
    </row>
    <row r="7" spans="2:14" x14ac:dyDescent="0.25">
      <c r="B7" s="38" t="s">
        <v>97</v>
      </c>
      <c r="C7" s="39">
        <v>60</v>
      </c>
    </row>
    <row r="8" spans="2:14" x14ac:dyDescent="0.25">
      <c r="B8" s="38" t="s">
        <v>98</v>
      </c>
      <c r="C8" s="39">
        <v>400000</v>
      </c>
    </row>
    <row r="10" spans="2:14" x14ac:dyDescent="0.25">
      <c r="B10" s="2" t="s">
        <v>177</v>
      </c>
      <c r="C10" s="3" t="s">
        <v>99</v>
      </c>
      <c r="D10" s="3" t="s">
        <v>100</v>
      </c>
      <c r="E10" s="3" t="s">
        <v>276</v>
      </c>
      <c r="F10" s="3" t="s">
        <v>101</v>
      </c>
      <c r="G10" s="3" t="s">
        <v>102</v>
      </c>
    </row>
    <row r="11" spans="2:14" x14ac:dyDescent="0.25">
      <c r="B11" s="2" t="s">
        <v>178</v>
      </c>
      <c r="C11" s="3">
        <f>C5</f>
        <v>119394609.37707201</v>
      </c>
      <c r="D11" s="3">
        <f>$C$5/$C$7</f>
        <v>1989910.1562845334</v>
      </c>
      <c r="E11" s="3">
        <f>Tabla25Amortizacion[[#This Row],[Saldo]]*$C$6</f>
        <v>3414685.8281842596</v>
      </c>
      <c r="F11" s="3">
        <f>$C$8</f>
        <v>400000</v>
      </c>
      <c r="G11" s="3">
        <f>Tabla25Amortizacion[[#This Row],[Abono a capital]]+Tabla25Amortizacion[[#This Row],[Interés]]+Tabla25Amortizacion[[#This Row],[Seguro]]</f>
        <v>5804595.9844687935</v>
      </c>
    </row>
    <row r="12" spans="2:14" x14ac:dyDescent="0.25">
      <c r="B12" s="2" t="s">
        <v>179</v>
      </c>
      <c r="C12" s="3">
        <f>C11-D11</f>
        <v>117404699.22078747</v>
      </c>
      <c r="D12" s="3">
        <f t="shared" ref="D12:D42" si="0">$C$5/$C$7</f>
        <v>1989910.1562845334</v>
      </c>
      <c r="E12" s="3">
        <f>Tabla25Amortizacion[[#This Row],[Saldo]]*$C$6</f>
        <v>3357774.3977145217</v>
      </c>
      <c r="F12" s="3">
        <f t="shared" ref="F12:F70" si="1">$C$8</f>
        <v>400000</v>
      </c>
      <c r="G12" s="3">
        <f>Tabla25Amortizacion[[#This Row],[Abono a capital]]+Tabla25Amortizacion[[#This Row],[Interés]]+Tabla25Amortizacion[[#This Row],[Seguro]]</f>
        <v>5747684.5539990552</v>
      </c>
    </row>
    <row r="13" spans="2:14" x14ac:dyDescent="0.25">
      <c r="B13" s="2" t="s">
        <v>180</v>
      </c>
      <c r="C13" s="3">
        <f t="shared" ref="C13:C70" si="2">C12-D12</f>
        <v>115414789.06450292</v>
      </c>
      <c r="D13" s="3">
        <f t="shared" si="0"/>
        <v>1989910.1562845334</v>
      </c>
      <c r="E13" s="3">
        <f>Tabla25Amortizacion[[#This Row],[Saldo]]*$C$6</f>
        <v>3300862.9672447839</v>
      </c>
      <c r="F13" s="3">
        <f t="shared" si="1"/>
        <v>400000</v>
      </c>
      <c r="G13" s="3">
        <f>Tabla25Amortizacion[[#This Row],[Abono a capital]]+Tabla25Amortizacion[[#This Row],[Interés]]+Tabla25Amortizacion[[#This Row],[Seguro]]</f>
        <v>5690773.1235293169</v>
      </c>
    </row>
    <row r="14" spans="2:14" x14ac:dyDescent="0.25">
      <c r="B14" s="2" t="s">
        <v>181</v>
      </c>
      <c r="C14" s="3">
        <f t="shared" si="2"/>
        <v>113424878.90821838</v>
      </c>
      <c r="D14" s="3">
        <f t="shared" si="0"/>
        <v>1989910.1562845334</v>
      </c>
      <c r="E14" s="3">
        <f>Tabla25Amortizacion[[#This Row],[Saldo]]*$C$6</f>
        <v>3243951.536775046</v>
      </c>
      <c r="F14" s="3">
        <f t="shared" si="1"/>
        <v>400000</v>
      </c>
      <c r="G14" s="3">
        <f>Tabla25Amortizacion[[#This Row],[Abono a capital]]+Tabla25Amortizacion[[#This Row],[Interés]]+Tabla25Amortizacion[[#This Row],[Seguro]]</f>
        <v>5633861.6930595795</v>
      </c>
    </row>
    <row r="15" spans="2:14" x14ac:dyDescent="0.25">
      <c r="B15" s="2" t="s">
        <v>182</v>
      </c>
      <c r="C15" s="3">
        <f t="shared" si="2"/>
        <v>111434968.75193384</v>
      </c>
      <c r="D15" s="3">
        <f t="shared" si="0"/>
        <v>1989910.1562845334</v>
      </c>
      <c r="E15" s="3">
        <f>Tabla25Amortizacion[[#This Row],[Saldo]]*$C$6</f>
        <v>3187040.1063053082</v>
      </c>
      <c r="F15" s="3">
        <f t="shared" si="1"/>
        <v>400000</v>
      </c>
      <c r="G15" s="3">
        <f>Tabla25Amortizacion[[#This Row],[Abono a capital]]+Tabla25Amortizacion[[#This Row],[Interés]]+Tabla25Amortizacion[[#This Row],[Seguro]]</f>
        <v>5576950.2625898421</v>
      </c>
    </row>
    <row r="16" spans="2:14" x14ac:dyDescent="0.25">
      <c r="B16" s="2" t="s">
        <v>183</v>
      </c>
      <c r="C16" s="3">
        <f t="shared" si="2"/>
        <v>109445058.5956493</v>
      </c>
      <c r="D16" s="3">
        <f t="shared" si="0"/>
        <v>1989910.1562845334</v>
      </c>
      <c r="E16" s="3">
        <f>Tabla25Amortizacion[[#This Row],[Saldo]]*$C$6</f>
        <v>3130128.6758355699</v>
      </c>
      <c r="F16" s="3">
        <f t="shared" si="1"/>
        <v>400000</v>
      </c>
      <c r="G16" s="3">
        <f>Tabla25Amortizacion[[#This Row],[Abono a capital]]+Tabla25Amortizacion[[#This Row],[Interés]]+Tabla25Amortizacion[[#This Row],[Seguro]]</f>
        <v>5520038.8321201038</v>
      </c>
    </row>
    <row r="17" spans="2:12" x14ac:dyDescent="0.25">
      <c r="B17" s="2" t="s">
        <v>184</v>
      </c>
      <c r="C17" s="3">
        <f t="shared" si="2"/>
        <v>107455148.43936476</v>
      </c>
      <c r="D17" s="3">
        <f t="shared" si="0"/>
        <v>1989910.1562845334</v>
      </c>
      <c r="E17" s="3">
        <f>Tabla25Amortizacion[[#This Row],[Saldo]]*$C$6</f>
        <v>3073217.245365832</v>
      </c>
      <c r="F17" s="3">
        <f t="shared" si="1"/>
        <v>400000</v>
      </c>
      <c r="G17" s="3">
        <f>Tabla25Amortizacion[[#This Row],[Abono a capital]]+Tabla25Amortizacion[[#This Row],[Interés]]+Tabla25Amortizacion[[#This Row],[Seguro]]</f>
        <v>5463127.4016503654</v>
      </c>
    </row>
    <row r="18" spans="2:12" x14ac:dyDescent="0.25">
      <c r="B18" s="2" t="s">
        <v>185</v>
      </c>
      <c r="C18" s="3">
        <f t="shared" si="2"/>
        <v>105465238.28308022</v>
      </c>
      <c r="D18" s="3">
        <f t="shared" si="0"/>
        <v>1989910.1562845334</v>
      </c>
      <c r="E18" s="3">
        <f>Tabla25Amortizacion[[#This Row],[Saldo]]*$C$6</f>
        <v>3016305.8148960941</v>
      </c>
      <c r="F18" s="3">
        <f t="shared" si="1"/>
        <v>400000</v>
      </c>
      <c r="G18" s="3">
        <f>Tabla25Amortizacion[[#This Row],[Abono a capital]]+Tabla25Amortizacion[[#This Row],[Interés]]+Tabla25Amortizacion[[#This Row],[Seguro]]</f>
        <v>5406215.9711806271</v>
      </c>
    </row>
    <row r="19" spans="2:12" x14ac:dyDescent="0.25">
      <c r="B19" s="2" t="s">
        <v>186</v>
      </c>
      <c r="C19" s="3">
        <f t="shared" si="2"/>
        <v>103475328.12679568</v>
      </c>
      <c r="D19" s="3">
        <f t="shared" si="0"/>
        <v>1989910.1562845334</v>
      </c>
      <c r="E19" s="3">
        <f>Tabla25Amortizacion[[#This Row],[Saldo]]*$C$6</f>
        <v>2959394.3844263563</v>
      </c>
      <c r="F19" s="3">
        <f t="shared" si="1"/>
        <v>400000</v>
      </c>
      <c r="G19" s="3">
        <f>Tabla25Amortizacion[[#This Row],[Abono a capital]]+Tabla25Amortizacion[[#This Row],[Interés]]+Tabla25Amortizacion[[#This Row],[Seguro]]</f>
        <v>5349304.5407108897</v>
      </c>
    </row>
    <row r="20" spans="2:12" x14ac:dyDescent="0.25">
      <c r="B20" s="2" t="s">
        <v>187</v>
      </c>
      <c r="C20" s="3">
        <f t="shared" si="2"/>
        <v>101485417.97051114</v>
      </c>
      <c r="D20" s="3">
        <f t="shared" si="0"/>
        <v>1989910.1562845334</v>
      </c>
      <c r="E20" s="3">
        <f>Tabla25Amortizacion[[#This Row],[Saldo]]*$C$6</f>
        <v>2902482.9539566184</v>
      </c>
      <c r="F20" s="3">
        <f t="shared" si="1"/>
        <v>400000</v>
      </c>
      <c r="G20" s="3">
        <f>Tabla25Amortizacion[[#This Row],[Abono a capital]]+Tabla25Amortizacion[[#This Row],[Interés]]+Tabla25Amortizacion[[#This Row],[Seguro]]</f>
        <v>5292393.1102411523</v>
      </c>
    </row>
    <row r="21" spans="2:12" x14ac:dyDescent="0.25">
      <c r="B21" s="2" t="s">
        <v>188</v>
      </c>
      <c r="C21" s="3">
        <f t="shared" si="2"/>
        <v>99495507.814226598</v>
      </c>
      <c r="D21" s="3">
        <f t="shared" si="0"/>
        <v>1989910.1562845334</v>
      </c>
      <c r="E21" s="3">
        <f>Tabla25Amortizacion[[#This Row],[Saldo]]*$C$6</f>
        <v>2845571.5234868806</v>
      </c>
      <c r="F21" s="3">
        <f t="shared" si="1"/>
        <v>400000</v>
      </c>
      <c r="G21" s="3">
        <f>Tabla25Amortizacion[[#This Row],[Abono a capital]]+Tabla25Amortizacion[[#This Row],[Interés]]+Tabla25Amortizacion[[#This Row],[Seguro]]</f>
        <v>5235481.679771414</v>
      </c>
      <c r="H21" s="3" t="s">
        <v>238</v>
      </c>
      <c r="I21" s="77" t="s">
        <v>276</v>
      </c>
      <c r="J21" s="77" t="s">
        <v>101</v>
      </c>
      <c r="L21" s="3" t="s">
        <v>102</v>
      </c>
    </row>
    <row r="22" spans="2:12" x14ac:dyDescent="0.25">
      <c r="B22" s="2" t="s">
        <v>189</v>
      </c>
      <c r="C22" s="3">
        <f t="shared" si="2"/>
        <v>97505597.657942057</v>
      </c>
      <c r="D22" s="3">
        <f t="shared" si="0"/>
        <v>1989910.1562845334</v>
      </c>
      <c r="E22" s="3">
        <f>Tabla25Amortizacion[[#This Row],[Saldo]]*$C$6</f>
        <v>2788660.0930171427</v>
      </c>
      <c r="F22" s="3">
        <f t="shared" si="1"/>
        <v>400000</v>
      </c>
      <c r="G22" s="3">
        <f>Tabla25Amortizacion[[#This Row],[Abono a capital]]+Tabla25Amortizacion[[#This Row],[Interés]]+Tabla25Amortizacion[[#This Row],[Seguro]]</f>
        <v>5178570.2493016757</v>
      </c>
      <c r="H22" s="3">
        <f>SUM(D11:D22)</f>
        <v>23878921.875414401</v>
      </c>
      <c r="I22" s="77">
        <f>SUM(E11:E22)</f>
        <v>37220075.527208418</v>
      </c>
      <c r="J22" s="77">
        <f>SUM(F11:F22)</f>
        <v>4800000</v>
      </c>
      <c r="K22" s="77" t="s">
        <v>260</v>
      </c>
      <c r="L22" s="3">
        <f>SUM(G11:G22)</f>
        <v>65898997.402622804</v>
      </c>
    </row>
    <row r="23" spans="2:12" x14ac:dyDescent="0.25">
      <c r="B23" s="2" t="s">
        <v>190</v>
      </c>
      <c r="C23" s="3">
        <f t="shared" si="2"/>
        <v>95515687.501657516</v>
      </c>
      <c r="D23" s="3">
        <f t="shared" si="0"/>
        <v>1989910.1562845334</v>
      </c>
      <c r="E23" s="3">
        <f>Tabla25Amortizacion[[#This Row],[Saldo]]*$C$6</f>
        <v>2731748.6625474049</v>
      </c>
      <c r="F23" s="3">
        <f t="shared" si="1"/>
        <v>400000</v>
      </c>
      <c r="G23" s="3">
        <f>Tabla25Amortizacion[[#This Row],[Abono a capital]]+Tabla25Amortizacion[[#This Row],[Interés]]+Tabla25Amortizacion[[#This Row],[Seguro]]</f>
        <v>5121658.8188319383</v>
      </c>
      <c r="K23" s="77">
        <f>I22+J22</f>
        <v>42020075.527208418</v>
      </c>
    </row>
    <row r="24" spans="2:12" x14ac:dyDescent="0.25">
      <c r="B24" s="2" t="s">
        <v>191</v>
      </c>
      <c r="C24" s="3">
        <f t="shared" si="2"/>
        <v>93525777.345372975</v>
      </c>
      <c r="D24" s="3">
        <f t="shared" si="0"/>
        <v>1989910.1562845334</v>
      </c>
      <c r="E24" s="3">
        <f>Tabla25Amortizacion[[#This Row],[Saldo]]*$C$6</f>
        <v>2674837.232077667</v>
      </c>
      <c r="F24" s="3">
        <f t="shared" si="1"/>
        <v>400000</v>
      </c>
      <c r="G24" s="3">
        <f>Tabla25Amortizacion[[#This Row],[Abono a capital]]+Tabla25Amortizacion[[#This Row],[Interés]]+Tabla25Amortizacion[[#This Row],[Seguro]]</f>
        <v>5064747.3883622009</v>
      </c>
    </row>
    <row r="25" spans="2:12" x14ac:dyDescent="0.25">
      <c r="B25" s="2" t="s">
        <v>192</v>
      </c>
      <c r="C25" s="3">
        <f t="shared" si="2"/>
        <v>91535867.189088434</v>
      </c>
      <c r="D25" s="3">
        <f t="shared" si="0"/>
        <v>1989910.1562845334</v>
      </c>
      <c r="E25" s="3">
        <f>Tabla25Amortizacion[[#This Row],[Saldo]]*$C$6</f>
        <v>2617925.8016079292</v>
      </c>
      <c r="F25" s="3">
        <f t="shared" si="1"/>
        <v>400000</v>
      </c>
      <c r="G25" s="3">
        <f>Tabla25Amortizacion[[#This Row],[Abono a capital]]+Tabla25Amortizacion[[#This Row],[Interés]]+Tabla25Amortizacion[[#This Row],[Seguro]]</f>
        <v>5007835.9578924626</v>
      </c>
    </row>
    <row r="26" spans="2:12" x14ac:dyDescent="0.25">
      <c r="B26" s="2" t="s">
        <v>193</v>
      </c>
      <c r="C26" s="3">
        <f t="shared" si="2"/>
        <v>89545957.032803893</v>
      </c>
      <c r="D26" s="3">
        <f t="shared" si="0"/>
        <v>1989910.1562845334</v>
      </c>
      <c r="E26" s="3">
        <f>Tabla25Amortizacion[[#This Row],[Saldo]]*$C$6</f>
        <v>2561014.3711381913</v>
      </c>
      <c r="F26" s="3">
        <f t="shared" si="1"/>
        <v>400000</v>
      </c>
      <c r="G26" s="3">
        <f>Tabla25Amortizacion[[#This Row],[Abono a capital]]+Tabla25Amortizacion[[#This Row],[Interés]]+Tabla25Amortizacion[[#This Row],[Seguro]]</f>
        <v>4950924.5274227243</v>
      </c>
    </row>
    <row r="27" spans="2:12" x14ac:dyDescent="0.25">
      <c r="B27" s="2" t="s">
        <v>194</v>
      </c>
      <c r="C27" s="3">
        <f t="shared" si="2"/>
        <v>87556046.876519352</v>
      </c>
      <c r="D27" s="3">
        <f t="shared" si="0"/>
        <v>1989910.1562845334</v>
      </c>
      <c r="E27" s="3">
        <f>Tabla25Amortizacion[[#This Row],[Saldo]]*$C$6</f>
        <v>2504102.9406684535</v>
      </c>
      <c r="F27" s="3">
        <f t="shared" si="1"/>
        <v>400000</v>
      </c>
      <c r="G27" s="3">
        <f>Tabla25Amortizacion[[#This Row],[Abono a capital]]+Tabla25Amortizacion[[#This Row],[Interés]]+Tabla25Amortizacion[[#This Row],[Seguro]]</f>
        <v>4894013.0969529869</v>
      </c>
    </row>
    <row r="28" spans="2:12" x14ac:dyDescent="0.25">
      <c r="B28" s="2" t="s">
        <v>195</v>
      </c>
      <c r="C28" s="3">
        <f t="shared" si="2"/>
        <v>85566136.720234811</v>
      </c>
      <c r="D28" s="3">
        <f t="shared" si="0"/>
        <v>1989910.1562845334</v>
      </c>
      <c r="E28" s="3">
        <f>Tabla25Amortizacion[[#This Row],[Saldo]]*$C$6</f>
        <v>2447191.5101987156</v>
      </c>
      <c r="F28" s="3">
        <f t="shared" si="1"/>
        <v>400000</v>
      </c>
      <c r="G28" s="3">
        <f>Tabla25Amortizacion[[#This Row],[Abono a capital]]+Tabla25Amortizacion[[#This Row],[Interés]]+Tabla25Amortizacion[[#This Row],[Seguro]]</f>
        <v>4837101.6664832495</v>
      </c>
    </row>
    <row r="29" spans="2:12" x14ac:dyDescent="0.25">
      <c r="B29" s="2" t="s">
        <v>196</v>
      </c>
      <c r="C29" s="3">
        <f t="shared" si="2"/>
        <v>83576226.56395027</v>
      </c>
      <c r="D29" s="3">
        <f t="shared" si="0"/>
        <v>1989910.1562845334</v>
      </c>
      <c r="E29" s="3">
        <f>Tabla25Amortizacion[[#This Row],[Saldo]]*$C$6</f>
        <v>2390280.0797289778</v>
      </c>
      <c r="F29" s="3">
        <f t="shared" si="1"/>
        <v>400000</v>
      </c>
      <c r="G29" s="3">
        <f>Tabla25Amortizacion[[#This Row],[Abono a capital]]+Tabla25Amortizacion[[#This Row],[Interés]]+Tabla25Amortizacion[[#This Row],[Seguro]]</f>
        <v>4780190.2360135112</v>
      </c>
    </row>
    <row r="30" spans="2:12" x14ac:dyDescent="0.25">
      <c r="B30" s="2" t="s">
        <v>197</v>
      </c>
      <c r="C30" s="3">
        <f t="shared" si="2"/>
        <v>81586316.40766573</v>
      </c>
      <c r="D30" s="3">
        <f t="shared" si="0"/>
        <v>1989910.1562845334</v>
      </c>
      <c r="E30" s="3">
        <f>Tabla25Amortizacion[[#This Row],[Saldo]]*$C$6</f>
        <v>2333368.6492592399</v>
      </c>
      <c r="F30" s="3">
        <f t="shared" si="1"/>
        <v>400000</v>
      </c>
      <c r="G30" s="3">
        <f>Tabla25Amortizacion[[#This Row],[Abono a capital]]+Tabla25Amortizacion[[#This Row],[Interés]]+Tabla25Amortizacion[[#This Row],[Seguro]]</f>
        <v>4723278.8055437729</v>
      </c>
    </row>
    <row r="31" spans="2:12" x14ac:dyDescent="0.25">
      <c r="B31" s="2" t="s">
        <v>198</v>
      </c>
      <c r="C31" s="3">
        <f t="shared" si="2"/>
        <v>79596406.251381189</v>
      </c>
      <c r="D31" s="3">
        <f t="shared" si="0"/>
        <v>1989910.1562845334</v>
      </c>
      <c r="E31" s="3">
        <f>Tabla25Amortizacion[[#This Row],[Saldo]]*$C$6</f>
        <v>2276457.218789502</v>
      </c>
      <c r="F31" s="3">
        <f t="shared" si="1"/>
        <v>400000</v>
      </c>
      <c r="G31" s="3">
        <f>Tabla25Amortizacion[[#This Row],[Abono a capital]]+Tabla25Amortizacion[[#This Row],[Interés]]+Tabla25Amortizacion[[#This Row],[Seguro]]</f>
        <v>4666367.3750740355</v>
      </c>
    </row>
    <row r="32" spans="2:12" x14ac:dyDescent="0.25">
      <c r="B32" s="2" t="s">
        <v>199</v>
      </c>
      <c r="C32" s="3">
        <f t="shared" si="2"/>
        <v>77606496.095096648</v>
      </c>
      <c r="D32" s="3">
        <f t="shared" si="0"/>
        <v>1989910.1562845334</v>
      </c>
      <c r="E32" s="3">
        <f>Tabla25Amortizacion[[#This Row],[Saldo]]*$C$6</f>
        <v>2219545.7883197642</v>
      </c>
      <c r="F32" s="3">
        <f t="shared" si="1"/>
        <v>400000</v>
      </c>
      <c r="G32" s="3">
        <f>Tabla25Amortizacion[[#This Row],[Abono a capital]]+Tabla25Amortizacion[[#This Row],[Interés]]+Tabla25Amortizacion[[#This Row],[Seguro]]</f>
        <v>4609455.9446042981</v>
      </c>
    </row>
    <row r="33" spans="2:12" x14ac:dyDescent="0.25">
      <c r="B33" s="2" t="s">
        <v>200</v>
      </c>
      <c r="C33" s="3">
        <f t="shared" si="2"/>
        <v>75616585.938812107</v>
      </c>
      <c r="D33" s="3">
        <f t="shared" si="0"/>
        <v>1989910.1562845334</v>
      </c>
      <c r="E33" s="3">
        <f>Tabla25Amortizacion[[#This Row],[Saldo]]*$C$6</f>
        <v>2162634.3578500263</v>
      </c>
      <c r="F33" s="3">
        <f t="shared" si="1"/>
        <v>400000</v>
      </c>
      <c r="G33" s="3">
        <f>Tabla25Amortizacion[[#This Row],[Abono a capital]]+Tabla25Amortizacion[[#This Row],[Interés]]+Tabla25Amortizacion[[#This Row],[Seguro]]</f>
        <v>4552544.5141345598</v>
      </c>
      <c r="H33" s="3" t="s">
        <v>238</v>
      </c>
      <c r="I33" s="77" t="s">
        <v>276</v>
      </c>
      <c r="J33" s="77" t="s">
        <v>101</v>
      </c>
      <c r="L33" s="3" t="s">
        <v>102</v>
      </c>
    </row>
    <row r="34" spans="2:12" x14ac:dyDescent="0.25">
      <c r="B34" s="2" t="s">
        <v>201</v>
      </c>
      <c r="C34" s="3">
        <f t="shared" si="2"/>
        <v>73626675.782527566</v>
      </c>
      <c r="D34" s="3">
        <f t="shared" si="0"/>
        <v>1989910.1562845334</v>
      </c>
      <c r="E34" s="3">
        <f>Tabla25Amortizacion[[#This Row],[Saldo]]*$C$6</f>
        <v>2105722.9273802885</v>
      </c>
      <c r="F34" s="3">
        <f t="shared" si="1"/>
        <v>400000</v>
      </c>
      <c r="G34" s="3">
        <f>Tabla25Amortizacion[[#This Row],[Abono a capital]]+Tabla25Amortizacion[[#This Row],[Interés]]+Tabla25Amortizacion[[#This Row],[Seguro]]</f>
        <v>4495633.0836648215</v>
      </c>
      <c r="H34" s="3">
        <f>SUM(D23:D34)</f>
        <v>23878921.875414401</v>
      </c>
      <c r="I34" s="77">
        <f>SUM(E23:E34)</f>
        <v>29024829.539566163</v>
      </c>
      <c r="J34" s="77">
        <f>SUM(F23:F34)</f>
        <v>4800000</v>
      </c>
      <c r="K34" s="77" t="s">
        <v>260</v>
      </c>
      <c r="L34" s="3">
        <f>SUM(G23:G34)</f>
        <v>57703751.414980561</v>
      </c>
    </row>
    <row r="35" spans="2:12" x14ac:dyDescent="0.25">
      <c r="B35" s="2" t="s">
        <v>202</v>
      </c>
      <c r="C35" s="3">
        <f t="shared" si="2"/>
        <v>71636765.626243025</v>
      </c>
      <c r="D35" s="3">
        <f t="shared" si="0"/>
        <v>1989910.1562845334</v>
      </c>
      <c r="E35" s="3">
        <f>Tabla25Amortizacion[[#This Row],[Saldo]]*$C$6</f>
        <v>2048811.4969105506</v>
      </c>
      <c r="F35" s="3">
        <f t="shared" si="1"/>
        <v>400000</v>
      </c>
      <c r="G35" s="3">
        <f>Tabla25Amortizacion[[#This Row],[Abono a capital]]+Tabla25Amortizacion[[#This Row],[Interés]]+Tabla25Amortizacion[[#This Row],[Seguro]]</f>
        <v>4438721.6531950841</v>
      </c>
      <c r="K35" s="77">
        <f>I34+J34</f>
        <v>33824829.539566159</v>
      </c>
    </row>
    <row r="36" spans="2:12" x14ac:dyDescent="0.25">
      <c r="B36" s="2" t="s">
        <v>203</v>
      </c>
      <c r="C36" s="3">
        <f t="shared" si="2"/>
        <v>69646855.469958484</v>
      </c>
      <c r="D36" s="3">
        <f t="shared" si="0"/>
        <v>1989910.1562845334</v>
      </c>
      <c r="E36" s="3">
        <f>Tabla25Amortizacion[[#This Row],[Saldo]]*$C$6</f>
        <v>1991900.0664408128</v>
      </c>
      <c r="F36" s="3">
        <f t="shared" si="1"/>
        <v>400000</v>
      </c>
      <c r="G36" s="3">
        <f>Tabla25Amortizacion[[#This Row],[Abono a capital]]+Tabla25Amortizacion[[#This Row],[Interés]]+Tabla25Amortizacion[[#This Row],[Seguro]]</f>
        <v>4381810.2227253467</v>
      </c>
    </row>
    <row r="37" spans="2:12" x14ac:dyDescent="0.25">
      <c r="B37" s="2" t="s">
        <v>204</v>
      </c>
      <c r="C37" s="3">
        <f t="shared" si="2"/>
        <v>67656945.313673943</v>
      </c>
      <c r="D37" s="3">
        <f t="shared" si="0"/>
        <v>1989910.1562845334</v>
      </c>
      <c r="E37" s="3">
        <f>Tabla25Amortizacion[[#This Row],[Saldo]]*$C$6</f>
        <v>1934988.6359710747</v>
      </c>
      <c r="F37" s="3">
        <f t="shared" si="1"/>
        <v>400000</v>
      </c>
      <c r="G37" s="3">
        <f>Tabla25Amortizacion[[#This Row],[Abono a capital]]+Tabla25Amortizacion[[#This Row],[Interés]]+Tabla25Amortizacion[[#This Row],[Seguro]]</f>
        <v>4324898.7922556084</v>
      </c>
    </row>
    <row r="38" spans="2:12" x14ac:dyDescent="0.25">
      <c r="B38" s="2" t="s">
        <v>205</v>
      </c>
      <c r="C38" s="3">
        <f t="shared" si="2"/>
        <v>65667035.15738941</v>
      </c>
      <c r="D38" s="3">
        <f t="shared" si="0"/>
        <v>1989910.1562845334</v>
      </c>
      <c r="E38" s="3">
        <f>Tabla25Amortizacion[[#This Row],[Saldo]]*$C$6</f>
        <v>1878077.2055013371</v>
      </c>
      <c r="F38" s="3">
        <f t="shared" si="1"/>
        <v>400000</v>
      </c>
      <c r="G38" s="3">
        <f>Tabla25Amortizacion[[#This Row],[Abono a capital]]+Tabla25Amortizacion[[#This Row],[Interés]]+Tabla25Amortizacion[[#This Row],[Seguro]]</f>
        <v>4267987.36178587</v>
      </c>
    </row>
    <row r="39" spans="2:12" x14ac:dyDescent="0.25">
      <c r="B39" s="2" t="s">
        <v>206</v>
      </c>
      <c r="C39" s="3">
        <f t="shared" si="2"/>
        <v>63677125.001104876</v>
      </c>
      <c r="D39" s="3">
        <f t="shared" si="0"/>
        <v>1989910.1562845334</v>
      </c>
      <c r="E39" s="3">
        <f>Tabla25Amortizacion[[#This Row],[Saldo]]*$C$6</f>
        <v>1821165.7750315994</v>
      </c>
      <c r="F39" s="3">
        <f t="shared" si="1"/>
        <v>400000</v>
      </c>
      <c r="G39" s="3">
        <f>Tabla25Amortizacion[[#This Row],[Abono a capital]]+Tabla25Amortizacion[[#This Row],[Interés]]+Tabla25Amortizacion[[#This Row],[Seguro]]</f>
        <v>4211075.9313161327</v>
      </c>
    </row>
    <row r="40" spans="2:12" x14ac:dyDescent="0.25">
      <c r="B40" s="2" t="s">
        <v>207</v>
      </c>
      <c r="C40" s="3">
        <f t="shared" si="2"/>
        <v>61687214.844820343</v>
      </c>
      <c r="D40" s="3">
        <f t="shared" si="0"/>
        <v>1989910.1562845334</v>
      </c>
      <c r="E40" s="3">
        <f>Tabla25Amortizacion[[#This Row],[Saldo]]*$C$6</f>
        <v>1764254.3445618618</v>
      </c>
      <c r="F40" s="3">
        <f t="shared" si="1"/>
        <v>400000</v>
      </c>
      <c r="G40" s="3">
        <f>Tabla25Amortizacion[[#This Row],[Abono a capital]]+Tabla25Amortizacion[[#This Row],[Interés]]+Tabla25Amortizacion[[#This Row],[Seguro]]</f>
        <v>4154164.5008463953</v>
      </c>
    </row>
    <row r="41" spans="2:12" x14ac:dyDescent="0.25">
      <c r="B41" s="2" t="s">
        <v>208</v>
      </c>
      <c r="C41" s="3">
        <f t="shared" si="2"/>
        <v>59697304.68853581</v>
      </c>
      <c r="D41" s="3">
        <f t="shared" si="0"/>
        <v>1989910.1562845334</v>
      </c>
      <c r="E41" s="3">
        <f>Tabla25Amortizacion[[#This Row],[Saldo]]*$C$6</f>
        <v>1707342.9140921242</v>
      </c>
      <c r="F41" s="3">
        <f t="shared" si="1"/>
        <v>400000</v>
      </c>
      <c r="G41" s="3">
        <f>Tabla25Amortizacion[[#This Row],[Abono a capital]]+Tabla25Amortizacion[[#This Row],[Interés]]+Tabla25Amortizacion[[#This Row],[Seguro]]</f>
        <v>4097253.0703766579</v>
      </c>
    </row>
    <row r="42" spans="2:12" x14ac:dyDescent="0.25">
      <c r="B42" s="2" t="s">
        <v>209</v>
      </c>
      <c r="C42" s="3">
        <f t="shared" si="2"/>
        <v>57707394.532251276</v>
      </c>
      <c r="D42" s="3">
        <f t="shared" si="0"/>
        <v>1989910.1562845334</v>
      </c>
      <c r="E42" s="3">
        <f>Tabla25Amortizacion[[#This Row],[Saldo]]*$C$6</f>
        <v>1650431.4836223866</v>
      </c>
      <c r="F42" s="3">
        <f t="shared" si="1"/>
        <v>400000</v>
      </c>
      <c r="G42" s="3">
        <f>Tabla25Amortizacion[[#This Row],[Abono a capital]]+Tabla25Amortizacion[[#This Row],[Interés]]+Tabla25Amortizacion[[#This Row],[Seguro]]</f>
        <v>4040341.63990692</v>
      </c>
    </row>
    <row r="43" spans="2:12" x14ac:dyDescent="0.25">
      <c r="B43" s="2" t="s">
        <v>210</v>
      </c>
      <c r="C43" s="3">
        <f t="shared" si="2"/>
        <v>55717484.375966743</v>
      </c>
      <c r="D43" s="3">
        <f t="shared" ref="D43:D70" si="3">$C$5/$C$7</f>
        <v>1989910.1562845334</v>
      </c>
      <c r="E43" s="3">
        <f>Tabla25Amortizacion[[#This Row],[Saldo]]*$C$6</f>
        <v>1593520.053152649</v>
      </c>
      <c r="F43" s="3">
        <f t="shared" si="1"/>
        <v>400000</v>
      </c>
      <c r="G43" s="3">
        <f>Tabla25Amortizacion[[#This Row],[Abono a capital]]+Tabla25Amortizacion[[#This Row],[Interés]]+Tabla25Amortizacion[[#This Row],[Seguro]]</f>
        <v>3983430.2094371822</v>
      </c>
    </row>
    <row r="44" spans="2:12" x14ac:dyDescent="0.25">
      <c r="B44" s="2" t="s">
        <v>211</v>
      </c>
      <c r="C44" s="3">
        <f t="shared" si="2"/>
        <v>53727574.219682209</v>
      </c>
      <c r="D44" s="3">
        <f t="shared" si="3"/>
        <v>1989910.1562845334</v>
      </c>
      <c r="E44" s="3">
        <f>Tabla25Amortizacion[[#This Row],[Saldo]]*$C$6</f>
        <v>1536608.6226829111</v>
      </c>
      <c r="F44" s="3">
        <f t="shared" si="1"/>
        <v>400000</v>
      </c>
      <c r="G44" s="3">
        <f>Tabla25Amortizacion[[#This Row],[Abono a capital]]+Tabla25Amortizacion[[#This Row],[Interés]]+Tabla25Amortizacion[[#This Row],[Seguro]]</f>
        <v>3926518.7789674448</v>
      </c>
    </row>
    <row r="45" spans="2:12" x14ac:dyDescent="0.25">
      <c r="B45" s="2" t="s">
        <v>212</v>
      </c>
      <c r="C45" s="3">
        <f t="shared" si="2"/>
        <v>51737664.063397676</v>
      </c>
      <c r="D45" s="3">
        <f t="shared" si="3"/>
        <v>1989910.1562845334</v>
      </c>
      <c r="E45" s="3">
        <f>Tabla25Amortizacion[[#This Row],[Saldo]]*$C$6</f>
        <v>1479697.1922131735</v>
      </c>
      <c r="F45" s="3">
        <f t="shared" si="1"/>
        <v>400000</v>
      </c>
      <c r="G45" s="3">
        <f>Tabla25Amortizacion[[#This Row],[Abono a capital]]+Tabla25Amortizacion[[#This Row],[Interés]]+Tabla25Amortizacion[[#This Row],[Seguro]]</f>
        <v>3869607.3484977069</v>
      </c>
      <c r="H45" s="3" t="s">
        <v>238</v>
      </c>
      <c r="I45" s="77" t="s">
        <v>276</v>
      </c>
      <c r="J45" s="77" t="s">
        <v>101</v>
      </c>
      <c r="L45" s="3" t="s">
        <v>102</v>
      </c>
    </row>
    <row r="46" spans="2:12" x14ac:dyDescent="0.25">
      <c r="B46" s="2" t="s">
        <v>213</v>
      </c>
      <c r="C46" s="3">
        <f t="shared" si="2"/>
        <v>49747753.907113142</v>
      </c>
      <c r="D46" s="3">
        <f t="shared" si="3"/>
        <v>1989910.1562845334</v>
      </c>
      <c r="E46" s="3">
        <f>Tabla25Amortizacion[[#This Row],[Saldo]]*$C$6</f>
        <v>1422785.7617434359</v>
      </c>
      <c r="F46" s="3">
        <f t="shared" si="1"/>
        <v>400000</v>
      </c>
      <c r="G46" s="3">
        <f>Tabla25Amortizacion[[#This Row],[Abono a capital]]+Tabla25Amortizacion[[#This Row],[Interés]]+Tabla25Amortizacion[[#This Row],[Seguro]]</f>
        <v>3812695.9180279691</v>
      </c>
      <c r="H46" s="3">
        <f>SUM(D35:D46)</f>
        <v>23878921.875414401</v>
      </c>
      <c r="I46" s="77">
        <f>SUM(E35:E46)</f>
        <v>20829583.551923919</v>
      </c>
      <c r="J46" s="77">
        <f>SUM(F35:F46)</f>
        <v>4800000</v>
      </c>
      <c r="K46" s="77" t="s">
        <v>260</v>
      </c>
      <c r="L46" s="3">
        <f>SUM(G35:G46)</f>
        <v>49508505.427338317</v>
      </c>
    </row>
    <row r="47" spans="2:12" x14ac:dyDescent="0.25">
      <c r="B47" s="2" t="s">
        <v>214</v>
      </c>
      <c r="C47" s="3">
        <f t="shared" si="2"/>
        <v>47757843.750828609</v>
      </c>
      <c r="D47" s="3">
        <f t="shared" si="3"/>
        <v>1989910.1562845334</v>
      </c>
      <c r="E47" s="3">
        <f>Tabla25Amortizacion[[#This Row],[Saldo]]*$C$6</f>
        <v>1365874.3312736982</v>
      </c>
      <c r="F47" s="3">
        <f t="shared" si="1"/>
        <v>400000</v>
      </c>
      <c r="G47" s="3">
        <f>Tabla25Amortizacion[[#This Row],[Abono a capital]]+Tabla25Amortizacion[[#This Row],[Interés]]+Tabla25Amortizacion[[#This Row],[Seguro]]</f>
        <v>3755784.4875582317</v>
      </c>
      <c r="K47" s="77">
        <f>I46+J46</f>
        <v>25629583.551923919</v>
      </c>
    </row>
    <row r="48" spans="2:12" x14ac:dyDescent="0.25">
      <c r="B48" s="2" t="s">
        <v>215</v>
      </c>
      <c r="C48" s="3">
        <f t="shared" si="2"/>
        <v>45767933.594544075</v>
      </c>
      <c r="D48" s="3">
        <f t="shared" si="3"/>
        <v>1989910.1562845334</v>
      </c>
      <c r="E48" s="3">
        <f>Tabla25Amortizacion[[#This Row],[Saldo]]*$C$6</f>
        <v>1308962.9008039606</v>
      </c>
      <c r="F48" s="3">
        <f t="shared" si="1"/>
        <v>400000</v>
      </c>
      <c r="G48" s="3">
        <f>Tabla25Amortizacion[[#This Row],[Abono a capital]]+Tabla25Amortizacion[[#This Row],[Interés]]+Tabla25Amortizacion[[#This Row],[Seguro]]</f>
        <v>3698873.0570884943</v>
      </c>
    </row>
    <row r="49" spans="2:12" x14ac:dyDescent="0.25">
      <c r="B49" s="2" t="s">
        <v>216</v>
      </c>
      <c r="C49" s="3">
        <f t="shared" si="2"/>
        <v>43778023.438259542</v>
      </c>
      <c r="D49" s="3">
        <f t="shared" si="3"/>
        <v>1989910.1562845334</v>
      </c>
      <c r="E49" s="3">
        <f>Tabla25Amortizacion[[#This Row],[Saldo]]*$C$6</f>
        <v>1252051.470334223</v>
      </c>
      <c r="F49" s="3">
        <f t="shared" si="1"/>
        <v>400000</v>
      </c>
      <c r="G49" s="3">
        <f>Tabla25Amortizacion[[#This Row],[Abono a capital]]+Tabla25Amortizacion[[#This Row],[Interés]]+Tabla25Amortizacion[[#This Row],[Seguro]]</f>
        <v>3641961.6266187564</v>
      </c>
    </row>
    <row r="50" spans="2:12" x14ac:dyDescent="0.25">
      <c r="B50" s="2" t="s">
        <v>217</v>
      </c>
      <c r="C50" s="3">
        <f t="shared" si="2"/>
        <v>41788113.281975009</v>
      </c>
      <c r="D50" s="3">
        <f t="shared" si="3"/>
        <v>1989910.1562845334</v>
      </c>
      <c r="E50" s="3">
        <f>Tabla25Amortizacion[[#This Row],[Saldo]]*$C$6</f>
        <v>1195140.0398644852</v>
      </c>
      <c r="F50" s="3">
        <f t="shared" si="1"/>
        <v>400000</v>
      </c>
      <c r="G50" s="3">
        <f>Tabla25Amortizacion[[#This Row],[Abono a capital]]+Tabla25Amortizacion[[#This Row],[Interés]]+Tabla25Amortizacion[[#This Row],[Seguro]]</f>
        <v>3585050.1961490186</v>
      </c>
    </row>
    <row r="51" spans="2:12" x14ac:dyDescent="0.25">
      <c r="B51" s="2" t="s">
        <v>218</v>
      </c>
      <c r="C51" s="3">
        <f t="shared" si="2"/>
        <v>39798203.125690475</v>
      </c>
      <c r="D51" s="3">
        <f t="shared" si="3"/>
        <v>1989910.1562845334</v>
      </c>
      <c r="E51" s="3">
        <f>Tabla25Amortizacion[[#This Row],[Saldo]]*$C$6</f>
        <v>1138228.6093947475</v>
      </c>
      <c r="F51" s="3">
        <f t="shared" si="1"/>
        <v>400000</v>
      </c>
      <c r="G51" s="3">
        <f>Tabla25Amortizacion[[#This Row],[Abono a capital]]+Tabla25Amortizacion[[#This Row],[Interés]]+Tabla25Amortizacion[[#This Row],[Seguro]]</f>
        <v>3528138.7656792812</v>
      </c>
    </row>
    <row r="52" spans="2:12" x14ac:dyDescent="0.25">
      <c r="B52" s="2" t="s">
        <v>219</v>
      </c>
      <c r="C52" s="3">
        <f t="shared" si="2"/>
        <v>37808292.969405942</v>
      </c>
      <c r="D52" s="3">
        <f t="shared" si="3"/>
        <v>1989910.1562845334</v>
      </c>
      <c r="E52" s="3">
        <f>Tabla25Amortizacion[[#This Row],[Saldo]]*$C$6</f>
        <v>1081317.1789250099</v>
      </c>
      <c r="F52" s="3">
        <f t="shared" si="1"/>
        <v>400000</v>
      </c>
      <c r="G52" s="3">
        <f>Tabla25Amortizacion[[#This Row],[Abono a capital]]+Tabla25Amortizacion[[#This Row],[Interés]]+Tabla25Amortizacion[[#This Row],[Seguro]]</f>
        <v>3471227.3352095434</v>
      </c>
    </row>
    <row r="53" spans="2:12" x14ac:dyDescent="0.25">
      <c r="B53" s="2" t="s">
        <v>220</v>
      </c>
      <c r="C53" s="3">
        <f t="shared" si="2"/>
        <v>35818382.813121408</v>
      </c>
      <c r="D53" s="3">
        <f t="shared" si="3"/>
        <v>1989910.1562845334</v>
      </c>
      <c r="E53" s="3">
        <f>Tabla25Amortizacion[[#This Row],[Saldo]]*$C$6</f>
        <v>1024405.7484552723</v>
      </c>
      <c r="F53" s="3">
        <f t="shared" si="1"/>
        <v>400000</v>
      </c>
      <c r="G53" s="3">
        <f>Tabla25Amortizacion[[#This Row],[Abono a capital]]+Tabla25Amortizacion[[#This Row],[Interés]]+Tabla25Amortizacion[[#This Row],[Seguro]]</f>
        <v>3414315.9047398055</v>
      </c>
    </row>
    <row r="54" spans="2:12" x14ac:dyDescent="0.25">
      <c r="B54" s="2" t="s">
        <v>221</v>
      </c>
      <c r="C54" s="3">
        <f t="shared" si="2"/>
        <v>33828472.656836875</v>
      </c>
      <c r="D54" s="3">
        <f t="shared" si="3"/>
        <v>1989910.1562845334</v>
      </c>
      <c r="E54" s="3">
        <f>Tabla25Amortizacion[[#This Row],[Saldo]]*$C$6</f>
        <v>967494.31798553467</v>
      </c>
      <c r="F54" s="3">
        <f t="shared" si="1"/>
        <v>400000</v>
      </c>
      <c r="G54" s="3">
        <f>Tabla25Amortizacion[[#This Row],[Abono a capital]]+Tabla25Amortizacion[[#This Row],[Interés]]+Tabla25Amortizacion[[#This Row],[Seguro]]</f>
        <v>3357404.4742700681</v>
      </c>
    </row>
    <row r="55" spans="2:12" x14ac:dyDescent="0.25">
      <c r="B55" s="2" t="s">
        <v>222</v>
      </c>
      <c r="C55" s="3">
        <f t="shared" si="2"/>
        <v>31838562.500552341</v>
      </c>
      <c r="D55" s="3">
        <f t="shared" si="3"/>
        <v>1989910.1562845334</v>
      </c>
      <c r="E55" s="3">
        <f>Tabla25Amortizacion[[#This Row],[Saldo]]*$C$6</f>
        <v>910582.88751579693</v>
      </c>
      <c r="F55" s="3">
        <f t="shared" si="1"/>
        <v>400000</v>
      </c>
      <c r="G55" s="3">
        <f>Tabla25Amortizacion[[#This Row],[Abono a capital]]+Tabla25Amortizacion[[#This Row],[Interés]]+Tabla25Amortizacion[[#This Row],[Seguro]]</f>
        <v>3300493.0438003303</v>
      </c>
    </row>
    <row r="56" spans="2:12" x14ac:dyDescent="0.25">
      <c r="B56" s="2" t="s">
        <v>223</v>
      </c>
      <c r="C56" s="3">
        <f t="shared" si="2"/>
        <v>29848652.344267808</v>
      </c>
      <c r="D56" s="3">
        <f t="shared" si="3"/>
        <v>1989910.1562845334</v>
      </c>
      <c r="E56" s="3">
        <f>Tabla25Amortizacion[[#This Row],[Saldo]]*$C$6</f>
        <v>853671.45704605931</v>
      </c>
      <c r="F56" s="3">
        <f t="shared" si="1"/>
        <v>400000</v>
      </c>
      <c r="G56" s="3">
        <f>Tabla25Amortizacion[[#This Row],[Abono a capital]]+Tabla25Amortizacion[[#This Row],[Interés]]+Tabla25Amortizacion[[#This Row],[Seguro]]</f>
        <v>3243581.6133305929</v>
      </c>
    </row>
    <row r="57" spans="2:12" x14ac:dyDescent="0.25">
      <c r="B57" s="2" t="s">
        <v>224</v>
      </c>
      <c r="C57" s="3">
        <f t="shared" si="2"/>
        <v>27858742.187983274</v>
      </c>
      <c r="D57" s="3">
        <f t="shared" si="3"/>
        <v>1989910.1562845334</v>
      </c>
      <c r="E57" s="3">
        <f>Tabla25Amortizacion[[#This Row],[Saldo]]*$C$6</f>
        <v>796760.02657632169</v>
      </c>
      <c r="F57" s="3">
        <f t="shared" si="1"/>
        <v>400000</v>
      </c>
      <c r="G57" s="3">
        <f>Tabla25Amortizacion[[#This Row],[Abono a capital]]+Tabla25Amortizacion[[#This Row],[Interés]]+Tabla25Amortizacion[[#This Row],[Seguro]]</f>
        <v>3186670.182860855</v>
      </c>
      <c r="H57" s="3" t="s">
        <v>238</v>
      </c>
      <c r="I57" s="77" t="s">
        <v>276</v>
      </c>
      <c r="J57" s="77" t="s">
        <v>101</v>
      </c>
      <c r="K57" s="77" t="s">
        <v>469</v>
      </c>
      <c r="L57" s="3" t="s">
        <v>102</v>
      </c>
    </row>
    <row r="58" spans="2:12" x14ac:dyDescent="0.25">
      <c r="B58" s="2" t="s">
        <v>225</v>
      </c>
      <c r="C58" s="3">
        <f t="shared" si="2"/>
        <v>25868832.031698741</v>
      </c>
      <c r="D58" s="3">
        <f t="shared" si="3"/>
        <v>1989910.1562845334</v>
      </c>
      <c r="E58" s="3">
        <f>Tabla25Amortizacion[[#This Row],[Saldo]]*$C$6</f>
        <v>739848.59610658395</v>
      </c>
      <c r="F58" s="3">
        <f t="shared" si="1"/>
        <v>400000</v>
      </c>
      <c r="G58" s="3">
        <f>Tabla25Amortizacion[[#This Row],[Abono a capital]]+Tabla25Amortizacion[[#This Row],[Interés]]+Tabla25Amortizacion[[#This Row],[Seguro]]</f>
        <v>3129758.7523911176</v>
      </c>
      <c r="H58" s="3">
        <f>SUM(D47:D58)</f>
        <v>23878921.875414401</v>
      </c>
      <c r="I58" s="77">
        <f>SUM(E47:E58)</f>
        <v>12634337.564281693</v>
      </c>
      <c r="J58" s="77">
        <f>SUM(F47:F58)</f>
        <v>4800000</v>
      </c>
      <c r="K58" s="77">
        <f>(I58+J58)</f>
        <v>17434337.564281695</v>
      </c>
      <c r="L58" s="3">
        <f>SUM(G47:G58)</f>
        <v>41313259.439696088</v>
      </c>
    </row>
    <row r="59" spans="2:12" x14ac:dyDescent="0.25">
      <c r="B59" s="2" t="s">
        <v>226</v>
      </c>
      <c r="C59" s="3">
        <f t="shared" si="2"/>
        <v>23878921.875414208</v>
      </c>
      <c r="D59" s="3">
        <f t="shared" si="3"/>
        <v>1989910.1562845334</v>
      </c>
      <c r="E59" s="3">
        <f>Tabla25Amortizacion[[#This Row],[Saldo]]*$C$6</f>
        <v>682937.16563684633</v>
      </c>
      <c r="F59" s="3">
        <f t="shared" si="1"/>
        <v>400000</v>
      </c>
      <c r="G59" s="3">
        <f>Tabla25Amortizacion[[#This Row],[Abono a capital]]+Tabla25Amortizacion[[#This Row],[Interés]]+Tabla25Amortizacion[[#This Row],[Seguro]]</f>
        <v>3072847.3219213798</v>
      </c>
    </row>
    <row r="60" spans="2:12" x14ac:dyDescent="0.25">
      <c r="B60" s="2" t="s">
        <v>227</v>
      </c>
      <c r="C60" s="3">
        <f t="shared" si="2"/>
        <v>21889011.719129674</v>
      </c>
      <c r="D60" s="3">
        <f t="shared" si="3"/>
        <v>1989910.1562845334</v>
      </c>
      <c r="E60" s="3">
        <f>Tabla25Amortizacion[[#This Row],[Saldo]]*$C$6</f>
        <v>626025.73516710871</v>
      </c>
      <c r="F60" s="3">
        <f t="shared" si="1"/>
        <v>400000</v>
      </c>
      <c r="G60" s="3">
        <f>Tabla25Amortizacion[[#This Row],[Abono a capital]]+Tabla25Amortizacion[[#This Row],[Interés]]+Tabla25Amortizacion[[#This Row],[Seguro]]</f>
        <v>3015935.8914516419</v>
      </c>
    </row>
    <row r="61" spans="2:12" x14ac:dyDescent="0.25">
      <c r="B61" s="2" t="s">
        <v>228</v>
      </c>
      <c r="C61" s="3">
        <f t="shared" si="2"/>
        <v>19899101.562845141</v>
      </c>
      <c r="D61" s="3">
        <f t="shared" si="3"/>
        <v>1989910.1562845334</v>
      </c>
      <c r="E61" s="3">
        <f>Tabla25Amortizacion[[#This Row],[Saldo]]*$C$6</f>
        <v>569114.30469737109</v>
      </c>
      <c r="F61" s="3">
        <f t="shared" si="1"/>
        <v>400000</v>
      </c>
      <c r="G61" s="3">
        <f>Tabla25Amortizacion[[#This Row],[Abono a capital]]+Tabla25Amortizacion[[#This Row],[Interés]]+Tabla25Amortizacion[[#This Row],[Seguro]]</f>
        <v>2959024.4609819045</v>
      </c>
    </row>
    <row r="62" spans="2:12" x14ac:dyDescent="0.25">
      <c r="B62" s="2" t="s">
        <v>229</v>
      </c>
      <c r="C62" s="3">
        <f t="shared" si="2"/>
        <v>17909191.406560607</v>
      </c>
      <c r="D62" s="3">
        <f t="shared" si="3"/>
        <v>1989910.1562845334</v>
      </c>
      <c r="E62" s="3">
        <f>Tabla25Amortizacion[[#This Row],[Saldo]]*$C$6</f>
        <v>512202.87422763335</v>
      </c>
      <c r="F62" s="3">
        <f t="shared" si="1"/>
        <v>400000</v>
      </c>
      <c r="G62" s="3">
        <f>Tabla25Amortizacion[[#This Row],[Abono a capital]]+Tabla25Amortizacion[[#This Row],[Interés]]+Tabla25Amortizacion[[#This Row],[Seguro]]</f>
        <v>2902113.0305121667</v>
      </c>
    </row>
    <row r="63" spans="2:12" x14ac:dyDescent="0.25">
      <c r="B63" s="2" t="s">
        <v>230</v>
      </c>
      <c r="C63" s="3">
        <f t="shared" si="2"/>
        <v>15919281.250276074</v>
      </c>
      <c r="D63" s="3">
        <f t="shared" si="3"/>
        <v>1989910.1562845334</v>
      </c>
      <c r="E63" s="3">
        <f>Tabla25Amortizacion[[#This Row],[Saldo]]*$C$6</f>
        <v>455291.44375789573</v>
      </c>
      <c r="F63" s="3">
        <f t="shared" si="1"/>
        <v>400000</v>
      </c>
      <c r="G63" s="3">
        <f>Tabla25Amortizacion[[#This Row],[Abono a capital]]+Tabla25Amortizacion[[#This Row],[Interés]]+Tabla25Amortizacion[[#This Row],[Seguro]]</f>
        <v>2845201.6000424293</v>
      </c>
    </row>
    <row r="64" spans="2:12" x14ac:dyDescent="0.25">
      <c r="B64" s="2" t="s">
        <v>231</v>
      </c>
      <c r="C64" s="3">
        <f t="shared" si="2"/>
        <v>13929371.09399154</v>
      </c>
      <c r="D64" s="3">
        <f t="shared" si="3"/>
        <v>1989910.1562845334</v>
      </c>
      <c r="E64" s="3">
        <f>Tabla25Amortizacion[[#This Row],[Saldo]]*$C$6</f>
        <v>398380.01328815805</v>
      </c>
      <c r="F64" s="3">
        <f t="shared" si="1"/>
        <v>400000</v>
      </c>
      <c r="G64" s="3">
        <f>Tabla25Amortizacion[[#This Row],[Abono a capital]]+Tabla25Amortizacion[[#This Row],[Interés]]+Tabla25Amortizacion[[#This Row],[Seguro]]</f>
        <v>2788290.1695726914</v>
      </c>
    </row>
    <row r="65" spans="2:12" x14ac:dyDescent="0.25">
      <c r="B65" s="2" t="s">
        <v>232</v>
      </c>
      <c r="C65" s="3">
        <f t="shared" si="2"/>
        <v>11939460.937707007</v>
      </c>
      <c r="D65" s="3">
        <f t="shared" si="3"/>
        <v>1989910.1562845334</v>
      </c>
      <c r="E65" s="3">
        <f>Tabla25Amortizacion[[#This Row],[Saldo]]*$C$6</f>
        <v>341468.58281842043</v>
      </c>
      <c r="F65" s="3">
        <f t="shared" si="1"/>
        <v>400000</v>
      </c>
      <c r="G65" s="3">
        <f>Tabla25Amortizacion[[#This Row],[Abono a capital]]+Tabla25Amortizacion[[#This Row],[Interés]]+Tabla25Amortizacion[[#This Row],[Seguro]]</f>
        <v>2731378.739102954</v>
      </c>
    </row>
    <row r="66" spans="2:12" x14ac:dyDescent="0.25">
      <c r="B66" s="2" t="s">
        <v>233</v>
      </c>
      <c r="C66" s="3">
        <f t="shared" si="2"/>
        <v>9949550.7814224735</v>
      </c>
      <c r="D66" s="3">
        <f t="shared" si="3"/>
        <v>1989910.1562845334</v>
      </c>
      <c r="E66" s="3">
        <f>Tabla25Amortizacion[[#This Row],[Saldo]]*$C$6</f>
        <v>284557.15234868275</v>
      </c>
      <c r="F66" s="3">
        <f t="shared" si="1"/>
        <v>400000</v>
      </c>
      <c r="G66" s="3">
        <f>Tabla25Amortizacion[[#This Row],[Abono a capital]]+Tabla25Amortizacion[[#This Row],[Interés]]+Tabla25Amortizacion[[#This Row],[Seguro]]</f>
        <v>2674467.3086332162</v>
      </c>
    </row>
    <row r="67" spans="2:12" x14ac:dyDescent="0.25">
      <c r="B67" s="2" t="s">
        <v>234</v>
      </c>
      <c r="C67" s="3">
        <f t="shared" si="2"/>
        <v>7959640.62513794</v>
      </c>
      <c r="D67" s="3">
        <f t="shared" si="3"/>
        <v>1989910.1562845334</v>
      </c>
      <c r="E67" s="3">
        <f>Tabla25Amortizacion[[#This Row],[Saldo]]*$C$6</f>
        <v>227645.7218789451</v>
      </c>
      <c r="F67" s="3">
        <f t="shared" si="1"/>
        <v>400000</v>
      </c>
      <c r="G67" s="3">
        <f>Tabla25Amortizacion[[#This Row],[Abono a capital]]+Tabla25Amortizacion[[#This Row],[Interés]]+Tabla25Amortizacion[[#This Row],[Seguro]]</f>
        <v>2617555.8781634783</v>
      </c>
    </row>
    <row r="68" spans="2:12" x14ac:dyDescent="0.25">
      <c r="B68" s="2" t="s">
        <v>235</v>
      </c>
      <c r="C68" s="3">
        <f t="shared" si="2"/>
        <v>5969730.4688534066</v>
      </c>
      <c r="D68" s="3">
        <f t="shared" si="3"/>
        <v>1989910.1562845334</v>
      </c>
      <c r="E68" s="3">
        <f>Tabla25Amortizacion[[#This Row],[Saldo]]*$C$6</f>
        <v>170734.29140920742</v>
      </c>
      <c r="F68" s="3">
        <f t="shared" si="1"/>
        <v>400000</v>
      </c>
      <c r="G68" s="3">
        <f>Tabla25Amortizacion[[#This Row],[Abono a capital]]+Tabla25Amortizacion[[#This Row],[Interés]]+Tabla25Amortizacion[[#This Row],[Seguro]]</f>
        <v>2560644.4476937409</v>
      </c>
    </row>
    <row r="69" spans="2:12" x14ac:dyDescent="0.25">
      <c r="B69" s="2" t="s">
        <v>236</v>
      </c>
      <c r="C69" s="3">
        <f t="shared" si="2"/>
        <v>3979820.3125688732</v>
      </c>
      <c r="D69" s="3">
        <f t="shared" si="3"/>
        <v>1989910.1562845334</v>
      </c>
      <c r="E69" s="3">
        <f>Tabla25Amortizacion[[#This Row],[Saldo]]*$C$6</f>
        <v>113822.86093946977</v>
      </c>
      <c r="F69" s="3">
        <f t="shared" si="1"/>
        <v>400000</v>
      </c>
      <c r="G69" s="3">
        <f>Tabla25Amortizacion[[#This Row],[Abono a capital]]+Tabla25Amortizacion[[#This Row],[Interés]]+Tabla25Amortizacion[[#This Row],[Seguro]]</f>
        <v>2503733.0172240031</v>
      </c>
      <c r="H69" s="3" t="s">
        <v>238</v>
      </c>
      <c r="I69" s="77" t="s">
        <v>276</v>
      </c>
      <c r="J69" s="77" t="s">
        <v>101</v>
      </c>
      <c r="K69" s="77" t="s">
        <v>469</v>
      </c>
      <c r="L69" s="3" t="s">
        <v>102</v>
      </c>
    </row>
    <row r="70" spans="2:12" x14ac:dyDescent="0.25">
      <c r="B70" s="2" t="s">
        <v>237</v>
      </c>
      <c r="C70" s="3">
        <f t="shared" si="2"/>
        <v>1989910.1562843397</v>
      </c>
      <c r="D70" s="3">
        <f t="shared" si="3"/>
        <v>1989910.1562845334</v>
      </c>
      <c r="E70" s="3">
        <f>Tabla25Amortizacion[[#This Row],[Saldo]]*$C$6</f>
        <v>56911.43046973212</v>
      </c>
      <c r="F70" s="3">
        <f t="shared" si="1"/>
        <v>400000</v>
      </c>
      <c r="G70" s="3">
        <f>Tabla25Amortizacion[[#This Row],[Abono a capital]]+Tabla25Amortizacion[[#This Row],[Interés]]+Tabla25Amortizacion[[#This Row],[Seguro]]</f>
        <v>2446821.5867542652</v>
      </c>
      <c r="H70" s="3">
        <f>SUM(D59:D70)</f>
        <v>23878921.875414401</v>
      </c>
      <c r="I70" s="77">
        <f>SUM(E59:E70)</f>
        <v>4439091.5766394706</v>
      </c>
      <c r="J70" s="77">
        <v>4800000</v>
      </c>
      <c r="K70" s="77">
        <f>(I70+J70)</f>
        <v>9239091.5766394697</v>
      </c>
      <c r="L70" s="3">
        <f>SUM(G59:G70)</f>
        <v>33118013.452053875</v>
      </c>
    </row>
  </sheetData>
  <pageMargins left="0.7" right="0.7" top="0.75" bottom="0.75" header="0.3" footer="0.3"/>
  <pageSetup orientation="portrait" horizontalDpi="0" verticalDpi="0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VentasMes</vt:lpstr>
      <vt:lpstr>VentasAños</vt:lpstr>
      <vt:lpstr>Nomina</vt:lpstr>
      <vt:lpstr>Maquinas</vt:lpstr>
      <vt:lpstr>Gastos</vt:lpstr>
      <vt:lpstr>Compras</vt:lpstr>
      <vt:lpstr>Depre</vt:lpstr>
      <vt:lpstr>Capital</vt:lpstr>
      <vt:lpstr>Amorti</vt:lpstr>
      <vt:lpstr>ER</vt:lpstr>
      <vt:lpstr>ESF</vt:lpstr>
      <vt:lpstr>FlujoCaja</vt:lpstr>
      <vt:lpstr>Propuesta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2022-06-02T20:09:51Z</dcterms:modified>
</cp:coreProperties>
</file>