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o\Desktop\"/>
    </mc:Choice>
  </mc:AlternateContent>
  <bookViews>
    <workbookView xWindow="120" yWindow="45" windowWidth="15600" windowHeight="7470" tabRatio="928"/>
  </bookViews>
  <sheets>
    <sheet name="Inversión" sheetId="4" r:id="rId1"/>
    <sheet name="Gastos admin-pub-vent" sheetId="2" r:id="rId2"/>
    <sheet name="Nomina" sheetId="1" r:id="rId3"/>
    <sheet name="Depreciación" sheetId="7" r:id="rId4"/>
    <sheet name="Inversión Total" sheetId="9" r:id="rId5"/>
    <sheet name="Capital de Trabajo" sheetId="8" r:id="rId6"/>
    <sheet name="Ingresos" sheetId="10" r:id="rId7"/>
    <sheet name="Costos Totales por Año" sheetId="6" r:id="rId8"/>
    <sheet name="Punto de Equilibrio Final" sheetId="12" r:id="rId9"/>
    <sheet name="estado de resultados " sheetId="13" r:id="rId10"/>
  </sheets>
  <calcPr calcId="152511"/>
</workbook>
</file>

<file path=xl/calcChain.xml><?xml version="1.0" encoding="utf-8"?>
<calcChain xmlns="http://schemas.openxmlformats.org/spreadsheetml/2006/main">
  <c r="B3" i="10" l="1"/>
  <c r="B7" i="13" l="1"/>
  <c r="B4" i="6" l="1"/>
  <c r="C4" i="6"/>
  <c r="D4" i="6"/>
  <c r="E4" i="6"/>
  <c r="F4" i="6"/>
  <c r="G4" i="6"/>
  <c r="H4" i="6" s="1"/>
  <c r="I4" i="6" s="1"/>
  <c r="J4" i="6" s="1"/>
  <c r="K4" i="6" s="1"/>
  <c r="B6" i="6"/>
  <c r="C6" i="6"/>
  <c r="H6" i="6" s="1"/>
  <c r="D6" i="6"/>
  <c r="E6" i="6"/>
  <c r="F6" i="6"/>
  <c r="G6" i="6"/>
  <c r="I6" i="6"/>
  <c r="J6" i="6"/>
  <c r="K6" i="6"/>
  <c r="B7" i="6"/>
  <c r="C7" i="6"/>
  <c r="D7" i="6"/>
  <c r="E7" i="6"/>
  <c r="F7" i="6"/>
  <c r="G7" i="6"/>
  <c r="H7" i="6"/>
  <c r="I7" i="6"/>
  <c r="J7" i="6" s="1"/>
  <c r="K7" i="6" s="1"/>
  <c r="B8" i="6"/>
  <c r="C8" i="6"/>
  <c r="D8" i="6"/>
  <c r="E8" i="6"/>
  <c r="F8" i="6"/>
  <c r="G8" i="6"/>
  <c r="H8" i="6" s="1"/>
  <c r="I8" i="6" s="1"/>
  <c r="J8" i="6" s="1"/>
  <c r="K8" i="6" s="1"/>
  <c r="B9" i="6"/>
  <c r="C9" i="6"/>
  <c r="D9" i="6"/>
  <c r="E9" i="6"/>
  <c r="F9" i="6"/>
  <c r="G9" i="6"/>
  <c r="B11" i="6"/>
  <c r="C11" i="6"/>
  <c r="D11" i="6"/>
  <c r="E11" i="6"/>
  <c r="F11" i="6"/>
  <c r="G11" i="6"/>
  <c r="H11" i="6"/>
  <c r="I11" i="6"/>
  <c r="J11" i="6" s="1"/>
  <c r="K11" i="6" s="1"/>
  <c r="B12" i="6"/>
  <c r="D12" i="6" s="1"/>
  <c r="C12" i="6"/>
  <c r="F12" i="6"/>
  <c r="G12" i="6"/>
  <c r="H12" i="6" s="1"/>
  <c r="I12" i="6" s="1"/>
  <c r="J12" i="6" s="1"/>
  <c r="K12" i="6" s="1"/>
  <c r="B13" i="6"/>
  <c r="C13" i="6"/>
  <c r="D13" i="6"/>
  <c r="E13" i="6"/>
  <c r="F13" i="6"/>
  <c r="G13" i="6"/>
  <c r="H13" i="6"/>
  <c r="I13" i="6"/>
  <c r="J13" i="6" s="1"/>
  <c r="K13" i="6" s="1"/>
  <c r="B14" i="6"/>
  <c r="D14" i="6" s="1"/>
  <c r="C14" i="6"/>
  <c r="F14" i="6"/>
  <c r="G14" i="6"/>
  <c r="H14" i="6" s="1"/>
  <c r="I14" i="6" s="1"/>
  <c r="J14" i="6" s="1"/>
  <c r="K14" i="6" s="1"/>
  <c r="B4" i="10"/>
  <c r="B10" i="6" s="1"/>
  <c r="G10" i="6" s="1"/>
  <c r="H15" i="6"/>
  <c r="I15" i="6" s="1"/>
  <c r="J15" i="6" s="1"/>
  <c r="K15" i="6" s="1"/>
  <c r="F10" i="6" l="1"/>
  <c r="E10" i="6"/>
  <c r="B5" i="10"/>
  <c r="D10" i="6"/>
  <c r="C10" i="6"/>
  <c r="E14" i="6"/>
  <c r="E12" i="6"/>
  <c r="D7" i="7" l="1"/>
  <c r="E3" i="2"/>
  <c r="F30" i="2" l="1"/>
  <c r="E30" i="2"/>
  <c r="F4" i="1" l="1"/>
  <c r="F33" i="2"/>
  <c r="C26" i="6"/>
  <c r="D26" i="6" s="1"/>
  <c r="E26" i="6" s="1"/>
  <c r="E30" i="1"/>
  <c r="F30" i="1" s="1"/>
  <c r="G30" i="1" s="1"/>
  <c r="H30" i="1" s="1"/>
  <c r="I30" i="1" s="1"/>
  <c r="J30" i="1" s="1"/>
  <c r="E31" i="4"/>
  <c r="E24" i="4"/>
  <c r="E29" i="1"/>
  <c r="K34" i="4"/>
  <c r="B22" i="1"/>
  <c r="B23" i="1"/>
  <c r="B21" i="1"/>
  <c r="W5" i="1"/>
  <c r="X5" i="1" s="1"/>
  <c r="W6" i="1"/>
  <c r="X6" i="1" s="1"/>
  <c r="W7" i="1"/>
  <c r="X7" i="1" s="1"/>
  <c r="W8" i="1"/>
  <c r="X8" i="1" s="1"/>
  <c r="W9" i="1"/>
  <c r="X9" i="1" s="1"/>
  <c r="W10" i="1"/>
  <c r="X10" i="1" s="1"/>
  <c r="W11" i="1"/>
  <c r="X11" i="1" s="1"/>
  <c r="W12" i="1"/>
  <c r="X12" i="1" s="1"/>
  <c r="U5" i="1"/>
  <c r="V5" i="1" s="1"/>
  <c r="U6" i="1"/>
  <c r="V6" i="1" s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Q5" i="1"/>
  <c r="R5" i="1" s="1"/>
  <c r="Q6" i="1"/>
  <c r="S6" i="1" s="1"/>
  <c r="T6" i="1" s="1"/>
  <c r="Q7" i="1"/>
  <c r="S7" i="1" s="1"/>
  <c r="T7" i="1" s="1"/>
  <c r="Q8" i="1"/>
  <c r="S8" i="1" s="1"/>
  <c r="T8" i="1" s="1"/>
  <c r="Q9" i="1"/>
  <c r="R9" i="1" s="1"/>
  <c r="Q10" i="1"/>
  <c r="S10" i="1" s="1"/>
  <c r="T10" i="1" s="1"/>
  <c r="Q11" i="1"/>
  <c r="S11" i="1" s="1"/>
  <c r="T11" i="1" s="1"/>
  <c r="Q12" i="1"/>
  <c r="R12" i="1" s="1"/>
  <c r="Q13" i="1"/>
  <c r="R13" i="1" s="1"/>
  <c r="Q14" i="1"/>
  <c r="S1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F5" i="1"/>
  <c r="F6" i="1"/>
  <c r="F7" i="1"/>
  <c r="F8" i="1"/>
  <c r="F9" i="1"/>
  <c r="F10" i="1"/>
  <c r="F11" i="1"/>
  <c r="F12" i="1"/>
  <c r="D5" i="1"/>
  <c r="D6" i="1"/>
  <c r="D7" i="1"/>
  <c r="D8" i="1"/>
  <c r="D9" i="1"/>
  <c r="D10" i="1"/>
  <c r="D11" i="1"/>
  <c r="D12" i="1"/>
  <c r="D34" i="2"/>
  <c r="E15" i="2"/>
  <c r="E16" i="2"/>
  <c r="E4" i="2"/>
  <c r="E5" i="2"/>
  <c r="E6" i="2"/>
  <c r="E7" i="2"/>
  <c r="E8" i="2"/>
  <c r="E9" i="2"/>
  <c r="E29" i="4"/>
  <c r="E30" i="4"/>
  <c r="E32" i="4"/>
  <c r="E33" i="4"/>
  <c r="E28" i="4"/>
  <c r="B20" i="1"/>
  <c r="F14" i="1"/>
  <c r="Y8" i="1" l="1"/>
  <c r="Y11" i="1"/>
  <c r="Y7" i="1"/>
  <c r="Y10" i="1"/>
  <c r="Y6" i="1"/>
  <c r="F26" i="6"/>
  <c r="E15" i="1"/>
  <c r="F13" i="1"/>
  <c r="R6" i="1"/>
  <c r="R7" i="1"/>
  <c r="R14" i="1"/>
  <c r="R11" i="1"/>
  <c r="R10" i="1"/>
  <c r="S12" i="1"/>
  <c r="T12" i="1" s="1"/>
  <c r="S13" i="1"/>
  <c r="S5" i="1"/>
  <c r="R8" i="1"/>
  <c r="S9" i="1"/>
  <c r="D40" i="1"/>
  <c r="E40" i="1" s="1"/>
  <c r="F29" i="1"/>
  <c r="G29" i="1" s="1"/>
  <c r="E39" i="4"/>
  <c r="T5" i="1" l="1"/>
  <c r="Y5" i="1"/>
  <c r="Y12" i="1"/>
  <c r="T9" i="1"/>
  <c r="Y9" i="1"/>
  <c r="C38" i="4"/>
  <c r="Z6" i="1"/>
  <c r="C22" i="1"/>
  <c r="Z7" i="1"/>
  <c r="C23" i="1"/>
  <c r="D23" i="1" s="1"/>
  <c r="E23" i="1" s="1"/>
  <c r="F23" i="1" s="1"/>
  <c r="G23" i="1" s="1"/>
  <c r="H23" i="1" s="1"/>
  <c r="Z11" i="1"/>
  <c r="Z10" i="1"/>
  <c r="Z8" i="1"/>
  <c r="H29" i="1"/>
  <c r="I29" i="1" s="1"/>
  <c r="J29" i="1" s="1"/>
  <c r="G32" i="1"/>
  <c r="Z5" i="1" l="1"/>
  <c r="C21" i="1"/>
  <c r="C39" i="1"/>
  <c r="D22" i="1"/>
  <c r="E22" i="1" s="1"/>
  <c r="F22" i="1" s="1"/>
  <c r="G22" i="1" s="1"/>
  <c r="H22" i="1" s="1"/>
  <c r="Z12" i="1"/>
  <c r="Z9" i="1"/>
  <c r="H32" i="1"/>
  <c r="C32" i="6"/>
  <c r="J32" i="1"/>
  <c r="I32" i="1"/>
  <c r="D21" i="1" l="1"/>
  <c r="E21" i="1" s="1"/>
  <c r="F21" i="1" s="1"/>
  <c r="G21" i="1" s="1"/>
  <c r="H21" i="1" s="1"/>
  <c r="C38" i="1"/>
  <c r="D32" i="6"/>
  <c r="F32" i="6"/>
  <c r="E32" i="6"/>
  <c r="C5" i="9"/>
  <c r="D5" i="9"/>
  <c r="E5" i="9"/>
  <c r="F5" i="9"/>
  <c r="F16" i="2"/>
  <c r="G16" i="2" s="1"/>
  <c r="H16" i="2" s="1"/>
  <c r="I16" i="2" s="1"/>
  <c r="F15" i="2"/>
  <c r="H15" i="2" s="1"/>
  <c r="I15" i="2" s="1"/>
  <c r="F14" i="2"/>
  <c r="G14" i="2" s="1"/>
  <c r="H14" i="2" s="1"/>
  <c r="I14" i="2" s="1"/>
  <c r="F3" i="2"/>
  <c r="C33" i="6" s="1"/>
  <c r="G3" i="2" l="1"/>
  <c r="H3" i="2" s="1"/>
  <c r="E33" i="6" s="1"/>
  <c r="G17" i="2"/>
  <c r="D15" i="6" s="1"/>
  <c r="D44" i="6" s="1"/>
  <c r="F17" i="2"/>
  <c r="C15" i="6" s="1"/>
  <c r="C44" i="6" s="1"/>
  <c r="H17" i="2"/>
  <c r="E15" i="6" s="1"/>
  <c r="E44" i="6" s="1"/>
  <c r="I3" i="2" l="1"/>
  <c r="F33" i="6" s="1"/>
  <c r="D33" i="6"/>
  <c r="I17" i="2"/>
  <c r="F15" i="6" s="1"/>
  <c r="F44" i="6" s="1"/>
  <c r="D39" i="1" l="1"/>
  <c r="E39" i="1" s="1"/>
  <c r="D38" i="1"/>
  <c r="E38" i="1" s="1"/>
  <c r="E32" i="1"/>
  <c r="F32" i="1"/>
  <c r="D26" i="2"/>
  <c r="D17" i="2"/>
  <c r="D34" i="4"/>
  <c r="D17" i="4"/>
  <c r="D7" i="4"/>
  <c r="E6" i="4"/>
  <c r="E5" i="4"/>
  <c r="E4" i="4"/>
  <c r="E3" i="4"/>
  <c r="E27" i="4"/>
  <c r="E26" i="4"/>
  <c r="E25" i="4"/>
  <c r="E23" i="4"/>
  <c r="E22" i="4"/>
  <c r="E21" i="4"/>
  <c r="B16" i="2"/>
  <c r="E15" i="4"/>
  <c r="E16" i="4"/>
  <c r="E12" i="4"/>
  <c r="E11" i="4"/>
  <c r="E17" i="2"/>
  <c r="B15" i="6" s="1"/>
  <c r="E25" i="2"/>
  <c r="E24" i="2"/>
  <c r="E23" i="2"/>
  <c r="F6" i="2"/>
  <c r="G6" i="2" s="1"/>
  <c r="H6" i="2" s="1"/>
  <c r="I6" i="2" s="1"/>
  <c r="F5" i="2"/>
  <c r="G5" i="2" s="1"/>
  <c r="H5" i="2" s="1"/>
  <c r="I5" i="2" s="1"/>
  <c r="B5" i="7" l="1"/>
  <c r="D5" i="7" s="1"/>
  <c r="F4" i="2"/>
  <c r="F8" i="2"/>
  <c r="F9" i="2"/>
  <c r="B44" i="6"/>
  <c r="G15" i="6"/>
  <c r="E34" i="4"/>
  <c r="B5" i="9" s="1"/>
  <c r="B7" i="7"/>
  <c r="E26" i="2"/>
  <c r="B6" i="7"/>
  <c r="D6" i="7" s="1"/>
  <c r="E7" i="4"/>
  <c r="B32" i="6"/>
  <c r="B33" i="6"/>
  <c r="E13" i="4"/>
  <c r="E14" i="4"/>
  <c r="D8" i="7" l="1"/>
  <c r="B12" i="7" s="1"/>
  <c r="B5" i="8"/>
  <c r="E17" i="4"/>
  <c r="B6" i="9"/>
  <c r="E5" i="7"/>
  <c r="C36" i="6"/>
  <c r="G9" i="2"/>
  <c r="B35" i="6"/>
  <c r="C34" i="6"/>
  <c r="G4" i="2"/>
  <c r="E6" i="7"/>
  <c r="F6" i="7" s="1"/>
  <c r="B8" i="7"/>
  <c r="E7" i="7"/>
  <c r="F7" i="7" s="1"/>
  <c r="B36" i="6"/>
  <c r="C35" i="6"/>
  <c r="G8" i="2"/>
  <c r="B34" i="6"/>
  <c r="F35" i="2"/>
  <c r="E35" i="2" s="1"/>
  <c r="F34" i="2"/>
  <c r="E34" i="2" s="1"/>
  <c r="E33" i="2"/>
  <c r="F32" i="2"/>
  <c r="E32" i="2" s="1"/>
  <c r="F31" i="2"/>
  <c r="E31" i="2" s="1"/>
  <c r="C15" i="1"/>
  <c r="W14" i="1"/>
  <c r="X14" i="1" s="1"/>
  <c r="U14" i="1"/>
  <c r="D14" i="1"/>
  <c r="W13" i="1"/>
  <c r="X13" i="1" s="1"/>
  <c r="U13" i="1"/>
  <c r="T13" i="1"/>
  <c r="D13" i="1"/>
  <c r="W4" i="1"/>
  <c r="X4" i="1" s="1"/>
  <c r="U4" i="1"/>
  <c r="V4" i="1" s="1"/>
  <c r="Q4" i="1"/>
  <c r="R4" i="1" s="1"/>
  <c r="O4" i="1"/>
  <c r="P4" i="1" s="1"/>
  <c r="M4" i="1"/>
  <c r="N4" i="1" s="1"/>
  <c r="K4" i="1"/>
  <c r="I4" i="1"/>
  <c r="J4" i="1" s="1"/>
  <c r="G4" i="1"/>
  <c r="H4" i="1" s="1"/>
  <c r="D4" i="1"/>
  <c r="V14" i="1" l="1"/>
  <c r="Y14" i="1"/>
  <c r="L4" i="1"/>
  <c r="L15" i="1" s="1"/>
  <c r="V13" i="1"/>
  <c r="V15" i="1" s="1"/>
  <c r="Y13" i="1"/>
  <c r="D15" i="1"/>
  <c r="D35" i="6"/>
  <c r="H8" i="2"/>
  <c r="B7" i="8"/>
  <c r="F43" i="6"/>
  <c r="C43" i="6"/>
  <c r="E7" i="8"/>
  <c r="D7" i="8"/>
  <c r="C7" i="8"/>
  <c r="D43" i="6"/>
  <c r="F7" i="8"/>
  <c r="B43" i="6"/>
  <c r="E43" i="6"/>
  <c r="D34" i="6"/>
  <c r="H4" i="2"/>
  <c r="H9" i="2"/>
  <c r="D36" i="6"/>
  <c r="E8" i="7"/>
  <c r="F5" i="7"/>
  <c r="F8" i="7" s="1"/>
  <c r="B14" i="7"/>
  <c r="B15" i="7"/>
  <c r="B16" i="7"/>
  <c r="B13" i="7"/>
  <c r="E42" i="6"/>
  <c r="E6" i="8"/>
  <c r="F6" i="8"/>
  <c r="F42" i="6"/>
  <c r="C42" i="6"/>
  <c r="B6" i="8"/>
  <c r="D6" i="8"/>
  <c r="C6" i="8"/>
  <c r="B42" i="6"/>
  <c r="D42" i="6"/>
  <c r="E5" i="8"/>
  <c r="E41" i="6"/>
  <c r="B41" i="6"/>
  <c r="F5" i="8"/>
  <c r="F41" i="6"/>
  <c r="E36" i="2"/>
  <c r="F36" i="2"/>
  <c r="X15" i="1"/>
  <c r="H15" i="1"/>
  <c r="J15" i="1"/>
  <c r="N15" i="1"/>
  <c r="P15" i="1"/>
  <c r="F15" i="1"/>
  <c r="R15" i="1"/>
  <c r="T14" i="1"/>
  <c r="G15" i="1"/>
  <c r="I15" i="1"/>
  <c r="K15" i="1"/>
  <c r="M15" i="1"/>
  <c r="O15" i="1"/>
  <c r="Q15" i="1"/>
  <c r="U15" i="1"/>
  <c r="W15" i="1"/>
  <c r="S4" i="1"/>
  <c r="Y4" i="1" s="1"/>
  <c r="Z13" i="1" l="1"/>
  <c r="F8" i="8"/>
  <c r="B45" i="6"/>
  <c r="E45" i="6"/>
  <c r="D46" i="6" s="1"/>
  <c r="D47" i="6" s="1"/>
  <c r="B8" i="8"/>
  <c r="E36" i="6"/>
  <c r="I9" i="2"/>
  <c r="F36" i="6" s="1"/>
  <c r="E34" i="6"/>
  <c r="I4" i="2"/>
  <c r="F45" i="6"/>
  <c r="E46" i="6" s="1"/>
  <c r="E47" i="6" s="1"/>
  <c r="D41" i="6"/>
  <c r="D45" i="6" s="1"/>
  <c r="C46" i="6" s="1"/>
  <c r="C47" i="6" s="1"/>
  <c r="D5" i="8"/>
  <c r="D8" i="8" s="1"/>
  <c r="C5" i="8"/>
  <c r="C8" i="8" s="1"/>
  <c r="C41" i="6"/>
  <c r="C45" i="6" s="1"/>
  <c r="B46" i="6" s="1"/>
  <c r="B47" i="6" s="1"/>
  <c r="E8" i="8"/>
  <c r="E35" i="6"/>
  <c r="I8" i="2"/>
  <c r="F35" i="6" s="1"/>
  <c r="D10" i="2"/>
  <c r="D19" i="2" s="1"/>
  <c r="T4" i="1"/>
  <c r="T15" i="1" s="1"/>
  <c r="S15" i="1"/>
  <c r="Z14" i="1" l="1"/>
  <c r="Z4" i="1"/>
  <c r="D20" i="1" s="1"/>
  <c r="C20" i="1"/>
  <c r="F34" i="6"/>
  <c r="G45" i="6"/>
  <c r="F46" i="6" s="1"/>
  <c r="F47" i="6" s="1"/>
  <c r="Y15" i="1"/>
  <c r="Z15" i="1" l="1"/>
  <c r="D24" i="1"/>
  <c r="B5" i="6" s="1"/>
  <c r="E20" i="1"/>
  <c r="C24" i="1"/>
  <c r="G5" i="6" s="1"/>
  <c r="H5" i="6" s="1"/>
  <c r="I5" i="6" s="1"/>
  <c r="J5" i="6" s="1"/>
  <c r="K5" i="6" s="1"/>
  <c r="C37" i="1"/>
  <c r="D37" i="1" s="1"/>
  <c r="F7" i="2"/>
  <c r="B31" i="6" l="1"/>
  <c r="B16" i="6"/>
  <c r="E37" i="1"/>
  <c r="E41" i="1" s="1"/>
  <c r="D41" i="1"/>
  <c r="E24" i="1"/>
  <c r="F20" i="1"/>
  <c r="G7" i="2"/>
  <c r="F10" i="2"/>
  <c r="F19" i="2" s="1"/>
  <c r="E10" i="2"/>
  <c r="E19" i="2" s="1"/>
  <c r="B5" i="13" l="1"/>
  <c r="B4" i="8"/>
  <c r="C5" i="6"/>
  <c r="C31" i="6" s="1"/>
  <c r="F24" i="1"/>
  <c r="G20" i="1"/>
  <c r="C30" i="6"/>
  <c r="H7" i="2"/>
  <c r="G10" i="2"/>
  <c r="G19" i="2" s="1"/>
  <c r="B30" i="6"/>
  <c r="B37" i="6" s="1"/>
  <c r="C16" i="6" l="1"/>
  <c r="C4" i="8" s="1"/>
  <c r="D5" i="6"/>
  <c r="D31" i="6" s="1"/>
  <c r="C37" i="6"/>
  <c r="C38" i="6" s="1"/>
  <c r="C39" i="6" s="1"/>
  <c r="C22" i="6" s="1"/>
  <c r="G24" i="1"/>
  <c r="H20" i="1"/>
  <c r="H24" i="1" s="1"/>
  <c r="I7" i="2"/>
  <c r="H10" i="2"/>
  <c r="H19" i="2" s="1"/>
  <c r="D30" i="6"/>
  <c r="G16" i="6"/>
  <c r="B38" i="6"/>
  <c r="D37" i="6" l="1"/>
  <c r="D38" i="6" s="1"/>
  <c r="D39" i="6" s="1"/>
  <c r="D22" i="6" s="1"/>
  <c r="E5" i="6"/>
  <c r="E31" i="6" s="1"/>
  <c r="B39" i="6"/>
  <c r="B22" i="6" s="1"/>
  <c r="B11" i="12"/>
  <c r="D16" i="6"/>
  <c r="D4" i="8" s="1"/>
  <c r="F5" i="6"/>
  <c r="F31" i="6" s="1"/>
  <c r="D38" i="4"/>
  <c r="E9" i="10" s="1"/>
  <c r="B20" i="6"/>
  <c r="B21" i="6" s="1"/>
  <c r="E30" i="6"/>
  <c r="E16" i="6"/>
  <c r="E4" i="8" s="1"/>
  <c r="I10" i="2"/>
  <c r="I19" i="2" s="1"/>
  <c r="H16" i="6"/>
  <c r="E37" i="6" l="1"/>
  <c r="H10" i="12"/>
  <c r="I10" i="12"/>
  <c r="E6" i="10"/>
  <c r="E7" i="10" s="1"/>
  <c r="G9" i="10"/>
  <c r="B23" i="6"/>
  <c r="C20" i="6"/>
  <c r="C21" i="6" s="1"/>
  <c r="F10" i="12"/>
  <c r="G10" i="12"/>
  <c r="B10" i="12"/>
  <c r="G9" i="12" s="1"/>
  <c r="E38" i="4"/>
  <c r="E40" i="4" s="1"/>
  <c r="E42" i="4" s="1"/>
  <c r="D40" i="4"/>
  <c r="D42" i="4" s="1"/>
  <c r="F30" i="6"/>
  <c r="F37" i="6" s="1"/>
  <c r="F38" i="6" s="1"/>
  <c r="F39" i="6" s="1"/>
  <c r="F22" i="6" s="1"/>
  <c r="F16" i="6"/>
  <c r="F4" i="8" s="1"/>
  <c r="E38" i="6"/>
  <c r="E39" i="6" s="1"/>
  <c r="E22" i="6" s="1"/>
  <c r="I16" i="6"/>
  <c r="B8" i="10" l="1"/>
  <c r="B14" i="10"/>
  <c r="B4" i="13" s="1"/>
  <c r="F9" i="12"/>
  <c r="F11" i="12" s="1"/>
  <c r="I9" i="12"/>
  <c r="B9" i="12"/>
  <c r="B12" i="12" s="1"/>
  <c r="H7" i="12" s="1"/>
  <c r="H9" i="12" s="1"/>
  <c r="B9" i="8"/>
  <c r="B10" i="8" s="1"/>
  <c r="G37" i="6"/>
  <c r="B17" i="6"/>
  <c r="J16" i="6"/>
  <c r="K16" i="6"/>
  <c r="C23" i="6"/>
  <c r="D20" i="6"/>
  <c r="D21" i="6" s="1"/>
  <c r="C11" i="13" l="1"/>
  <c r="C7" i="13"/>
  <c r="B6" i="13"/>
  <c r="C10" i="13"/>
  <c r="C9" i="13"/>
  <c r="C4" i="13"/>
  <c r="C5" i="13"/>
  <c r="C9" i="8"/>
  <c r="B7" i="9"/>
  <c r="B8" i="9" s="1"/>
  <c r="C14" i="10"/>
  <c r="D14" i="10" s="1"/>
  <c r="E14" i="10" s="1"/>
  <c r="F14" i="10" s="1"/>
  <c r="H17" i="6"/>
  <c r="B9" i="10"/>
  <c r="B10" i="10" s="1"/>
  <c r="B17" i="10"/>
  <c r="C17" i="10" s="1"/>
  <c r="D17" i="10" s="1"/>
  <c r="E17" i="10" s="1"/>
  <c r="F17" i="10" s="1"/>
  <c r="E20" i="6"/>
  <c r="E21" i="6" s="1"/>
  <c r="D23" i="6"/>
  <c r="C6" i="13" l="1"/>
  <c r="B8" i="13"/>
  <c r="B13" i="12"/>
  <c r="F8" i="12"/>
  <c r="F12" i="12" s="1"/>
  <c r="D9" i="8"/>
  <c r="C10" i="8"/>
  <c r="G14" i="10"/>
  <c r="F20" i="6"/>
  <c r="F21" i="6" s="1"/>
  <c r="E23" i="6"/>
  <c r="B12" i="13" l="1"/>
  <c r="C8" i="13"/>
  <c r="C7" i="9"/>
  <c r="C8" i="9" s="1"/>
  <c r="B9" i="9" s="1"/>
  <c r="G8" i="12"/>
  <c r="E9" i="8"/>
  <c r="D10" i="8"/>
  <c r="D7" i="9" s="1"/>
  <c r="D8" i="9" s="1"/>
  <c r="E13" i="12"/>
  <c r="H11" i="12"/>
  <c r="H8" i="12"/>
  <c r="F23" i="6"/>
  <c r="B13" i="13" l="1"/>
  <c r="C13" i="13" s="1"/>
  <c r="C12" i="13"/>
  <c r="C9" i="9"/>
  <c r="F9" i="8"/>
  <c r="F10" i="8" s="1"/>
  <c r="F7" i="9" s="1"/>
  <c r="F8" i="9" s="1"/>
  <c r="E10" i="8"/>
  <c r="E7" i="9" s="1"/>
  <c r="E8" i="9" s="1"/>
  <c r="D9" i="9" s="1"/>
  <c r="H12" i="12"/>
  <c r="G11" i="12"/>
  <c r="I8" i="12"/>
  <c r="I11" i="12"/>
  <c r="B14" i="13" l="1"/>
  <c r="C14" i="13" s="1"/>
  <c r="E9" i="9"/>
  <c r="G8" i="9"/>
  <c r="F9" i="9" s="1"/>
  <c r="I12" i="12"/>
  <c r="G12" i="12"/>
</calcChain>
</file>

<file path=xl/sharedStrings.xml><?xml version="1.0" encoding="utf-8"?>
<sst xmlns="http://schemas.openxmlformats.org/spreadsheetml/2006/main" count="326" uniqueCount="238">
  <si>
    <t>CARGO</t>
  </si>
  <si>
    <t>TOTALES</t>
  </si>
  <si>
    <t>Valor Unitario</t>
  </si>
  <si>
    <t>Salario Base Mensual</t>
  </si>
  <si>
    <t>Salaria Base Anual</t>
  </si>
  <si>
    <t>Aux. Trasnporte Mensual</t>
  </si>
  <si>
    <t>Aux. Trasnporte Anual</t>
  </si>
  <si>
    <t>Aporte Salud Empleado Mensual</t>
  </si>
  <si>
    <t>Aporte Salud Empleado Anual</t>
  </si>
  <si>
    <t>Aporte Pesión Empleado Mensual</t>
  </si>
  <si>
    <t>Aporte Pesión Empleado Anual</t>
  </si>
  <si>
    <t>Aporte Pesión Empleador Mensual</t>
  </si>
  <si>
    <t>Aporte Pesión Empleador Anual</t>
  </si>
  <si>
    <t>Prima Mensual</t>
  </si>
  <si>
    <t>Prima Anual</t>
  </si>
  <si>
    <t>Cesantias Mensual</t>
  </si>
  <si>
    <t>Cesantias Anual</t>
  </si>
  <si>
    <t>Intereses Cesantias Mensual</t>
  </si>
  <si>
    <t>Vacaciones Mensual</t>
  </si>
  <si>
    <t>Vacaciones Anual</t>
  </si>
  <si>
    <t>Parafiscales Mensual</t>
  </si>
  <si>
    <t>Parafiscales Anual</t>
  </si>
  <si>
    <t>Valor Empleado Mensual</t>
  </si>
  <si>
    <t>Valor Empleado Anual</t>
  </si>
  <si>
    <t>N°</t>
  </si>
  <si>
    <t>Resumen Mano de Obra Directa</t>
  </si>
  <si>
    <t>Detalle Mano de Obra Directa</t>
  </si>
  <si>
    <t>Totales</t>
  </si>
  <si>
    <t>CONCEPTO</t>
  </si>
  <si>
    <t>Cantidad</t>
  </si>
  <si>
    <t>Energia</t>
  </si>
  <si>
    <t>Agua</t>
  </si>
  <si>
    <t>Mantenimiento a los equipos de computo</t>
  </si>
  <si>
    <t>Plan de Internet Corporativo (Teléfono-Internet Banda Ancha)</t>
  </si>
  <si>
    <t>Gastos Bancarios</t>
  </si>
  <si>
    <t>Diseño Página Web Hosting y Dominio</t>
  </si>
  <si>
    <t>Fotos Catálogo virtual página web</t>
  </si>
  <si>
    <t>DESCRIPCIÓN</t>
  </si>
  <si>
    <t>CANTIDAD</t>
  </si>
  <si>
    <t>VR UNITARIO</t>
  </si>
  <si>
    <t>PRECIO TOTAL</t>
  </si>
  <si>
    <t>Afiche grande publicidad eventos y local</t>
  </si>
  <si>
    <t>Diseño e impresión Tarjetas</t>
  </si>
  <si>
    <t>Valor Mensual</t>
  </si>
  <si>
    <t>Papeleria contable facturas</t>
  </si>
  <si>
    <t>Recibos de caja</t>
  </si>
  <si>
    <t>Kit de aseo</t>
  </si>
  <si>
    <t>Resma de Papel tamaño carta</t>
  </si>
  <si>
    <t>Cartucho</t>
  </si>
  <si>
    <t xml:space="preserve">Costo Unitario </t>
  </si>
  <si>
    <t>Costo Total (Año)</t>
  </si>
  <si>
    <t>Valor Anual</t>
  </si>
  <si>
    <t>Costo Total (Mes)</t>
  </si>
  <si>
    <t>GASTOS ADMINISTRATIVOS</t>
  </si>
  <si>
    <t xml:space="preserve">Valor Mensual </t>
  </si>
  <si>
    <t>Derechos por registro de Matricula de establecimientos, sucursales y agencias</t>
  </si>
  <si>
    <t>Derechos de inscripción y actualizacion del Rut</t>
  </si>
  <si>
    <t>Expedicion del Nit</t>
  </si>
  <si>
    <t>Registro de Marca (Matricula Mercantil)</t>
  </si>
  <si>
    <t>GASTOS DE PUBLICIDAD Y HERRAMIENTAS DE OFICINA</t>
  </si>
  <si>
    <t>Actualizacion pagina Web</t>
  </si>
  <si>
    <t>DESCRIPCIÓN MATERIAL PUBLICITARIO</t>
  </si>
  <si>
    <t>DESCRIPCIÓN INSUMOS PARA OFICINA</t>
  </si>
  <si>
    <t>GRAN TOTAL GASTOS</t>
  </si>
  <si>
    <t>Renovación Fotos Catálogo virtual página web</t>
  </si>
  <si>
    <t>Resaltadores</t>
  </si>
  <si>
    <t>Insumos para oficina</t>
  </si>
  <si>
    <t>PUBLICIDAD Y HERRAMIENTAS DE OFICINA</t>
  </si>
  <si>
    <t>Valor Total</t>
  </si>
  <si>
    <t>GRAN TOTAL INVERSION</t>
  </si>
  <si>
    <t>INVENTARIO EN PRODUCTO TERMINADO</t>
  </si>
  <si>
    <t>Inventario de Producto terminado (Ref #1)</t>
  </si>
  <si>
    <t>Inventario de Producto terminado (Ref #2)</t>
  </si>
  <si>
    <t>Descripción Pago</t>
  </si>
  <si>
    <t>Valor Semestral</t>
  </si>
  <si>
    <t>Total Mano de Obra Directa e Indirecta</t>
  </si>
  <si>
    <t>Alquiler Local (Arriendo)</t>
  </si>
  <si>
    <t>COSTOS TOTALES POR AÑO</t>
  </si>
  <si>
    <t>AÑO 1</t>
  </si>
  <si>
    <t>AÑO 2</t>
  </si>
  <si>
    <t>AÑO 3</t>
  </si>
  <si>
    <t>AÑO 4</t>
  </si>
  <si>
    <t>AÑO 5</t>
  </si>
  <si>
    <t>TOTAL</t>
  </si>
  <si>
    <t xml:space="preserve">                                                               COSTOS DETALLADOS POR MES Y DIA</t>
  </si>
  <si>
    <t>DIA</t>
  </si>
  <si>
    <t xml:space="preserve">                                                                                                                             COSTOS FIJOS AÑO</t>
  </si>
  <si>
    <t>MES</t>
  </si>
  <si>
    <t>DÍA</t>
  </si>
  <si>
    <t>TOTAL COSTOS FIJOS AÑO</t>
  </si>
  <si>
    <t>Insumos Para Oficina</t>
  </si>
  <si>
    <t>Arriendo</t>
  </si>
  <si>
    <t>Servicios Publicos</t>
  </si>
  <si>
    <t>Servicios de Mantenimiento</t>
  </si>
  <si>
    <t>Valor Anual (Año 1)</t>
  </si>
  <si>
    <t>Valor Anual (Año 2)</t>
  </si>
  <si>
    <t>Valor Anual (Año 3)</t>
  </si>
  <si>
    <t>Valor Anual (Año 4)</t>
  </si>
  <si>
    <t>Valor Anual (Año 5)</t>
  </si>
  <si>
    <t>RESUMEN ACTIVOS FIJOS</t>
  </si>
  <si>
    <t>Depreciación Método Linea Recta</t>
  </si>
  <si>
    <t>Activos Fijos</t>
  </si>
  <si>
    <t>Valor Total Activos Fijos</t>
  </si>
  <si>
    <t>Depreciación Anual</t>
  </si>
  <si>
    <t>Depreciación Mensual</t>
  </si>
  <si>
    <t>Depreciación Diaria</t>
  </si>
  <si>
    <t>Computador Portatil (Equipos de Computo)</t>
  </si>
  <si>
    <t>Impresora Multifuncional (Equipo de Computo)</t>
  </si>
  <si>
    <t>Vitrina (Muebles y Enceres)</t>
  </si>
  <si>
    <t>Estanteria (Muebles y Enceres)</t>
  </si>
  <si>
    <t>Telefono (Equipos de Oficina)</t>
  </si>
  <si>
    <t>Muebles y Enceres</t>
  </si>
  <si>
    <t>Equipos de Oficina</t>
  </si>
  <si>
    <t>Equipos de Computo</t>
  </si>
  <si>
    <t>Tiempo Depeciación en  Años</t>
  </si>
  <si>
    <t>Depreciación Acumulada</t>
  </si>
  <si>
    <t>Años</t>
  </si>
  <si>
    <t>Valor Empleado Anual (Año 1)</t>
  </si>
  <si>
    <t>Valor Empleado Anual (Año 2)</t>
  </si>
  <si>
    <t>Valor Empleado Anual (Año 3)</t>
  </si>
  <si>
    <t>Valor Empleado Anual (Año 4)</t>
  </si>
  <si>
    <t>Valor Empleado Anual (Año 5)</t>
  </si>
  <si>
    <t>Depreciación Equipos de Oficina</t>
  </si>
  <si>
    <t>Depreciación Equipos de Computo</t>
  </si>
  <si>
    <t>Gastos de Publicidad</t>
  </si>
  <si>
    <t>Costos Año 1</t>
  </si>
  <si>
    <t>Costos Año 2</t>
  </si>
  <si>
    <t>Costos Año 3</t>
  </si>
  <si>
    <t>Costos Año 4</t>
  </si>
  <si>
    <t>Costos Año 5</t>
  </si>
  <si>
    <t>Costos Mes 1</t>
  </si>
  <si>
    <t>Costos Mes 2</t>
  </si>
  <si>
    <t>Costos Mes 3</t>
  </si>
  <si>
    <t>Costos Mes 4</t>
  </si>
  <si>
    <t>Costos Mes 5</t>
  </si>
  <si>
    <t>TOTAL COSTOS 5 AÑOS</t>
  </si>
  <si>
    <t>TOTAL COSTOS 5 MESES</t>
  </si>
  <si>
    <t>Detalle</t>
  </si>
  <si>
    <t>Costo Total Persona</t>
  </si>
  <si>
    <t>Costo Fijo Persona</t>
  </si>
  <si>
    <t>Costo Variable</t>
  </si>
  <si>
    <t>Día</t>
  </si>
  <si>
    <t xml:space="preserve">TOTAL DEPRECIACIÓN </t>
  </si>
  <si>
    <t>CAPITAL DE TRABAJO</t>
  </si>
  <si>
    <t>Costos Totales</t>
  </si>
  <si>
    <t>Depreciación Total</t>
  </si>
  <si>
    <t>Costo Inventario Producto Terminado</t>
  </si>
  <si>
    <t xml:space="preserve">Capital de Trabajo Anual </t>
  </si>
  <si>
    <t>Año 1</t>
  </si>
  <si>
    <t>Año 2</t>
  </si>
  <si>
    <t>Año 3</t>
  </si>
  <si>
    <t>Año 4</t>
  </si>
  <si>
    <t>Año 5</t>
  </si>
  <si>
    <t>Descripción</t>
  </si>
  <si>
    <t>Gastos de Constitución</t>
  </si>
  <si>
    <t>Capital de Trabajo</t>
  </si>
  <si>
    <t>INVERSIÓN TOTAL DEL PROYECTO</t>
  </si>
  <si>
    <t>TOTAL INVERSIÓN</t>
  </si>
  <si>
    <t>DEMANDA POTENCIAL AÑO 1</t>
  </si>
  <si>
    <t>DEMADA ESPERADA MES</t>
  </si>
  <si>
    <t>DEMANDA ESPERADA DÍA</t>
  </si>
  <si>
    <t>INGRESOS DÍA</t>
  </si>
  <si>
    <t xml:space="preserve">INGRESOS MES </t>
  </si>
  <si>
    <t>INGRSOS AÑO 1</t>
  </si>
  <si>
    <t>INGRESOS POR AÑO</t>
  </si>
  <si>
    <t>INGRESOS OPERACIONALES</t>
  </si>
  <si>
    <t>PROYECCIÓN PRECIOS</t>
  </si>
  <si>
    <t>Nomina Mano de Obra Directa</t>
  </si>
  <si>
    <t>Nomina Mano de Obra Indirecta</t>
  </si>
  <si>
    <t>Valor Anual (Año1)</t>
  </si>
  <si>
    <t>Valor Anual (Año2)</t>
  </si>
  <si>
    <t>Valor Anual (Año3)</t>
  </si>
  <si>
    <t>Valor Anual (Año4)</t>
  </si>
  <si>
    <t>Valor Anual (Año5)</t>
  </si>
  <si>
    <t>Costo Total Día</t>
  </si>
  <si>
    <t>Mes</t>
  </si>
  <si>
    <t>UTILIDAD</t>
  </si>
  <si>
    <t>Servicios Públicos</t>
  </si>
  <si>
    <t>Depreciación Muebles y Enceres</t>
  </si>
  <si>
    <t>MUEBLES Y ENSERES</t>
  </si>
  <si>
    <t>ARL Mensual</t>
  </si>
  <si>
    <t>ARL Anual</t>
  </si>
  <si>
    <t>Resumen Mano de Obra Indirecta</t>
  </si>
  <si>
    <t>Depreciación Muebles y Enseres</t>
  </si>
  <si>
    <t>PUNTO DE EQUILIBRIO</t>
  </si>
  <si>
    <t>El punto de equilibrio es aquel punto donde los Ingresos totales se igualan a los Costes totales.</t>
  </si>
  <si>
    <t>Vendiendo por encima de dicho punto se obtienen beneficios y vendiendo por debajo se obtienen pérdidas.</t>
  </si>
  <si>
    <t>Datos para el gráfico</t>
  </si>
  <si>
    <t>PERDIDA</t>
  </si>
  <si>
    <t>P.E.</t>
  </si>
  <si>
    <t>Q Ventas</t>
  </si>
  <si>
    <t>Datos iniciales</t>
  </si>
  <si>
    <t>$ Ventas</t>
  </si>
  <si>
    <t>Precio Venta</t>
  </si>
  <si>
    <t>Coste Unitario</t>
  </si>
  <si>
    <t>Costo Fijo</t>
  </si>
  <si>
    <t>Gastos Fijos Mes</t>
  </si>
  <si>
    <t>Costo Total</t>
  </si>
  <si>
    <t>Pto. Equilibrio</t>
  </si>
  <si>
    <t>Beneficio</t>
  </si>
  <si>
    <t>$ Ventas Equilibrio</t>
  </si>
  <si>
    <t>FUENTE: www.sistema-contable.com/sites/.../Punto-de-Equilibrio-en-Excel.xls</t>
  </si>
  <si>
    <t>GASTOS DE CONSTITUCION</t>
  </si>
  <si>
    <t>OPERARIO 1</t>
  </si>
  <si>
    <t>Cortadora</t>
  </si>
  <si>
    <t>Maquina plana</t>
  </si>
  <si>
    <t>Maquina Fileteadora</t>
  </si>
  <si>
    <t>Maquina Collarin</t>
  </si>
  <si>
    <t>Mesa Corte</t>
  </si>
  <si>
    <t>Maquina de Botones</t>
  </si>
  <si>
    <t>GERENTE</t>
  </si>
  <si>
    <t>Sillas Clientes</t>
  </si>
  <si>
    <t>Sillas Operarios y Administrativos</t>
  </si>
  <si>
    <t>OPERARIO 2</t>
  </si>
  <si>
    <t>SERVICIOS GENEREALES</t>
  </si>
  <si>
    <t>Materia Prima Directa</t>
  </si>
  <si>
    <t>MATERIA PRIMA DIRECTA</t>
  </si>
  <si>
    <t>por prenda</t>
  </si>
  <si>
    <t>Administrativo</t>
  </si>
  <si>
    <t xml:space="preserve">PRECIO DE VENTA = </t>
  </si>
  <si>
    <t>Publicidad Instagram</t>
  </si>
  <si>
    <t>Publicidad Facebook</t>
  </si>
  <si>
    <t xml:space="preserve">Inversion Obsequios </t>
  </si>
  <si>
    <t>PENETRACIÓN DEL 10%</t>
  </si>
  <si>
    <t>Utilidad %</t>
  </si>
  <si>
    <t>Diseñador</t>
  </si>
  <si>
    <t xml:space="preserve">Estado de perdidas y ganancias </t>
  </si>
  <si>
    <t>Ventas netas</t>
  </si>
  <si>
    <t>Costo de ventas</t>
  </si>
  <si>
    <t>Utilidad Bruta</t>
  </si>
  <si>
    <t>Gastos de Administracion y ventas</t>
  </si>
  <si>
    <t>utilidad Operacional</t>
  </si>
  <si>
    <t>otros Ingresos</t>
  </si>
  <si>
    <t>Gastos financieros</t>
  </si>
  <si>
    <t>otros egresos</t>
  </si>
  <si>
    <t>Utilidad antes de Impuestos</t>
  </si>
  <si>
    <t>Utilidad neta</t>
  </si>
  <si>
    <t>provision imp.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</si>
</sst>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[$€-2]\ * #,##0.00_);_([$€-2]\ * \(#,##0.00\);_([$€-2]\ * &quot;-&quot;??_)"/>
    <numFmt numFmtId="168" formatCode="_(&quot;$&quot;\ * #,##0_);_(&quot;$&quot;\ * \(#,##0\);_(&quot;$&quot;\ * &quot;-&quot;??_);_(@_)"/>
    <numFmt numFmtId="169" formatCode="_-* #.##0.00_-;\-* #.##0.00_-;_-* &quot;-&quot;??_-;_-@_-"/>
    <numFmt numFmtId="170" formatCode="_(* #,##0_);_(* \(#,##0\);_(* &quot;-&quot;??_);_(@_)"/>
    <numFmt numFmtId="171" formatCode="_(* #,##0.000_);_(* \(#,##0.000\);_(* &quot;-&quot;??_);_(@_)"/>
    <numFmt numFmtId="172" formatCode="0.0%"/>
  </numFmts>
  <fonts count="6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33333"/>
      <name val="Verdana"/>
      <family val="2"/>
    </font>
    <font>
      <b/>
      <sz val="8"/>
      <color rgb="FF333333"/>
      <name val="Verdana"/>
      <family val="2"/>
    </font>
    <font>
      <b/>
      <u/>
      <sz val="8"/>
      <color rgb="FF333333"/>
      <name val="Verdana"/>
      <family val="2"/>
    </font>
    <font>
      <b/>
      <sz val="8"/>
      <color theme="0"/>
      <name val="Verdana"/>
      <family val="2"/>
    </font>
    <font>
      <sz val="10"/>
      <color theme="0"/>
      <name val="Arial"/>
      <family val="2"/>
    </font>
    <font>
      <b/>
      <u/>
      <sz val="8"/>
      <color theme="0"/>
      <name val="Verdana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u/>
      <sz val="11"/>
      <color rgb="FF275E94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b/>
      <i/>
      <u/>
      <sz val="8"/>
      <color theme="0"/>
      <name val="Verdana"/>
      <family val="2"/>
    </font>
    <font>
      <b/>
      <i/>
      <sz val="8"/>
      <color theme="0"/>
      <name val="Verdana"/>
      <family val="2"/>
    </font>
    <font>
      <b/>
      <i/>
      <u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8"/>
      <color theme="8" tint="0.39997558519241921"/>
      <name val="Verdana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0"/>
      <color indexed="12"/>
      <name val="Courier New"/>
      <family val="3"/>
    </font>
    <font>
      <b/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002060"/>
      <name val="Calibri"/>
      <family val="2"/>
    </font>
    <font>
      <b/>
      <sz val="11"/>
      <color indexed="10"/>
      <name val="Calibri"/>
      <family val="2"/>
    </font>
    <font>
      <b/>
      <sz val="11"/>
      <color indexed="12"/>
      <name val="Calibri"/>
      <family val="2"/>
    </font>
    <font>
      <sz val="11"/>
      <color indexed="12"/>
      <name val="Calibri"/>
      <family val="2"/>
    </font>
    <font>
      <sz val="10"/>
      <color theme="0"/>
      <name val="Calibri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theme="0"/>
      </right>
      <top/>
      <bottom/>
      <diagonal/>
    </border>
  </borders>
  <cellStyleXfs count="67">
    <xf numFmtId="0" fontId="0" fillId="0" borderId="0"/>
    <xf numFmtId="165" fontId="4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3" applyNumberFormat="0" applyAlignment="0" applyProtection="0"/>
    <xf numFmtId="0" fontId="11" fillId="6" borderId="4" applyNumberFormat="0" applyAlignment="0" applyProtection="0"/>
    <xf numFmtId="0" fontId="12" fillId="6" borderId="3" applyNumberFormat="0" applyAlignment="0" applyProtection="0"/>
    <xf numFmtId="0" fontId="13" fillId="0" borderId="5" applyNumberFormat="0" applyFill="0" applyAlignment="0" applyProtection="0"/>
    <xf numFmtId="0" fontId="14" fillId="7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167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1" fillId="0" borderId="0"/>
    <xf numFmtId="166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" fillId="8" borderId="7" applyNumberFormat="0" applyFont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9" fontId="47" fillId="0" borderId="0" applyFont="0" applyFill="0" applyBorder="0" applyAlignment="0" applyProtection="0"/>
  </cellStyleXfs>
  <cellXfs count="493">
    <xf numFmtId="0" fontId="0" fillId="0" borderId="0" xfId="0"/>
    <xf numFmtId="0" fontId="0" fillId="0" borderId="0" xfId="0" applyAlignment="1">
      <alignment wrapText="1"/>
    </xf>
    <xf numFmtId="168" fontId="0" fillId="0" borderId="0" xfId="1" applyNumberFormat="1" applyFont="1" applyAlignment="1">
      <alignment wrapText="1"/>
    </xf>
    <xf numFmtId="168" fontId="0" fillId="0" borderId="0" xfId="0" applyNumberFormat="1" applyAlignment="1">
      <alignment wrapText="1"/>
    </xf>
    <xf numFmtId="168" fontId="19" fillId="33" borderId="10" xfId="1" applyNumberFormat="1" applyFont="1" applyFill="1" applyBorder="1" applyAlignment="1">
      <alignment vertical="center"/>
    </xf>
    <xf numFmtId="168" fontId="19" fillId="33" borderId="11" xfId="1" applyNumberFormat="1" applyFont="1" applyFill="1" applyBorder="1" applyAlignment="1">
      <alignment vertical="center"/>
    </xf>
    <xf numFmtId="168" fontId="19" fillId="33" borderId="11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1" fillId="0" borderId="0" xfId="31" applyAlignment="1">
      <alignment wrapText="1"/>
    </xf>
    <xf numFmtId="0" fontId="21" fillId="36" borderId="0" xfId="31" applyFill="1" applyAlignment="1">
      <alignment wrapText="1"/>
    </xf>
    <xf numFmtId="0" fontId="20" fillId="0" borderId="0" xfId="31" applyFont="1" applyFill="1" applyBorder="1" applyAlignment="1">
      <alignment horizontal="left" vertical="center" wrapText="1"/>
    </xf>
    <xf numFmtId="0" fontId="20" fillId="0" borderId="0" xfId="31" applyFont="1" applyFill="1" applyBorder="1" applyAlignment="1">
      <alignment horizontal="center" vertical="center" wrapText="1"/>
    </xf>
    <xf numFmtId="3" fontId="20" fillId="0" borderId="0" xfId="31" applyNumberFormat="1" applyFont="1" applyFill="1" applyBorder="1" applyAlignment="1">
      <alignment horizontal="center" vertical="center" wrapText="1"/>
    </xf>
    <xf numFmtId="3" fontId="21" fillId="0" borderId="0" xfId="31" applyNumberFormat="1" applyAlignment="1">
      <alignment wrapText="1"/>
    </xf>
    <xf numFmtId="0" fontId="25" fillId="36" borderId="0" xfId="31" applyFont="1" applyFill="1" applyBorder="1" applyAlignment="1">
      <alignment vertical="center" wrapText="1"/>
    </xf>
    <xf numFmtId="168" fontId="19" fillId="36" borderId="11" xfId="1" applyNumberFormat="1" applyFont="1" applyFill="1" applyBorder="1" applyAlignment="1">
      <alignment horizontal="center" vertical="center" wrapText="1"/>
    </xf>
    <xf numFmtId="0" fontId="24" fillId="36" borderId="0" xfId="31" applyFont="1" applyFill="1" applyBorder="1" applyAlignment="1">
      <alignment vertical="center" wrapText="1"/>
    </xf>
    <xf numFmtId="0" fontId="25" fillId="36" borderId="0" xfId="31" applyFont="1" applyFill="1" applyBorder="1" applyAlignment="1">
      <alignment horizontal="right" vertical="center" wrapText="1"/>
    </xf>
    <xf numFmtId="168" fontId="22" fillId="36" borderId="0" xfId="31" applyNumberFormat="1" applyFont="1" applyFill="1" applyBorder="1" applyAlignment="1">
      <alignment wrapText="1"/>
    </xf>
    <xf numFmtId="0" fontId="19" fillId="0" borderId="0" xfId="31" applyFont="1" applyAlignment="1">
      <alignment wrapText="1"/>
    </xf>
    <xf numFmtId="0" fontId="22" fillId="0" borderId="0" xfId="0" applyFont="1" applyAlignment="1"/>
    <xf numFmtId="168" fontId="19" fillId="0" borderId="9" xfId="1" applyNumberFormat="1" applyFont="1" applyBorder="1" applyAlignment="1">
      <alignment wrapText="1"/>
    </xf>
    <xf numFmtId="0" fontId="2" fillId="0" borderId="0" xfId="60"/>
    <xf numFmtId="170" fontId="0" fillId="0" borderId="0" xfId="61" applyNumberFormat="1" applyFont="1"/>
    <xf numFmtId="164" fontId="37" fillId="0" borderId="0" xfId="60" applyNumberFormat="1" applyFont="1"/>
    <xf numFmtId="0" fontId="36" fillId="0" borderId="0" xfId="60" applyFont="1" applyBorder="1" applyAlignment="1">
      <alignment horizontal="center" vertical="center" wrapText="1"/>
    </xf>
    <xf numFmtId="170" fontId="2" fillId="0" borderId="9" xfId="60" applyNumberFormat="1" applyBorder="1"/>
    <xf numFmtId="171" fontId="0" fillId="0" borderId="0" xfId="61" applyNumberFormat="1" applyFont="1"/>
    <xf numFmtId="0" fontId="2" fillId="0" borderId="0" xfId="60" applyBorder="1"/>
    <xf numFmtId="0" fontId="2" fillId="0" borderId="9" xfId="60" applyBorder="1"/>
    <xf numFmtId="168" fontId="0" fillId="0" borderId="9" xfId="62" applyNumberFormat="1" applyFont="1" applyBorder="1"/>
    <xf numFmtId="168" fontId="0" fillId="0" borderId="21" xfId="62" applyNumberFormat="1" applyFont="1" applyBorder="1"/>
    <xf numFmtId="0" fontId="2" fillId="0" borderId="25" xfId="60" applyBorder="1"/>
    <xf numFmtId="168" fontId="0" fillId="0" borderId="32" xfId="62" applyNumberFormat="1" applyFont="1" applyBorder="1"/>
    <xf numFmtId="0" fontId="18" fillId="37" borderId="35" xfId="60" applyFont="1" applyFill="1" applyBorder="1"/>
    <xf numFmtId="168" fontId="14" fillId="37" borderId="35" xfId="62" applyNumberFormat="1" applyFont="1" applyFill="1" applyBorder="1"/>
    <xf numFmtId="168" fontId="0" fillId="0" borderId="25" xfId="62" applyNumberFormat="1" applyFont="1" applyBorder="1"/>
    <xf numFmtId="0" fontId="2" fillId="0" borderId="20" xfId="60" applyBorder="1"/>
    <xf numFmtId="168" fontId="0" fillId="0" borderId="20" xfId="62" applyNumberFormat="1" applyFont="1" applyBorder="1"/>
    <xf numFmtId="168" fontId="0" fillId="0" borderId="37" xfId="62" applyNumberFormat="1" applyFont="1" applyBorder="1"/>
    <xf numFmtId="0" fontId="17" fillId="35" borderId="35" xfId="60" applyFont="1" applyFill="1" applyBorder="1" applyAlignment="1">
      <alignment horizontal="center" vertical="center" wrapText="1"/>
    </xf>
    <xf numFmtId="0" fontId="17" fillId="35" borderId="36" xfId="60" applyFont="1" applyFill="1" applyBorder="1" applyAlignment="1">
      <alignment horizontal="center" vertical="center" wrapText="1"/>
    </xf>
    <xf numFmtId="0" fontId="17" fillId="35" borderId="41" xfId="60" applyFont="1" applyFill="1" applyBorder="1" applyAlignment="1">
      <alignment horizontal="center" vertical="center" wrapText="1"/>
    </xf>
    <xf numFmtId="164" fontId="2" fillId="0" borderId="17" xfId="60" applyNumberFormat="1" applyBorder="1"/>
    <xf numFmtId="164" fontId="2" fillId="0" borderId="22" xfId="60" applyNumberFormat="1" applyBorder="1"/>
    <xf numFmtId="164" fontId="2" fillId="0" borderId="42" xfId="60" applyNumberFormat="1" applyBorder="1"/>
    <xf numFmtId="164" fontId="14" fillId="37" borderId="41" xfId="60" applyNumberFormat="1" applyFont="1" applyFill="1" applyBorder="1"/>
    <xf numFmtId="0" fontId="17" fillId="35" borderId="33" xfId="60" applyFont="1" applyFill="1" applyBorder="1" applyAlignment="1">
      <alignment horizontal="center" vertical="center" wrapText="1"/>
    </xf>
    <xf numFmtId="0" fontId="2" fillId="0" borderId="43" xfId="60" applyBorder="1"/>
    <xf numFmtId="0" fontId="2" fillId="0" borderId="44" xfId="60" applyBorder="1"/>
    <xf numFmtId="0" fontId="2" fillId="0" borderId="45" xfId="60" applyBorder="1"/>
    <xf numFmtId="0" fontId="14" fillId="37" borderId="46" xfId="60" applyFont="1" applyFill="1" applyBorder="1"/>
    <xf numFmtId="170" fontId="0" fillId="0" borderId="48" xfId="61" applyNumberFormat="1" applyFont="1" applyBorder="1"/>
    <xf numFmtId="170" fontId="0" fillId="0" borderId="49" xfId="61" applyNumberFormat="1" applyFont="1" applyBorder="1"/>
    <xf numFmtId="170" fontId="0" fillId="0" borderId="50" xfId="61" applyNumberFormat="1" applyFont="1" applyBorder="1"/>
    <xf numFmtId="0" fontId="17" fillId="35" borderId="33" xfId="60" applyFont="1" applyFill="1" applyBorder="1" applyAlignment="1">
      <alignment horizontal="center" vertical="center"/>
    </xf>
    <xf numFmtId="0" fontId="2" fillId="0" borderId="43" xfId="60" applyBorder="1" applyAlignment="1">
      <alignment horizontal="center"/>
    </xf>
    <xf numFmtId="0" fontId="2" fillId="0" borderId="44" xfId="60" applyBorder="1" applyAlignment="1">
      <alignment horizontal="center"/>
    </xf>
    <xf numFmtId="0" fontId="2" fillId="0" borderId="45" xfId="60" applyBorder="1" applyAlignment="1">
      <alignment horizontal="center"/>
    </xf>
    <xf numFmtId="0" fontId="17" fillId="35" borderId="47" xfId="60" applyFont="1" applyFill="1" applyBorder="1" applyAlignment="1">
      <alignment horizontal="center" wrapText="1"/>
    </xf>
    <xf numFmtId="164" fontId="39" fillId="0" borderId="9" xfId="60" applyNumberFormat="1" applyFont="1" applyBorder="1"/>
    <xf numFmtId="168" fontId="39" fillId="0" borderId="9" xfId="1" applyNumberFormat="1" applyFont="1" applyBorder="1"/>
    <xf numFmtId="168" fontId="19" fillId="0" borderId="20" xfId="1" applyNumberFormat="1" applyFont="1" applyBorder="1"/>
    <xf numFmtId="168" fontId="19" fillId="0" borderId="9" xfId="1" applyNumberFormat="1" applyFont="1" applyBorder="1"/>
    <xf numFmtId="168" fontId="40" fillId="0" borderId="9" xfId="1" applyNumberFormat="1" applyFont="1" applyBorder="1"/>
    <xf numFmtId="168" fontId="40" fillId="0" borderId="22" xfId="1" applyNumberFormat="1" applyFont="1" applyBorder="1"/>
    <xf numFmtId="168" fontId="39" fillId="0" borderId="0" xfId="1" applyNumberFormat="1" applyFont="1"/>
    <xf numFmtId="168" fontId="39" fillId="0" borderId="20" xfId="1" applyNumberFormat="1" applyFont="1" applyFill="1" applyBorder="1"/>
    <xf numFmtId="168" fontId="39" fillId="0" borderId="25" xfId="1" applyNumberFormat="1" applyFont="1" applyBorder="1"/>
    <xf numFmtId="168" fontId="39" fillId="0" borderId="17" xfId="1" applyNumberFormat="1" applyFont="1" applyFill="1" applyBorder="1"/>
    <xf numFmtId="168" fontId="39" fillId="0" borderId="37" xfId="1" applyNumberFormat="1" applyFont="1" applyFill="1" applyBorder="1"/>
    <xf numFmtId="168" fontId="39" fillId="0" borderId="32" xfId="1" applyNumberFormat="1" applyFont="1" applyBorder="1"/>
    <xf numFmtId="164" fontId="39" fillId="0" borderId="20" xfId="60" applyNumberFormat="1" applyFont="1" applyBorder="1"/>
    <xf numFmtId="164" fontId="39" fillId="0" borderId="37" xfId="60" applyNumberFormat="1" applyFont="1" applyBorder="1"/>
    <xf numFmtId="164" fontId="39" fillId="0" borderId="21" xfId="60" applyNumberFormat="1" applyFont="1" applyBorder="1"/>
    <xf numFmtId="164" fontId="39" fillId="0" borderId="25" xfId="60" applyNumberFormat="1" applyFont="1" applyBorder="1"/>
    <xf numFmtId="164" fontId="39" fillId="0" borderId="32" xfId="60" applyNumberFormat="1" applyFont="1" applyBorder="1"/>
    <xf numFmtId="164" fontId="39" fillId="0" borderId="20" xfId="60" applyNumberFormat="1" applyFont="1" applyFill="1" applyBorder="1"/>
    <xf numFmtId="164" fontId="39" fillId="0" borderId="14" xfId="60" applyNumberFormat="1" applyFont="1" applyBorder="1"/>
    <xf numFmtId="164" fontId="39" fillId="0" borderId="56" xfId="60" applyNumberFormat="1" applyFont="1" applyBorder="1"/>
    <xf numFmtId="164" fontId="40" fillId="35" borderId="39" xfId="60" applyNumberFormat="1" applyFont="1" applyFill="1" applyBorder="1"/>
    <xf numFmtId="164" fontId="40" fillId="35" borderId="40" xfId="60" applyNumberFormat="1" applyFont="1" applyFill="1" applyBorder="1"/>
    <xf numFmtId="164" fontId="40" fillId="35" borderId="47" xfId="60" applyNumberFormat="1" applyFont="1" applyFill="1" applyBorder="1"/>
    <xf numFmtId="164" fontId="39" fillId="0" borderId="37" xfId="60" applyNumberFormat="1" applyFont="1" applyFill="1" applyBorder="1"/>
    <xf numFmtId="164" fontId="39" fillId="0" borderId="25" xfId="60" applyNumberFormat="1" applyFont="1" applyFill="1" applyBorder="1"/>
    <xf numFmtId="164" fontId="39" fillId="0" borderId="32" xfId="60" applyNumberFormat="1" applyFont="1" applyFill="1" applyBorder="1"/>
    <xf numFmtId="164" fontId="39" fillId="0" borderId="28" xfId="60" applyNumberFormat="1" applyFont="1" applyBorder="1"/>
    <xf numFmtId="164" fontId="39" fillId="0" borderId="29" xfId="60" applyNumberFormat="1" applyFont="1" applyBorder="1"/>
    <xf numFmtId="164" fontId="40" fillId="35" borderId="35" xfId="60" applyNumberFormat="1" applyFont="1" applyFill="1" applyBorder="1" applyAlignment="1">
      <alignment horizontal="center" vertical="center"/>
    </xf>
    <xf numFmtId="164" fontId="40" fillId="35" borderId="36" xfId="60" applyNumberFormat="1" applyFont="1" applyFill="1" applyBorder="1" applyAlignment="1">
      <alignment horizontal="center" vertical="center"/>
    </xf>
    <xf numFmtId="164" fontId="40" fillId="35" borderId="33" xfId="60" applyNumberFormat="1" applyFont="1" applyFill="1" applyBorder="1"/>
    <xf numFmtId="168" fontId="19" fillId="0" borderId="14" xfId="1" applyNumberFormat="1" applyFont="1" applyBorder="1"/>
    <xf numFmtId="168" fontId="26" fillId="37" borderId="39" xfId="1" applyNumberFormat="1" applyFont="1" applyFill="1" applyBorder="1"/>
    <xf numFmtId="168" fontId="26" fillId="37" borderId="59" xfId="1" applyNumberFormat="1" applyFont="1" applyFill="1" applyBorder="1"/>
    <xf numFmtId="168" fontId="26" fillId="37" borderId="40" xfId="1" applyNumberFormat="1" applyFont="1" applyFill="1" applyBorder="1"/>
    <xf numFmtId="168" fontId="39" fillId="0" borderId="20" xfId="1" applyNumberFormat="1" applyFont="1" applyBorder="1"/>
    <xf numFmtId="0" fontId="17" fillId="35" borderId="39" xfId="60" applyFont="1" applyFill="1" applyBorder="1" applyAlignment="1">
      <alignment horizontal="center" vertical="center" wrapText="1"/>
    </xf>
    <xf numFmtId="0" fontId="17" fillId="35" borderId="40" xfId="60" applyFont="1" applyFill="1" applyBorder="1" applyAlignment="1">
      <alignment horizontal="center" vertical="center" wrapText="1"/>
    </xf>
    <xf numFmtId="168" fontId="19" fillId="0" borderId="37" xfId="1" applyNumberFormat="1" applyFont="1" applyBorder="1"/>
    <xf numFmtId="168" fontId="19" fillId="0" borderId="21" xfId="1" applyNumberFormat="1" applyFont="1" applyBorder="1"/>
    <xf numFmtId="168" fontId="19" fillId="0" borderId="25" xfId="1" applyNumberFormat="1" applyFont="1" applyBorder="1"/>
    <xf numFmtId="168" fontId="43" fillId="37" borderId="47" xfId="1" applyNumberFormat="1" applyFont="1" applyFill="1" applyBorder="1"/>
    <xf numFmtId="168" fontId="43" fillId="37" borderId="33" xfId="1" applyNumberFormat="1" applyFont="1" applyFill="1" applyBorder="1"/>
    <xf numFmtId="0" fontId="43" fillId="37" borderId="33" xfId="60" applyFont="1" applyFill="1" applyBorder="1" applyAlignment="1">
      <alignment horizontal="center" vertical="center" wrapText="1"/>
    </xf>
    <xf numFmtId="0" fontId="17" fillId="35" borderId="59" xfId="60" applyFont="1" applyFill="1" applyBorder="1" applyAlignment="1">
      <alignment horizontal="center" vertical="center" wrapText="1"/>
    </xf>
    <xf numFmtId="168" fontId="39" fillId="0" borderId="17" xfId="1" applyNumberFormat="1" applyFont="1" applyBorder="1"/>
    <xf numFmtId="168" fontId="39" fillId="0" borderId="22" xfId="1" applyNumberFormat="1" applyFont="1" applyBorder="1"/>
    <xf numFmtId="168" fontId="39" fillId="0" borderId="42" xfId="1" applyNumberFormat="1" applyFont="1" applyBorder="1"/>
    <xf numFmtId="0" fontId="41" fillId="36" borderId="43" xfId="60" applyFont="1" applyFill="1" applyBorder="1" applyAlignment="1">
      <alignment horizontal="left" vertical="center" wrapText="1"/>
    </xf>
    <xf numFmtId="0" fontId="41" fillId="36" borderId="44" xfId="60" applyFont="1" applyFill="1" applyBorder="1" applyAlignment="1">
      <alignment horizontal="left" vertical="center" wrapText="1"/>
    </xf>
    <xf numFmtId="0" fontId="41" fillId="36" borderId="45" xfId="60" applyFont="1" applyFill="1" applyBorder="1" applyAlignment="1">
      <alignment horizontal="left" vertical="center" wrapText="1"/>
    </xf>
    <xf numFmtId="0" fontId="42" fillId="37" borderId="33" xfId="60" applyFont="1" applyFill="1" applyBorder="1" applyAlignment="1">
      <alignment horizontal="center" vertical="center" wrapText="1"/>
    </xf>
    <xf numFmtId="168" fontId="40" fillId="0" borderId="22" xfId="1" applyNumberFormat="1" applyFont="1" applyFill="1" applyBorder="1"/>
    <xf numFmtId="0" fontId="39" fillId="0" borderId="60" xfId="60" applyFont="1" applyBorder="1" applyAlignment="1">
      <alignment horizontal="left" vertical="center"/>
    </xf>
    <xf numFmtId="0" fontId="39" fillId="0" borderId="43" xfId="60" applyFont="1" applyBorder="1" applyAlignment="1">
      <alignment vertical="center"/>
    </xf>
    <xf numFmtId="0" fontId="40" fillId="0" borderId="44" xfId="60" applyFont="1" applyBorder="1" applyAlignment="1"/>
    <xf numFmtId="0" fontId="39" fillId="0" borderId="45" xfId="60" applyFont="1" applyBorder="1" applyAlignment="1"/>
    <xf numFmtId="164" fontId="39" fillId="0" borderId="17" xfId="60" applyNumberFormat="1" applyFont="1" applyBorder="1"/>
    <xf numFmtId="164" fontId="39" fillId="0" borderId="22" xfId="60" applyNumberFormat="1" applyFont="1" applyBorder="1"/>
    <xf numFmtId="164" fontId="39" fillId="0" borderId="61" xfId="60" applyNumberFormat="1" applyFont="1" applyBorder="1"/>
    <xf numFmtId="164" fontId="40" fillId="35" borderId="59" xfId="60" applyNumberFormat="1" applyFont="1" applyFill="1" applyBorder="1"/>
    <xf numFmtId="164" fontId="39" fillId="0" borderId="17" xfId="60" applyNumberFormat="1" applyFont="1" applyFill="1" applyBorder="1"/>
    <xf numFmtId="164" fontId="39" fillId="0" borderId="42" xfId="60" applyNumberFormat="1" applyFont="1" applyFill="1" applyBorder="1"/>
    <xf numFmtId="0" fontId="41" fillId="36" borderId="62" xfId="60" applyFont="1" applyFill="1" applyBorder="1" applyAlignment="1">
      <alignment horizontal="left" vertical="center" wrapText="1"/>
    </xf>
    <xf numFmtId="0" fontId="40" fillId="35" borderId="33" xfId="60" applyFont="1" applyFill="1" applyBorder="1"/>
    <xf numFmtId="0" fontId="39" fillId="36" borderId="43" xfId="60" applyFont="1" applyFill="1" applyBorder="1" applyAlignment="1">
      <alignment horizontal="center" vertical="center" wrapText="1"/>
    </xf>
    <xf numFmtId="0" fontId="39" fillId="36" borderId="45" xfId="60" applyFont="1" applyFill="1" applyBorder="1" applyAlignment="1">
      <alignment horizontal="center" vertical="center" wrapText="1"/>
    </xf>
    <xf numFmtId="164" fontId="39" fillId="0" borderId="42" xfId="60" applyNumberFormat="1" applyFont="1" applyBorder="1"/>
    <xf numFmtId="164" fontId="40" fillId="35" borderId="41" xfId="60" applyNumberFormat="1" applyFont="1" applyFill="1" applyBorder="1" applyAlignment="1">
      <alignment horizontal="center" vertical="center"/>
    </xf>
    <xf numFmtId="0" fontId="41" fillId="36" borderId="60" xfId="60" applyFont="1" applyFill="1" applyBorder="1" applyAlignment="1">
      <alignment horizontal="left" vertical="center" wrapText="1"/>
    </xf>
    <xf numFmtId="0" fontId="40" fillId="35" borderId="46" xfId="60" applyFont="1" applyFill="1" applyBorder="1" applyAlignment="1">
      <alignment horizontal="center" vertical="center" wrapText="1"/>
    </xf>
    <xf numFmtId="0" fontId="39" fillId="0" borderId="43" xfId="60" applyFont="1" applyFill="1" applyBorder="1" applyAlignment="1">
      <alignment horizontal="center" vertical="center" wrapText="1"/>
    </xf>
    <xf numFmtId="0" fontId="39" fillId="0" borderId="45" xfId="60" applyFont="1" applyFill="1" applyBorder="1" applyAlignment="1">
      <alignment horizontal="center" vertical="center" wrapText="1"/>
    </xf>
    <xf numFmtId="0" fontId="19" fillId="0" borderId="0" xfId="31" applyFont="1" applyBorder="1" applyAlignment="1">
      <alignment horizontal="left" vertical="center" wrapText="1"/>
    </xf>
    <xf numFmtId="0" fontId="21" fillId="0" borderId="0" xfId="31" applyBorder="1" applyAlignment="1">
      <alignment wrapText="1"/>
    </xf>
    <xf numFmtId="0" fontId="20" fillId="33" borderId="0" xfId="31" applyFont="1" applyFill="1" applyBorder="1" applyAlignment="1">
      <alignment horizontal="left"/>
    </xf>
    <xf numFmtId="168" fontId="19" fillId="33" borderId="65" xfId="1" applyNumberFormat="1" applyFont="1" applyFill="1" applyBorder="1" applyAlignment="1">
      <alignment horizontal="center" vertical="center" wrapText="1"/>
    </xf>
    <xf numFmtId="168" fontId="19" fillId="36" borderId="10" xfId="1" applyNumberFormat="1" applyFont="1" applyFill="1" applyBorder="1" applyAlignment="1">
      <alignment horizontal="center" vertical="center" wrapText="1"/>
    </xf>
    <xf numFmtId="168" fontId="19" fillId="33" borderId="71" xfId="1" applyNumberFormat="1" applyFont="1" applyFill="1" applyBorder="1" applyAlignment="1">
      <alignment horizontal="center" vertical="center" wrapText="1"/>
    </xf>
    <xf numFmtId="0" fontId="20" fillId="35" borderId="73" xfId="31" applyFont="1" applyFill="1" applyBorder="1" applyAlignment="1">
      <alignment horizontal="center" vertical="center" wrapText="1"/>
    </xf>
    <xf numFmtId="0" fontId="20" fillId="35" borderId="74" xfId="31" applyFont="1" applyFill="1" applyBorder="1" applyAlignment="1">
      <alignment horizontal="center" vertical="center" wrapText="1"/>
    </xf>
    <xf numFmtId="0" fontId="24" fillId="35" borderId="75" xfId="31" applyFont="1" applyFill="1" applyBorder="1" applyAlignment="1">
      <alignment vertical="center" wrapText="1"/>
    </xf>
    <xf numFmtId="168" fontId="24" fillId="35" borderId="78" xfId="1" applyNumberFormat="1" applyFont="1" applyFill="1" applyBorder="1" applyAlignment="1">
      <alignment horizontal="center" vertical="center" wrapText="1"/>
    </xf>
    <xf numFmtId="168" fontId="24" fillId="35" borderId="79" xfId="1" applyNumberFormat="1" applyFont="1" applyFill="1" applyBorder="1" applyAlignment="1">
      <alignment horizontal="center" vertical="center" wrapText="1"/>
    </xf>
    <xf numFmtId="168" fontId="19" fillId="36" borderId="68" xfId="1" applyNumberFormat="1" applyFont="1" applyFill="1" applyBorder="1" applyAlignment="1">
      <alignment horizontal="center" vertical="center" wrapText="1"/>
    </xf>
    <xf numFmtId="168" fontId="19" fillId="33" borderId="69" xfId="1" applyNumberFormat="1" applyFont="1" applyFill="1" applyBorder="1" applyAlignment="1">
      <alignment horizontal="center" vertical="center" wrapText="1"/>
    </xf>
    <xf numFmtId="0" fontId="20" fillId="35" borderId="51" xfId="31" applyFont="1" applyFill="1" applyBorder="1" applyAlignment="1">
      <alignment horizontal="center" vertical="center" wrapText="1"/>
    </xf>
    <xf numFmtId="0" fontId="23" fillId="33" borderId="80" xfId="31" applyFont="1" applyFill="1" applyBorder="1" applyAlignment="1">
      <alignment horizontal="center" vertical="center" wrapText="1"/>
    </xf>
    <xf numFmtId="0" fontId="23" fillId="33" borderId="81" xfId="31" applyFont="1" applyFill="1" applyBorder="1" applyAlignment="1">
      <alignment horizontal="center" vertical="center" wrapText="1"/>
    </xf>
    <xf numFmtId="0" fontId="23" fillId="33" borderId="82" xfId="31" applyFont="1" applyFill="1" applyBorder="1" applyAlignment="1">
      <alignment horizontal="center" vertical="center" wrapText="1"/>
    </xf>
    <xf numFmtId="0" fontId="20" fillId="35" borderId="83" xfId="31" applyFont="1" applyFill="1" applyBorder="1" applyAlignment="1">
      <alignment horizontal="center" vertical="center" wrapText="1"/>
    </xf>
    <xf numFmtId="0" fontId="19" fillId="33" borderId="15" xfId="31" applyFont="1" applyFill="1" applyBorder="1" applyAlignment="1">
      <alignment horizontal="center" vertical="center" wrapText="1"/>
    </xf>
    <xf numFmtId="0" fontId="19" fillId="33" borderId="12" xfId="31" applyFont="1" applyFill="1" applyBorder="1" applyAlignment="1">
      <alignment horizontal="center" vertical="center" wrapText="1"/>
    </xf>
    <xf numFmtId="0" fontId="19" fillId="33" borderId="67" xfId="31" applyFont="1" applyFill="1" applyBorder="1" applyAlignment="1">
      <alignment horizontal="center" vertical="center" wrapText="1"/>
    </xf>
    <xf numFmtId="0" fontId="20" fillId="35" borderId="33" xfId="31" applyFont="1" applyFill="1" applyBorder="1" applyAlignment="1">
      <alignment horizontal="center" vertical="center" wrapText="1"/>
    </xf>
    <xf numFmtId="0" fontId="19" fillId="33" borderId="84" xfId="31" applyFont="1" applyFill="1" applyBorder="1" applyAlignment="1">
      <alignment horizontal="left" vertical="center" wrapText="1"/>
    </xf>
    <xf numFmtId="0" fontId="19" fillId="33" borderId="85" xfId="31" applyFont="1" applyFill="1" applyBorder="1" applyAlignment="1">
      <alignment horizontal="left" vertical="center" wrapText="1"/>
    </xf>
    <xf numFmtId="0" fontId="19" fillId="33" borderId="86" xfId="31" applyFont="1" applyFill="1" applyBorder="1" applyAlignment="1">
      <alignment horizontal="left" vertical="center" wrapText="1"/>
    </xf>
    <xf numFmtId="0" fontId="20" fillId="0" borderId="0" xfId="31" applyFont="1" applyBorder="1" applyAlignment="1">
      <alignment vertical="center"/>
    </xf>
    <xf numFmtId="0" fontId="21" fillId="0" borderId="0" xfId="31" applyFont="1" applyBorder="1" applyAlignment="1">
      <alignment vertical="center" wrapText="1"/>
    </xf>
    <xf numFmtId="168" fontId="19" fillId="36" borderId="71" xfId="1" applyNumberFormat="1" applyFont="1" applyFill="1" applyBorder="1" applyAlignment="1">
      <alignment horizontal="center" vertical="center" wrapText="1"/>
    </xf>
    <xf numFmtId="168" fontId="19" fillId="36" borderId="65" xfId="1" applyNumberFormat="1" applyFont="1" applyFill="1" applyBorder="1" applyAlignment="1">
      <alignment horizontal="center" vertical="center" wrapText="1"/>
    </xf>
    <xf numFmtId="0" fontId="19" fillId="36" borderId="80" xfId="31" applyFont="1" applyFill="1" applyBorder="1" applyAlignment="1">
      <alignment horizontal="center" vertical="center" wrapText="1"/>
    </xf>
    <xf numFmtId="0" fontId="19" fillId="36" borderId="81" xfId="31" applyFont="1" applyFill="1" applyBorder="1" applyAlignment="1">
      <alignment horizontal="center" vertical="center" wrapText="1"/>
    </xf>
    <xf numFmtId="0" fontId="19" fillId="36" borderId="15" xfId="31" applyFont="1" applyFill="1" applyBorder="1" applyAlignment="1">
      <alignment horizontal="center" vertical="center" wrapText="1"/>
    </xf>
    <xf numFmtId="0" fontId="19" fillId="36" borderId="12" xfId="31" applyFont="1" applyFill="1" applyBorder="1" applyAlignment="1">
      <alignment horizontal="center" vertical="center" wrapText="1"/>
    </xf>
    <xf numFmtId="0" fontId="19" fillId="36" borderId="12" xfId="31" applyFont="1" applyFill="1" applyBorder="1" applyAlignment="1">
      <alignment horizontal="center" vertical="center"/>
    </xf>
    <xf numFmtId="0" fontId="19" fillId="36" borderId="84" xfId="31" applyFont="1" applyFill="1" applyBorder="1" applyAlignment="1">
      <alignment horizontal="left" vertical="center" wrapText="1"/>
    </xf>
    <xf numFmtId="0" fontId="19" fillId="36" borderId="85" xfId="31" applyFont="1" applyFill="1" applyBorder="1" applyAlignment="1">
      <alignment horizontal="left" vertical="center" wrapText="1"/>
    </xf>
    <xf numFmtId="0" fontId="19" fillId="36" borderId="86" xfId="31" applyFont="1" applyFill="1" applyBorder="1" applyAlignment="1">
      <alignment horizontal="left" vertical="center" wrapText="1"/>
    </xf>
    <xf numFmtId="0" fontId="24" fillId="35" borderId="82" xfId="31" applyFont="1" applyFill="1" applyBorder="1" applyAlignment="1">
      <alignment vertical="center" wrapText="1"/>
    </xf>
    <xf numFmtId="0" fontId="19" fillId="36" borderId="87" xfId="31" applyFont="1" applyFill="1" applyBorder="1" applyAlignment="1">
      <alignment horizontal="left" vertical="center" wrapText="1"/>
    </xf>
    <xf numFmtId="0" fontId="19" fillId="36" borderId="88" xfId="31" applyFont="1" applyFill="1" applyBorder="1" applyAlignment="1">
      <alignment horizontal="center" vertical="center"/>
    </xf>
    <xf numFmtId="168" fontId="19" fillId="33" borderId="13" xfId="1" applyNumberFormat="1" applyFont="1" applyFill="1" applyBorder="1" applyAlignment="1">
      <alignment horizontal="center" vertical="center" wrapText="1"/>
    </xf>
    <xf numFmtId="168" fontId="19" fillId="36" borderId="89" xfId="1" applyNumberFormat="1" applyFont="1" applyFill="1" applyBorder="1" applyAlignment="1">
      <alignment horizontal="center" vertical="center" wrapText="1"/>
    </xf>
    <xf numFmtId="168" fontId="20" fillId="35" borderId="73" xfId="1" applyNumberFormat="1" applyFont="1" applyFill="1" applyBorder="1" applyAlignment="1">
      <alignment horizontal="center" vertical="center" wrapText="1"/>
    </xf>
    <xf numFmtId="168" fontId="20" fillId="35" borderId="74" xfId="1" applyNumberFormat="1" applyFont="1" applyFill="1" applyBorder="1" applyAlignment="1">
      <alignment horizontal="center" vertical="center" wrapText="1"/>
    </xf>
    <xf numFmtId="168" fontId="0" fillId="0" borderId="32" xfId="0" applyNumberFormat="1" applyBorder="1"/>
    <xf numFmtId="168" fontId="19" fillId="36" borderId="16" xfId="1" applyNumberFormat="1" applyFont="1" applyFill="1" applyBorder="1" applyAlignment="1">
      <alignment horizontal="center" vertical="center" wrapText="1"/>
    </xf>
    <xf numFmtId="168" fontId="0" fillId="0" borderId="37" xfId="0" applyNumberFormat="1" applyBorder="1"/>
    <xf numFmtId="168" fontId="19" fillId="36" borderId="66" xfId="1" applyNumberFormat="1" applyFont="1" applyFill="1" applyBorder="1" applyAlignment="1">
      <alignment horizontal="center" vertical="center" wrapText="1"/>
    </xf>
    <xf numFmtId="0" fontId="19" fillId="36" borderId="82" xfId="31" applyFont="1" applyFill="1" applyBorder="1" applyAlignment="1">
      <alignment horizontal="center" vertical="center" wrapText="1"/>
    </xf>
    <xf numFmtId="0" fontId="19" fillId="36" borderId="67" xfId="31" applyFont="1" applyFill="1" applyBorder="1" applyAlignment="1">
      <alignment horizontal="center" vertical="center" wrapText="1"/>
    </xf>
    <xf numFmtId="0" fontId="26" fillId="37" borderId="72" xfId="31" applyFont="1" applyFill="1" applyBorder="1" applyAlignment="1">
      <alignment vertical="center" wrapText="1"/>
    </xf>
    <xf numFmtId="168" fontId="29" fillId="37" borderId="33" xfId="31" applyNumberFormat="1" applyFont="1" applyFill="1" applyBorder="1" applyAlignment="1">
      <alignment wrapText="1"/>
    </xf>
    <xf numFmtId="0" fontId="20" fillId="33" borderId="0" xfId="31" applyFont="1" applyFill="1" applyBorder="1" applyAlignment="1">
      <alignment horizontal="left" vertical="center" wrapText="1"/>
    </xf>
    <xf numFmtId="168" fontId="19" fillId="33" borderId="10" xfId="1" applyNumberFormat="1" applyFont="1" applyFill="1" applyBorder="1" applyAlignment="1">
      <alignment horizontal="center" vertical="center" wrapText="1"/>
    </xf>
    <xf numFmtId="168" fontId="19" fillId="33" borderId="68" xfId="1" applyNumberFormat="1" applyFont="1" applyFill="1" applyBorder="1" applyAlignment="1">
      <alignment horizontal="center" vertical="center" wrapText="1"/>
    </xf>
    <xf numFmtId="0" fontId="19" fillId="33" borderId="84" xfId="31" applyFont="1" applyFill="1" applyBorder="1" applyAlignment="1">
      <alignment vertical="center"/>
    </xf>
    <xf numFmtId="0" fontId="19" fillId="33" borderId="85" xfId="31" applyFont="1" applyFill="1" applyBorder="1" applyAlignment="1">
      <alignment vertical="center"/>
    </xf>
    <xf numFmtId="168" fontId="19" fillId="36" borderId="69" xfId="1" applyNumberFormat="1" applyFont="1" applyFill="1" applyBorder="1" applyAlignment="1">
      <alignment horizontal="center" vertical="center" wrapText="1"/>
    </xf>
    <xf numFmtId="168" fontId="20" fillId="35" borderId="78" xfId="1" applyNumberFormat="1" applyFont="1" applyFill="1" applyBorder="1" applyAlignment="1">
      <alignment horizontal="center" vertical="center" wrapText="1"/>
    </xf>
    <xf numFmtId="168" fontId="20" fillId="35" borderId="79" xfId="1" applyNumberFormat="1" applyFont="1" applyFill="1" applyBorder="1" applyAlignment="1">
      <alignment horizontal="center" vertical="center" wrapText="1"/>
    </xf>
    <xf numFmtId="0" fontId="19" fillId="36" borderId="67" xfId="31" applyFont="1" applyFill="1" applyBorder="1" applyAlignment="1">
      <alignment horizontal="center" vertical="center"/>
    </xf>
    <xf numFmtId="0" fontId="20" fillId="38" borderId="73" xfId="31" applyFont="1" applyFill="1" applyBorder="1" applyAlignment="1">
      <alignment horizontal="center" vertical="center" wrapText="1"/>
    </xf>
    <xf numFmtId="0" fontId="20" fillId="38" borderId="74" xfId="31" applyFont="1" applyFill="1" applyBorder="1" applyAlignment="1">
      <alignment horizontal="center" vertical="center" wrapText="1"/>
    </xf>
    <xf numFmtId="3" fontId="20" fillId="38" borderId="35" xfId="31" applyNumberFormat="1" applyFont="1" applyFill="1" applyBorder="1" applyAlignment="1">
      <alignment horizontal="right" vertical="center" wrapText="1"/>
    </xf>
    <xf numFmtId="3" fontId="20" fillId="38" borderId="36" xfId="31" applyNumberFormat="1" applyFont="1" applyFill="1" applyBorder="1" applyAlignment="1">
      <alignment horizontal="right" vertical="center" wrapText="1"/>
    </xf>
    <xf numFmtId="0" fontId="20" fillId="38" borderId="51" xfId="31" applyFont="1" applyFill="1" applyBorder="1" applyAlignment="1">
      <alignment horizontal="center" vertical="center" wrapText="1"/>
    </xf>
    <xf numFmtId="0" fontId="20" fillId="38" borderId="83" xfId="31" applyFont="1" applyFill="1" applyBorder="1" applyAlignment="1">
      <alignment horizontal="center" vertical="center" wrapText="1"/>
    </xf>
    <xf numFmtId="0" fontId="20" fillId="38" borderId="33" xfId="31" applyFont="1" applyFill="1" applyBorder="1" applyAlignment="1">
      <alignment horizontal="center" vertical="center" wrapText="1"/>
    </xf>
    <xf numFmtId="168" fontId="20" fillId="38" borderId="78" xfId="1" applyNumberFormat="1" applyFont="1" applyFill="1" applyBorder="1" applyAlignment="1">
      <alignment horizontal="center" vertical="center" wrapText="1"/>
    </xf>
    <xf numFmtId="168" fontId="20" fillId="38" borderId="79" xfId="1" applyNumberFormat="1" applyFont="1" applyFill="1" applyBorder="1" applyAlignment="1">
      <alignment horizontal="center" vertical="center" wrapText="1"/>
    </xf>
    <xf numFmtId="0" fontId="19" fillId="33" borderId="80" xfId="31" applyFont="1" applyFill="1" applyBorder="1" applyAlignment="1">
      <alignment horizontal="center" vertical="center" wrapText="1"/>
    </xf>
    <xf numFmtId="0" fontId="19" fillId="33" borderId="81" xfId="31" applyFont="1" applyFill="1" applyBorder="1" applyAlignment="1">
      <alignment horizontal="center" vertical="center" wrapText="1"/>
    </xf>
    <xf numFmtId="0" fontId="19" fillId="33" borderId="82" xfId="31" applyFont="1" applyFill="1" applyBorder="1" applyAlignment="1">
      <alignment horizontal="center" vertical="center" wrapText="1"/>
    </xf>
    <xf numFmtId="0" fontId="19" fillId="0" borderId="57" xfId="31" applyFont="1" applyBorder="1" applyAlignment="1">
      <alignment horizontal="center" wrapText="1"/>
    </xf>
    <xf numFmtId="0" fontId="19" fillId="0" borderId="30" xfId="31" applyFont="1" applyBorder="1" applyAlignment="1">
      <alignment horizontal="center" wrapText="1"/>
    </xf>
    <xf numFmtId="0" fontId="19" fillId="0" borderId="58" xfId="31" applyFont="1" applyBorder="1" applyAlignment="1">
      <alignment horizontal="center" wrapText="1"/>
    </xf>
    <xf numFmtId="0" fontId="19" fillId="36" borderId="43" xfId="31" applyFont="1" applyFill="1" applyBorder="1"/>
    <xf numFmtId="0" fontId="19" fillId="36" borderId="17" xfId="31" applyFont="1" applyFill="1" applyBorder="1" applyAlignment="1">
      <alignment horizontal="center"/>
    </xf>
    <xf numFmtId="168" fontId="19" fillId="36" borderId="20" xfId="1" applyNumberFormat="1" applyFont="1" applyFill="1" applyBorder="1" applyAlignment="1">
      <alignment horizontal="center"/>
    </xf>
    <xf numFmtId="168" fontId="19" fillId="36" borderId="37" xfId="1" applyNumberFormat="1" applyFont="1" applyFill="1" applyBorder="1" applyAlignment="1">
      <alignment horizontal="center"/>
    </xf>
    <xf numFmtId="0" fontId="19" fillId="36" borderId="44" xfId="31" applyFont="1" applyFill="1" applyBorder="1"/>
    <xf numFmtId="0" fontId="19" fillId="36" borderId="22" xfId="31" applyFont="1" applyFill="1" applyBorder="1" applyAlignment="1">
      <alignment horizontal="center"/>
    </xf>
    <xf numFmtId="168" fontId="19" fillId="36" borderId="9" xfId="1" applyNumberFormat="1" applyFont="1" applyFill="1" applyBorder="1" applyAlignment="1">
      <alignment horizontal="center"/>
    </xf>
    <xf numFmtId="168" fontId="19" fillId="36" borderId="21" xfId="1" applyNumberFormat="1" applyFont="1" applyFill="1" applyBorder="1" applyAlignment="1">
      <alignment horizontal="center"/>
    </xf>
    <xf numFmtId="0" fontId="19" fillId="36" borderId="44" xfId="31" applyFont="1" applyFill="1" applyBorder="1" applyAlignment="1">
      <alignment wrapText="1"/>
    </xf>
    <xf numFmtId="3" fontId="19" fillId="36" borderId="22" xfId="31" applyNumberFormat="1" applyFont="1" applyFill="1" applyBorder="1" applyAlignment="1">
      <alignment horizontal="center"/>
    </xf>
    <xf numFmtId="0" fontId="19" fillId="36" borderId="45" xfId="31" applyFont="1" applyFill="1" applyBorder="1"/>
    <xf numFmtId="3" fontId="19" fillId="36" borderId="42" xfId="31" applyNumberFormat="1" applyFont="1" applyFill="1" applyBorder="1" applyAlignment="1">
      <alignment horizontal="center"/>
    </xf>
    <xf numFmtId="168" fontId="19" fillId="36" borderId="25" xfId="1" applyNumberFormat="1" applyFont="1" applyFill="1" applyBorder="1" applyAlignment="1">
      <alignment horizontal="center"/>
    </xf>
    <xf numFmtId="168" fontId="19" fillId="36" borderId="32" xfId="1" applyNumberFormat="1" applyFont="1" applyFill="1" applyBorder="1" applyAlignment="1">
      <alignment horizontal="center"/>
    </xf>
    <xf numFmtId="0" fontId="19" fillId="33" borderId="70" xfId="0" applyFont="1" applyFill="1" applyBorder="1" applyAlignment="1">
      <alignment horizontal="center" vertical="center"/>
    </xf>
    <xf numFmtId="168" fontId="19" fillId="33" borderId="71" xfId="1" applyNumberFormat="1" applyFont="1" applyFill="1" applyBorder="1" applyAlignment="1">
      <alignment vertical="center"/>
    </xf>
    <xf numFmtId="0" fontId="19" fillId="33" borderId="64" xfId="0" applyFont="1" applyFill="1" applyBorder="1" applyAlignment="1">
      <alignment horizontal="center" vertical="center"/>
    </xf>
    <xf numFmtId="168" fontId="19" fillId="33" borderId="65" xfId="1" applyNumberFormat="1" applyFont="1" applyFill="1" applyBorder="1" applyAlignment="1">
      <alignment vertical="center"/>
    </xf>
    <xf numFmtId="0" fontId="19" fillId="33" borderId="75" xfId="0" applyFont="1" applyFill="1" applyBorder="1" applyAlignment="1">
      <alignment horizontal="center" vertical="center"/>
    </xf>
    <xf numFmtId="168" fontId="19" fillId="33" borderId="68" xfId="1" applyNumberFormat="1" applyFont="1" applyFill="1" applyBorder="1" applyAlignment="1">
      <alignment vertical="center"/>
    </xf>
    <xf numFmtId="168" fontId="19" fillId="33" borderId="69" xfId="1" applyNumberFormat="1" applyFont="1" applyFill="1" applyBorder="1" applyAlignment="1">
      <alignment vertical="center"/>
    </xf>
    <xf numFmtId="168" fontId="20" fillId="35" borderId="78" xfId="1" applyNumberFormat="1" applyFont="1" applyFill="1" applyBorder="1" applyAlignment="1">
      <alignment vertical="center"/>
    </xf>
    <xf numFmtId="168" fontId="20" fillId="35" borderId="79" xfId="1" applyNumberFormat="1" applyFont="1" applyFill="1" applyBorder="1" applyAlignment="1">
      <alignment vertical="center"/>
    </xf>
    <xf numFmtId="168" fontId="19" fillId="33" borderId="15" xfId="1" applyNumberFormat="1" applyFont="1" applyFill="1" applyBorder="1" applyAlignment="1">
      <alignment horizontal="right" vertical="center"/>
    </xf>
    <xf numFmtId="168" fontId="20" fillId="35" borderId="77" xfId="1" applyNumberFormat="1" applyFont="1" applyFill="1" applyBorder="1" applyAlignment="1">
      <alignment vertical="center"/>
    </xf>
    <xf numFmtId="0" fontId="19" fillId="33" borderId="71" xfId="0" applyFont="1" applyFill="1" applyBorder="1" applyAlignment="1">
      <alignment vertical="center"/>
    </xf>
    <xf numFmtId="0" fontId="19" fillId="33" borderId="65" xfId="0" applyFont="1" applyFill="1" applyBorder="1" applyAlignment="1">
      <alignment vertical="center"/>
    </xf>
    <xf numFmtId="168" fontId="19" fillId="33" borderId="77" xfId="1" applyNumberFormat="1" applyFont="1" applyFill="1" applyBorder="1" applyAlignment="1">
      <alignment vertical="center"/>
    </xf>
    <xf numFmtId="168" fontId="19" fillId="0" borderId="20" xfId="1" applyNumberFormat="1" applyFont="1" applyBorder="1" applyAlignment="1">
      <alignment wrapText="1"/>
    </xf>
    <xf numFmtId="168" fontId="19" fillId="0" borderId="35" xfId="1" applyNumberFormat="1" applyFont="1" applyBorder="1" applyAlignment="1">
      <alignment wrapText="1"/>
    </xf>
    <xf numFmtId="168" fontId="19" fillId="0" borderId="36" xfId="1" applyNumberFormat="1" applyFont="1" applyBorder="1" applyAlignment="1">
      <alignment wrapText="1"/>
    </xf>
    <xf numFmtId="168" fontId="20" fillId="34" borderId="76" xfId="1" applyNumberFormat="1" applyFont="1" applyFill="1" applyBorder="1" applyAlignment="1">
      <alignment vertical="center"/>
    </xf>
    <xf numFmtId="168" fontId="19" fillId="34" borderId="35" xfId="1" applyNumberFormat="1" applyFont="1" applyFill="1" applyBorder="1" applyAlignment="1">
      <alignment wrapText="1"/>
    </xf>
    <xf numFmtId="168" fontId="19" fillId="34" borderId="36" xfId="1" applyNumberFormat="1" applyFont="1" applyFill="1" applyBorder="1" applyAlignment="1">
      <alignment wrapText="1"/>
    </xf>
    <xf numFmtId="168" fontId="20" fillId="34" borderId="77" xfId="1" applyNumberFormat="1" applyFont="1" applyFill="1" applyBorder="1" applyAlignment="1">
      <alignment vertical="center"/>
    </xf>
    <xf numFmtId="0" fontId="19" fillId="33" borderId="79" xfId="0" applyFont="1" applyFill="1" applyBorder="1" applyAlignment="1">
      <alignment vertical="center"/>
    </xf>
    <xf numFmtId="168" fontId="19" fillId="0" borderId="37" xfId="1" applyNumberFormat="1" applyFont="1" applyBorder="1" applyAlignment="1">
      <alignment wrapText="1"/>
    </xf>
    <xf numFmtId="168" fontId="19" fillId="0" borderId="21" xfId="1" applyNumberFormat="1" applyFont="1" applyBorder="1" applyAlignment="1">
      <alignment wrapText="1"/>
    </xf>
    <xf numFmtId="168" fontId="19" fillId="0" borderId="25" xfId="1" applyNumberFormat="1" applyFont="1" applyBorder="1" applyAlignment="1">
      <alignment wrapText="1"/>
    </xf>
    <xf numFmtId="168" fontId="19" fillId="0" borderId="32" xfId="1" applyNumberFormat="1" applyFont="1" applyBorder="1" applyAlignment="1">
      <alignment wrapText="1"/>
    </xf>
    <xf numFmtId="168" fontId="26" fillId="37" borderId="35" xfId="1" applyNumberFormat="1" applyFont="1" applyFill="1" applyBorder="1" applyAlignment="1">
      <alignment wrapText="1"/>
    </xf>
    <xf numFmtId="168" fontId="26" fillId="37" borderId="36" xfId="1" applyNumberFormat="1" applyFont="1" applyFill="1" applyBorder="1" applyAlignment="1">
      <alignment wrapText="1"/>
    </xf>
    <xf numFmtId="168" fontId="19" fillId="0" borderId="17" xfId="1" applyNumberFormat="1" applyFont="1" applyBorder="1" applyAlignment="1">
      <alignment wrapText="1"/>
    </xf>
    <xf numFmtId="168" fontId="19" fillId="0" borderId="42" xfId="1" applyNumberFormat="1" applyFont="1" applyBorder="1" applyAlignment="1">
      <alignment wrapText="1"/>
    </xf>
    <xf numFmtId="0" fontId="39" fillId="0" borderId="23" xfId="60" applyFont="1" applyBorder="1"/>
    <xf numFmtId="168" fontId="40" fillId="0" borderId="21" xfId="1" applyNumberFormat="1" applyFont="1" applyBorder="1"/>
    <xf numFmtId="168" fontId="19" fillId="0" borderId="56" xfId="1" applyNumberFormat="1" applyFont="1" applyBorder="1"/>
    <xf numFmtId="168" fontId="19" fillId="0" borderId="17" xfId="1" applyNumberFormat="1" applyFont="1" applyBorder="1"/>
    <xf numFmtId="168" fontId="19" fillId="0" borderId="22" xfId="1" applyNumberFormat="1" applyFont="1" applyBorder="1"/>
    <xf numFmtId="168" fontId="19" fillId="0" borderId="61" xfId="1" applyNumberFormat="1" applyFont="1" applyBorder="1"/>
    <xf numFmtId="0" fontId="39" fillId="0" borderId="43" xfId="60" applyFont="1" applyBorder="1"/>
    <xf numFmtId="0" fontId="40" fillId="0" borderId="44" xfId="60" applyFont="1" applyBorder="1"/>
    <xf numFmtId="0" fontId="39" fillId="0" borderId="62" xfId="60" applyFont="1" applyBorder="1"/>
    <xf numFmtId="0" fontId="28" fillId="37" borderId="33" xfId="60" applyFont="1" applyFill="1" applyBorder="1"/>
    <xf numFmtId="168" fontId="28" fillId="37" borderId="59" xfId="1" applyNumberFormat="1" applyFont="1" applyFill="1" applyBorder="1"/>
    <xf numFmtId="168" fontId="28" fillId="37" borderId="39" xfId="1" applyNumberFormat="1" applyFont="1" applyFill="1" applyBorder="1"/>
    <xf numFmtId="168" fontId="28" fillId="37" borderId="40" xfId="1" applyNumberFormat="1" applyFont="1" applyFill="1" applyBorder="1"/>
    <xf numFmtId="0" fontId="36" fillId="35" borderId="33" xfId="60" applyFont="1" applyFill="1" applyBorder="1" applyAlignment="1">
      <alignment horizontal="center" vertical="center" wrapText="1"/>
    </xf>
    <xf numFmtId="0" fontId="36" fillId="35" borderId="59" xfId="60" applyFont="1" applyFill="1" applyBorder="1" applyAlignment="1">
      <alignment horizontal="center" vertical="center" wrapText="1"/>
    </xf>
    <xf numFmtId="0" fontId="36" fillId="35" borderId="39" xfId="60" applyFont="1" applyFill="1" applyBorder="1" applyAlignment="1">
      <alignment horizontal="center" vertical="center" wrapText="1"/>
    </xf>
    <xf numFmtId="0" fontId="36" fillId="35" borderId="40" xfId="60" applyFont="1" applyFill="1" applyBorder="1" applyAlignment="1">
      <alignment horizontal="center" vertical="center" wrapText="1"/>
    </xf>
    <xf numFmtId="170" fontId="2" fillId="0" borderId="21" xfId="60" applyNumberFormat="1" applyBorder="1"/>
    <xf numFmtId="0" fontId="36" fillId="0" borderId="0" xfId="60" applyFont="1" applyAlignment="1">
      <alignment horizontal="center" vertical="center" wrapText="1"/>
    </xf>
    <xf numFmtId="168" fontId="44" fillId="37" borderId="25" xfId="62" applyNumberFormat="1" applyFont="1" applyFill="1" applyBorder="1"/>
    <xf numFmtId="168" fontId="44" fillId="37" borderId="32" xfId="62" applyNumberFormat="1" applyFont="1" applyFill="1" applyBorder="1"/>
    <xf numFmtId="170" fontId="0" fillId="0" borderId="63" xfId="63" applyNumberFormat="1" applyFont="1" applyBorder="1"/>
    <xf numFmtId="170" fontId="0" fillId="0" borderId="22" xfId="63" applyNumberFormat="1" applyFont="1" applyBorder="1"/>
    <xf numFmtId="168" fontId="44" fillId="37" borderId="42" xfId="62" applyNumberFormat="1" applyFont="1" applyFill="1" applyBorder="1"/>
    <xf numFmtId="0" fontId="36" fillId="0" borderId="91" xfId="60" applyFont="1" applyBorder="1" applyAlignment="1">
      <alignment vertical="center" wrapText="1"/>
    </xf>
    <xf numFmtId="0" fontId="2" fillId="0" borderId="60" xfId="60" applyBorder="1"/>
    <xf numFmtId="0" fontId="44" fillId="37" borderId="45" xfId="60" applyFont="1" applyFill="1" applyBorder="1"/>
    <xf numFmtId="168" fontId="45" fillId="37" borderId="47" xfId="62" applyNumberFormat="1" applyFont="1" applyFill="1" applyBorder="1"/>
    <xf numFmtId="170" fontId="0" fillId="0" borderId="54" xfId="63" applyNumberFormat="1" applyFont="1" applyBorder="1"/>
    <xf numFmtId="170" fontId="0" fillId="0" borderId="49" xfId="63" applyNumberFormat="1" applyFont="1" applyBorder="1"/>
    <xf numFmtId="170" fontId="0" fillId="36" borderId="0" xfId="61" applyNumberFormat="1" applyFont="1" applyFill="1"/>
    <xf numFmtId="170" fontId="0" fillId="0" borderId="0" xfId="61" applyNumberFormat="1" applyFont="1" applyBorder="1"/>
    <xf numFmtId="0" fontId="19" fillId="33" borderId="76" xfId="1" applyNumberFormat="1" applyFont="1" applyFill="1" applyBorder="1" applyAlignment="1">
      <alignment vertical="center"/>
    </xf>
    <xf numFmtId="0" fontId="14" fillId="37" borderId="31" xfId="60" applyFont="1" applyFill="1" applyBorder="1" applyAlignment="1">
      <alignment horizontal="center" vertical="center"/>
    </xf>
    <xf numFmtId="170" fontId="14" fillId="37" borderId="28" xfId="61" applyNumberFormat="1" applyFont="1" applyFill="1" applyBorder="1" applyAlignment="1">
      <alignment horizontal="center"/>
    </xf>
    <xf numFmtId="170" fontId="14" fillId="37" borderId="29" xfId="61" applyNumberFormat="1" applyFont="1" applyFill="1" applyBorder="1" applyAlignment="1">
      <alignment horizontal="center"/>
    </xf>
    <xf numFmtId="1" fontId="14" fillId="37" borderId="31" xfId="60" applyNumberFormat="1" applyFont="1" applyFill="1" applyBorder="1" applyAlignment="1">
      <alignment horizontal="center" vertical="center"/>
    </xf>
    <xf numFmtId="0" fontId="14" fillId="37" borderId="28" xfId="60" applyFont="1" applyFill="1" applyBorder="1" applyAlignment="1">
      <alignment horizontal="center" vertical="center"/>
    </xf>
    <xf numFmtId="0" fontId="14" fillId="37" borderId="29" xfId="60" applyFont="1" applyFill="1" applyBorder="1" applyAlignment="1">
      <alignment horizontal="center" vertical="center"/>
    </xf>
    <xf numFmtId="0" fontId="39" fillId="0" borderId="31" xfId="60" applyFont="1" applyBorder="1"/>
    <xf numFmtId="170" fontId="19" fillId="0" borderId="29" xfId="61" applyNumberFormat="1" applyFont="1" applyBorder="1"/>
    <xf numFmtId="170" fontId="19" fillId="0" borderId="21" xfId="61" applyNumberFormat="1" applyFont="1" applyBorder="1"/>
    <xf numFmtId="0" fontId="39" fillId="0" borderId="24" xfId="60" applyFont="1" applyBorder="1"/>
    <xf numFmtId="170" fontId="19" fillId="0" borderId="32" xfId="61" applyNumberFormat="1" applyFont="1" applyBorder="1"/>
    <xf numFmtId="170" fontId="39" fillId="0" borderId="31" xfId="60" applyNumberFormat="1" applyFont="1" applyBorder="1"/>
    <xf numFmtId="170" fontId="39" fillId="0" borderId="23" xfId="60" applyNumberFormat="1" applyFont="1" applyBorder="1"/>
    <xf numFmtId="170" fontId="39" fillId="0" borderId="24" xfId="60" applyNumberFormat="1" applyFont="1" applyBorder="1"/>
    <xf numFmtId="168" fontId="39" fillId="0" borderId="32" xfId="60" applyNumberFormat="1" applyFont="1" applyBorder="1"/>
    <xf numFmtId="170" fontId="19" fillId="0" borderId="18" xfId="61" applyNumberFormat="1" applyFont="1" applyBorder="1"/>
    <xf numFmtId="170" fontId="19" fillId="36" borderId="55" xfId="61" applyNumberFormat="1" applyFont="1" applyFill="1" applyBorder="1"/>
    <xf numFmtId="168" fontId="19" fillId="0" borderId="90" xfId="1" applyNumberFormat="1" applyFont="1" applyBorder="1"/>
    <xf numFmtId="168" fontId="19" fillId="36" borderId="27" xfId="1" applyNumberFormat="1" applyFont="1" applyFill="1" applyBorder="1"/>
    <xf numFmtId="168" fontId="39" fillId="0" borderId="25" xfId="60" applyNumberFormat="1" applyFont="1" applyBorder="1"/>
    <xf numFmtId="170" fontId="14" fillId="37" borderId="91" xfId="61" applyNumberFormat="1" applyFont="1" applyFill="1" applyBorder="1" applyAlignment="1">
      <alignment horizontal="center"/>
    </xf>
    <xf numFmtId="168" fontId="2" fillId="0" borderId="0" xfId="60" applyNumberFormat="1"/>
    <xf numFmtId="0" fontId="26" fillId="37" borderId="33" xfId="31" applyFont="1" applyFill="1" applyBorder="1" applyAlignment="1">
      <alignment horizontal="center" vertical="center" wrapText="1"/>
    </xf>
    <xf numFmtId="0" fontId="26" fillId="37" borderId="83" xfId="31" applyFont="1" applyFill="1" applyBorder="1" applyAlignment="1">
      <alignment horizontal="center" vertical="center" wrapText="1"/>
    </xf>
    <xf numFmtId="0" fontId="26" fillId="37" borderId="73" xfId="31" applyFont="1" applyFill="1" applyBorder="1" applyAlignment="1">
      <alignment horizontal="center" vertical="center" wrapText="1"/>
    </xf>
    <xf numFmtId="0" fontId="26" fillId="37" borderId="74" xfId="31" applyFont="1" applyFill="1" applyBorder="1" applyAlignment="1">
      <alignment horizontal="center" vertical="center" wrapText="1"/>
    </xf>
    <xf numFmtId="0" fontId="26" fillId="37" borderId="75" xfId="31" applyFont="1" applyFill="1" applyBorder="1" applyAlignment="1">
      <alignment vertical="center" wrapText="1"/>
    </xf>
    <xf numFmtId="168" fontId="26" fillId="37" borderId="76" xfId="1" applyNumberFormat="1" applyFont="1" applyFill="1" applyBorder="1" applyAlignment="1">
      <alignment horizontal="center" vertical="center" wrapText="1"/>
    </xf>
    <xf numFmtId="168" fontId="26" fillId="37" borderId="36" xfId="1" applyNumberFormat="1" applyFont="1" applyFill="1" applyBorder="1" applyAlignment="1">
      <alignment horizontal="center" vertical="center" wrapText="1"/>
    </xf>
    <xf numFmtId="0" fontId="26" fillId="37" borderId="51" xfId="31" applyFont="1" applyFill="1" applyBorder="1" applyAlignment="1">
      <alignment horizontal="center" vertical="center" wrapText="1"/>
    </xf>
    <xf numFmtId="168" fontId="39" fillId="0" borderId="63" xfId="60" applyNumberFormat="1" applyFont="1" applyBorder="1"/>
    <xf numFmtId="168" fontId="39" fillId="0" borderId="28" xfId="60" applyNumberFormat="1" applyFont="1" applyBorder="1"/>
    <xf numFmtId="168" fontId="39" fillId="0" borderId="22" xfId="60" applyNumberFormat="1" applyFont="1" applyBorder="1"/>
    <xf numFmtId="1" fontId="2" fillId="0" borderId="0" xfId="60" applyNumberFormat="1"/>
    <xf numFmtId="170" fontId="2" fillId="0" borderId="0" xfId="64" applyNumberFormat="1" applyFont="1"/>
    <xf numFmtId="0" fontId="48" fillId="0" borderId="0" xfId="0" applyFont="1"/>
    <xf numFmtId="0" fontId="49" fillId="0" borderId="0" xfId="0" applyFont="1"/>
    <xf numFmtId="0" fontId="52" fillId="0" borderId="0" xfId="0" applyFont="1"/>
    <xf numFmtId="0" fontId="53" fillId="0" borderId="0" xfId="0" applyFont="1"/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92" xfId="0" applyFont="1" applyBorder="1"/>
    <xf numFmtId="0" fontId="52" fillId="0" borderId="94" xfId="0" applyFont="1" applyBorder="1"/>
    <xf numFmtId="0" fontId="57" fillId="0" borderId="0" xfId="0" applyFont="1"/>
    <xf numFmtId="0" fontId="52" fillId="0" borderId="94" xfId="0" applyFont="1" applyBorder="1" applyAlignment="1">
      <alignment horizontal="right"/>
    </xf>
    <xf numFmtId="0" fontId="52" fillId="0" borderId="96" xfId="0" applyFont="1" applyBorder="1"/>
    <xf numFmtId="0" fontId="52" fillId="0" borderId="96" xfId="0" applyFont="1" applyBorder="1" applyAlignment="1">
      <alignment horizontal="right"/>
    </xf>
    <xf numFmtId="0" fontId="52" fillId="0" borderId="98" xfId="0" applyFont="1" applyFill="1" applyBorder="1"/>
    <xf numFmtId="0" fontId="52" fillId="0" borderId="101" xfId="0" applyFont="1" applyBorder="1" applyAlignment="1">
      <alignment horizontal="right"/>
    </xf>
    <xf numFmtId="0" fontId="52" fillId="0" borderId="102" xfId="0" applyFont="1" applyBorder="1" applyAlignment="1">
      <alignment horizontal="right"/>
    </xf>
    <xf numFmtId="168" fontId="0" fillId="36" borderId="33" xfId="1" applyNumberFormat="1" applyFont="1" applyFill="1" applyBorder="1"/>
    <xf numFmtId="168" fontId="39" fillId="0" borderId="29" xfId="1" applyNumberFormat="1" applyFont="1" applyBorder="1"/>
    <xf numFmtId="168" fontId="39" fillId="0" borderId="21" xfId="1" applyNumberFormat="1" applyFont="1" applyBorder="1"/>
    <xf numFmtId="168" fontId="56" fillId="0" borderId="90" xfId="1" applyNumberFormat="1" applyFont="1" applyBorder="1" applyAlignment="1">
      <alignment horizontal="center"/>
    </xf>
    <xf numFmtId="168" fontId="56" fillId="0" borderId="100" xfId="1" applyNumberFormat="1" applyFont="1" applyBorder="1" applyAlignment="1">
      <alignment horizontal="center"/>
    </xf>
    <xf numFmtId="0" fontId="51" fillId="0" borderId="0" xfId="65" applyFont="1" applyAlignment="1" applyProtection="1"/>
    <xf numFmtId="168" fontId="52" fillId="0" borderId="99" xfId="1" applyNumberFormat="1" applyFont="1" applyBorder="1"/>
    <xf numFmtId="168" fontId="52" fillId="0" borderId="22" xfId="1" applyNumberFormat="1" applyFont="1" applyBorder="1"/>
    <xf numFmtId="168" fontId="53" fillId="35" borderId="99" xfId="1" applyNumberFormat="1" applyFont="1" applyFill="1" applyBorder="1"/>
    <xf numFmtId="168" fontId="55" fillId="35" borderId="48" xfId="1" applyNumberFormat="1" applyFont="1" applyFill="1" applyBorder="1" applyAlignment="1">
      <alignment horizontal="center"/>
    </xf>
    <xf numFmtId="168" fontId="55" fillId="35" borderId="27" xfId="1" applyNumberFormat="1" applyFont="1" applyFill="1" applyBorder="1" applyAlignment="1">
      <alignment horizontal="center"/>
    </xf>
    <xf numFmtId="0" fontId="19" fillId="36" borderId="9" xfId="31" applyFont="1" applyFill="1" applyBorder="1" applyAlignment="1">
      <alignment horizontal="center" vertical="center" wrapText="1"/>
    </xf>
    <xf numFmtId="0" fontId="19" fillId="36" borderId="9" xfId="31" applyFont="1" applyFill="1" applyBorder="1" applyAlignment="1">
      <alignment horizontal="left" vertical="center" wrapText="1"/>
    </xf>
    <xf numFmtId="168" fontId="19" fillId="36" borderId="9" xfId="1" applyNumberFormat="1" applyFont="1" applyFill="1" applyBorder="1" applyAlignment="1">
      <alignment horizontal="center" vertical="center" wrapText="1"/>
    </xf>
    <xf numFmtId="0" fontId="20" fillId="35" borderId="9" xfId="31" applyFont="1" applyFill="1" applyBorder="1" applyAlignment="1">
      <alignment horizontal="center" vertical="center" wrapText="1"/>
    </xf>
    <xf numFmtId="168" fontId="0" fillId="0" borderId="9" xfId="0" applyNumberFormat="1" applyBorder="1"/>
    <xf numFmtId="0" fontId="24" fillId="35" borderId="9" xfId="31" applyFont="1" applyFill="1" applyBorder="1" applyAlignment="1">
      <alignment vertical="center" wrapText="1"/>
    </xf>
    <xf numFmtId="168" fontId="20" fillId="35" borderId="9" xfId="1" applyNumberFormat="1" applyFont="1" applyFill="1" applyBorder="1" applyAlignment="1">
      <alignment horizontal="center" vertical="center" wrapText="1"/>
    </xf>
    <xf numFmtId="0" fontId="19" fillId="33" borderId="104" xfId="0" applyFont="1" applyFill="1" applyBorder="1" applyAlignment="1">
      <alignment vertical="center"/>
    </xf>
    <xf numFmtId="0" fontId="19" fillId="33" borderId="9" xfId="0" applyFont="1" applyFill="1" applyBorder="1" applyAlignment="1">
      <alignment vertical="center"/>
    </xf>
    <xf numFmtId="168" fontId="19" fillId="33" borderId="9" xfId="1" applyNumberFormat="1" applyFont="1" applyFill="1" applyBorder="1" applyAlignment="1">
      <alignment vertical="center"/>
    </xf>
    <xf numFmtId="0" fontId="19" fillId="33" borderId="103" xfId="0" applyFont="1" applyFill="1" applyBorder="1" applyAlignment="1">
      <alignment horizontal="center" vertical="center"/>
    </xf>
    <xf numFmtId="0" fontId="19" fillId="33" borderId="80" xfId="0" applyFont="1" applyFill="1" applyBorder="1" applyAlignment="1">
      <alignment horizontal="center" vertical="center"/>
    </xf>
    <xf numFmtId="168" fontId="19" fillId="33" borderId="105" xfId="1" applyNumberFormat="1" applyFont="1" applyFill="1" applyBorder="1" applyAlignment="1">
      <alignment vertical="center"/>
    </xf>
    <xf numFmtId="170" fontId="2" fillId="0" borderId="0" xfId="60" applyNumberFormat="1"/>
    <xf numFmtId="168" fontId="2" fillId="0" borderId="0" xfId="1" applyNumberFormat="1" applyFont="1"/>
    <xf numFmtId="1" fontId="19" fillId="36" borderId="15" xfId="31" applyNumberFormat="1" applyFont="1" applyFill="1" applyBorder="1" applyAlignment="1">
      <alignment horizontal="center" vertical="center" wrapText="1"/>
    </xf>
    <xf numFmtId="0" fontId="39" fillId="0" borderId="0" xfId="60" applyFont="1" applyBorder="1" applyAlignment="1"/>
    <xf numFmtId="168" fontId="39" fillId="0" borderId="0" xfId="1" applyNumberFormat="1" applyFont="1" applyBorder="1"/>
    <xf numFmtId="0" fontId="21" fillId="0" borderId="0" xfId="31" applyFill="1" applyAlignment="1">
      <alignment wrapText="1"/>
    </xf>
    <xf numFmtId="0" fontId="19" fillId="0" borderId="0" xfId="31" applyFont="1" applyFill="1" applyAlignment="1">
      <alignment wrapText="1"/>
    </xf>
    <xf numFmtId="170" fontId="0" fillId="0" borderId="0" xfId="61" applyNumberFormat="1" applyFont="1" applyFill="1"/>
    <xf numFmtId="0" fontId="2" fillId="0" borderId="0" xfId="60" applyFill="1"/>
    <xf numFmtId="168" fontId="0" fillId="0" borderId="0" xfId="62" applyNumberFormat="1" applyFont="1" applyFill="1"/>
    <xf numFmtId="164" fontId="2" fillId="0" borderId="0" xfId="60" applyNumberFormat="1" applyFill="1"/>
    <xf numFmtId="0" fontId="2" fillId="0" borderId="0" xfId="60" applyFill="1" applyBorder="1"/>
    <xf numFmtId="168" fontId="21" fillId="0" borderId="0" xfId="31" applyNumberFormat="1" applyAlignment="1">
      <alignment wrapText="1"/>
    </xf>
    <xf numFmtId="172" fontId="2" fillId="0" borderId="0" xfId="66" applyNumberFormat="1" applyFont="1"/>
    <xf numFmtId="10" fontId="2" fillId="0" borderId="0" xfId="66" applyNumberFormat="1" applyFont="1"/>
    <xf numFmtId="3" fontId="60" fillId="0" borderId="93" xfId="0" applyNumberFormat="1" applyFont="1" applyBorder="1" applyAlignment="1">
      <alignment horizontal="center"/>
    </xf>
    <xf numFmtId="3" fontId="61" fillId="35" borderId="93" xfId="0" applyNumberFormat="1" applyFont="1" applyFill="1" applyBorder="1" applyAlignment="1">
      <alignment horizontal="center"/>
    </xf>
    <xf numFmtId="3" fontId="60" fillId="0" borderId="61" xfId="0" applyNumberFormat="1" applyFont="1" applyBorder="1" applyAlignment="1">
      <alignment horizontal="center"/>
    </xf>
    <xf numFmtId="168" fontId="60" fillId="0" borderId="0" xfId="1" applyNumberFormat="1" applyFont="1" applyBorder="1" applyAlignment="1">
      <alignment horizontal="center"/>
    </xf>
    <xf numFmtId="168" fontId="61" fillId="35" borderId="0" xfId="1" applyNumberFormat="1" applyFont="1" applyFill="1" applyBorder="1" applyAlignment="1">
      <alignment horizontal="center"/>
    </xf>
    <xf numFmtId="168" fontId="60" fillId="0" borderId="95" xfId="1" applyNumberFormat="1" applyFont="1" applyBorder="1" applyAlignment="1">
      <alignment horizontal="center"/>
    </xf>
    <xf numFmtId="168" fontId="60" fillId="0" borderId="97" xfId="1" applyNumberFormat="1" applyFont="1" applyBorder="1" applyAlignment="1">
      <alignment horizontal="center"/>
    </xf>
    <xf numFmtId="168" fontId="61" fillId="35" borderId="97" xfId="1" applyNumberFormat="1" applyFont="1" applyFill="1" applyBorder="1" applyAlignment="1">
      <alignment horizontal="center"/>
    </xf>
    <xf numFmtId="168" fontId="60" fillId="0" borderId="17" xfId="1" applyNumberFormat="1" applyFont="1" applyBorder="1" applyAlignment="1">
      <alignment horizontal="center"/>
    </xf>
    <xf numFmtId="168" fontId="61" fillId="0" borderId="0" xfId="1" applyNumberFormat="1" applyFont="1" applyBorder="1" applyAlignment="1">
      <alignment horizontal="center"/>
    </xf>
    <xf numFmtId="0" fontId="1" fillId="0" borderId="0" xfId="60" applyFont="1"/>
    <xf numFmtId="9" fontId="2" fillId="0" borderId="0" xfId="60" applyNumberFormat="1"/>
    <xf numFmtId="168" fontId="0" fillId="0" borderId="0" xfId="0" applyNumberFormat="1"/>
    <xf numFmtId="164" fontId="2" fillId="0" borderId="0" xfId="60" applyNumberFormat="1"/>
    <xf numFmtId="3" fontId="0" fillId="0" borderId="0" xfId="0" applyNumberFormat="1"/>
    <xf numFmtId="0" fontId="2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9" fontId="0" fillId="0" borderId="9" xfId="66" applyFont="1" applyBorder="1" applyAlignment="1">
      <alignment horizontal="center"/>
    </xf>
    <xf numFmtId="3" fontId="62" fillId="0" borderId="9" xfId="0" applyNumberFormat="1" applyFont="1" applyBorder="1" applyAlignment="1">
      <alignment horizontal="center"/>
    </xf>
    <xf numFmtId="9" fontId="62" fillId="0" borderId="9" xfId="66" applyFont="1" applyBorder="1" applyAlignment="1">
      <alignment horizontal="center"/>
    </xf>
    <xf numFmtId="0" fontId="21" fillId="0" borderId="0" xfId="0" applyFont="1"/>
    <xf numFmtId="0" fontId="24" fillId="35" borderId="76" xfId="31" applyFont="1" applyFill="1" applyBorder="1" applyAlignment="1">
      <alignment horizontal="right" vertical="center" wrapText="1"/>
    </xf>
    <xf numFmtId="0" fontId="24" fillId="35" borderId="77" xfId="31" applyFont="1" applyFill="1" applyBorder="1" applyAlignment="1">
      <alignment horizontal="right" vertical="center" wrapText="1"/>
    </xf>
    <xf numFmtId="0" fontId="24" fillId="35" borderId="51" xfId="31" applyFont="1" applyFill="1" applyBorder="1" applyAlignment="1">
      <alignment horizontal="right" vertical="center" wrapText="1"/>
    </xf>
    <xf numFmtId="0" fontId="24" fillId="35" borderId="83" xfId="31" applyFont="1" applyFill="1" applyBorder="1" applyAlignment="1">
      <alignment horizontal="right" vertical="center" wrapText="1"/>
    </xf>
    <xf numFmtId="0" fontId="28" fillId="37" borderId="39" xfId="31" applyFont="1" applyFill="1" applyBorder="1" applyAlignment="1">
      <alignment horizontal="right" vertical="center" wrapText="1"/>
    </xf>
    <xf numFmtId="0" fontId="28" fillId="37" borderId="40" xfId="31" applyFont="1" applyFill="1" applyBorder="1" applyAlignment="1">
      <alignment horizontal="right" vertical="center" wrapText="1"/>
    </xf>
    <xf numFmtId="0" fontId="24" fillId="35" borderId="9" xfId="31" applyFont="1" applyFill="1" applyBorder="1" applyAlignment="1">
      <alignment horizontal="right" vertical="center" wrapText="1"/>
    </xf>
    <xf numFmtId="0" fontId="26" fillId="37" borderId="76" xfId="31" applyFont="1" applyFill="1" applyBorder="1" applyAlignment="1">
      <alignment horizontal="right" vertical="center" wrapText="1"/>
    </xf>
    <xf numFmtId="0" fontId="26" fillId="37" borderId="77" xfId="31" applyFont="1" applyFill="1" applyBorder="1" applyAlignment="1">
      <alignment horizontal="right" vertical="center" wrapText="1"/>
    </xf>
    <xf numFmtId="0" fontId="20" fillId="38" borderId="55" xfId="31" applyFont="1" applyFill="1" applyBorder="1" applyAlignment="1">
      <alignment horizontal="right" vertical="center" wrapText="1"/>
    </xf>
    <xf numFmtId="0" fontId="20" fillId="38" borderId="26" xfId="31" applyFont="1" applyFill="1" applyBorder="1" applyAlignment="1">
      <alignment horizontal="right" vertical="center" wrapText="1"/>
    </xf>
    <xf numFmtId="0" fontId="20" fillId="38" borderId="41" xfId="31" applyFont="1" applyFill="1" applyBorder="1" applyAlignment="1">
      <alignment horizontal="right" vertical="center" wrapText="1"/>
    </xf>
    <xf numFmtId="0" fontId="20" fillId="38" borderId="55" xfId="31" applyFont="1" applyFill="1" applyBorder="1" applyAlignment="1">
      <alignment horizontal="center" vertical="center" wrapText="1"/>
    </xf>
    <xf numFmtId="0" fontId="20" fillId="38" borderId="26" xfId="31" applyFont="1" applyFill="1" applyBorder="1" applyAlignment="1">
      <alignment horizontal="center" vertical="center" wrapText="1"/>
    </xf>
    <xf numFmtId="0" fontId="20" fillId="38" borderId="77" xfId="31" applyFont="1" applyFill="1" applyBorder="1" applyAlignment="1">
      <alignment horizontal="center" vertical="center" wrapText="1"/>
    </xf>
    <xf numFmtId="0" fontId="22" fillId="35" borderId="55" xfId="0" applyFont="1" applyFill="1" applyBorder="1" applyAlignment="1">
      <alignment horizontal="center" wrapText="1"/>
    </xf>
    <xf numFmtId="0" fontId="22" fillId="35" borderId="27" xfId="0" applyFont="1" applyFill="1" applyBorder="1" applyAlignment="1">
      <alignment horizontal="center" wrapText="1"/>
    </xf>
    <xf numFmtId="0" fontId="26" fillId="37" borderId="34" xfId="0" applyFont="1" applyFill="1" applyBorder="1" applyAlignment="1">
      <alignment horizontal="right" wrapText="1"/>
    </xf>
    <xf numFmtId="0" fontId="26" fillId="37" borderId="35" xfId="0" applyFont="1" applyFill="1" applyBorder="1" applyAlignment="1">
      <alignment horizontal="right" wrapText="1"/>
    </xf>
    <xf numFmtId="0" fontId="22" fillId="34" borderId="55" xfId="0" applyFont="1" applyFill="1" applyBorder="1" applyAlignment="1">
      <alignment horizontal="center" wrapText="1"/>
    </xf>
    <xf numFmtId="0" fontId="22" fillId="34" borderId="27" xfId="0" applyFont="1" applyFill="1" applyBorder="1" applyAlignment="1">
      <alignment horizontal="center" wrapText="1"/>
    </xf>
    <xf numFmtId="168" fontId="20" fillId="34" borderId="28" xfId="1" applyNumberFormat="1" applyFont="1" applyFill="1" applyBorder="1" applyAlignment="1">
      <alignment horizontal="center" vertical="center" wrapText="1"/>
    </xf>
    <xf numFmtId="168" fontId="0" fillId="34" borderId="25" xfId="1" applyNumberFormat="1" applyFont="1" applyFill="1" applyBorder="1" applyAlignment="1">
      <alignment wrapText="1"/>
    </xf>
    <xf numFmtId="168" fontId="20" fillId="34" borderId="29" xfId="1" applyNumberFormat="1" applyFont="1" applyFill="1" applyBorder="1" applyAlignment="1">
      <alignment horizontal="center" vertical="center" wrapText="1"/>
    </xf>
    <xf numFmtId="168" fontId="0" fillId="34" borderId="32" xfId="1" applyNumberFormat="1" applyFont="1" applyFill="1" applyBorder="1" applyAlignment="1">
      <alignment wrapText="1"/>
    </xf>
    <xf numFmtId="0" fontId="26" fillId="37" borderId="31" xfId="0" applyFont="1" applyFill="1" applyBorder="1" applyAlignment="1">
      <alignment horizontal="center" vertical="center" wrapText="1"/>
    </xf>
    <xf numFmtId="0" fontId="27" fillId="37" borderId="24" xfId="0" applyFont="1" applyFill="1" applyBorder="1" applyAlignment="1">
      <alignment wrapText="1"/>
    </xf>
    <xf numFmtId="0" fontId="26" fillId="37" borderId="29" xfId="0" applyFont="1" applyFill="1" applyBorder="1" applyAlignment="1">
      <alignment horizontal="center" vertical="center" wrapText="1"/>
    </xf>
    <xf numFmtId="0" fontId="27" fillId="37" borderId="32" xfId="0" applyFont="1" applyFill="1" applyBorder="1" applyAlignment="1">
      <alignment wrapText="1"/>
    </xf>
    <xf numFmtId="168" fontId="26" fillId="37" borderId="63" xfId="1" applyNumberFormat="1" applyFont="1" applyFill="1" applyBorder="1" applyAlignment="1">
      <alignment horizontal="center" vertical="center" wrapText="1"/>
    </xf>
    <xf numFmtId="168" fontId="27" fillId="37" borderId="42" xfId="1" applyNumberFormat="1" applyFont="1" applyFill="1" applyBorder="1" applyAlignment="1">
      <alignment wrapText="1"/>
    </xf>
    <xf numFmtId="168" fontId="26" fillId="37" borderId="28" xfId="1" applyNumberFormat="1" applyFont="1" applyFill="1" applyBorder="1" applyAlignment="1">
      <alignment horizontal="center" vertical="center" wrapText="1"/>
    </xf>
    <xf numFmtId="168" fontId="27" fillId="37" borderId="25" xfId="1" applyNumberFormat="1" applyFont="1" applyFill="1" applyBorder="1" applyAlignment="1">
      <alignment wrapText="1"/>
    </xf>
    <xf numFmtId="168" fontId="26" fillId="37" borderId="29" xfId="1" applyNumberFormat="1" applyFont="1" applyFill="1" applyBorder="1" applyAlignment="1">
      <alignment horizontal="center" vertical="center" wrapText="1"/>
    </xf>
    <xf numFmtId="168" fontId="27" fillId="37" borderId="32" xfId="1" applyNumberFormat="1" applyFont="1" applyFill="1" applyBorder="1" applyAlignment="1">
      <alignment wrapText="1"/>
    </xf>
    <xf numFmtId="0" fontId="20" fillId="34" borderId="31" xfId="0" applyFont="1" applyFill="1" applyBorder="1" applyAlignment="1">
      <alignment horizontal="center" vertical="center" wrapText="1"/>
    </xf>
    <xf numFmtId="0" fontId="0" fillId="34" borderId="24" xfId="0" applyFill="1" applyBorder="1" applyAlignment="1">
      <alignment wrapText="1"/>
    </xf>
    <xf numFmtId="0" fontId="20" fillId="34" borderId="29" xfId="0" applyFont="1" applyFill="1" applyBorder="1" applyAlignment="1">
      <alignment horizontal="center" vertical="center" wrapText="1"/>
    </xf>
    <xf numFmtId="0" fontId="0" fillId="34" borderId="32" xfId="0" applyFill="1" applyBorder="1" applyAlignment="1">
      <alignment wrapText="1"/>
    </xf>
    <xf numFmtId="168" fontId="20" fillId="34" borderId="63" xfId="1" applyNumberFormat="1" applyFont="1" applyFill="1" applyBorder="1" applyAlignment="1">
      <alignment horizontal="center" vertical="center" wrapText="1"/>
    </xf>
    <xf numFmtId="168" fontId="0" fillId="34" borderId="42" xfId="1" applyNumberFormat="1" applyFont="1" applyFill="1" applyBorder="1" applyAlignment="1">
      <alignment wrapText="1"/>
    </xf>
    <xf numFmtId="0" fontId="22" fillId="0" borderId="26" xfId="0" applyFont="1" applyBorder="1" applyAlignment="1">
      <alignment horizontal="left" wrapText="1"/>
    </xf>
    <xf numFmtId="168" fontId="20" fillId="35" borderId="28" xfId="1" applyNumberFormat="1" applyFont="1" applyFill="1" applyBorder="1" applyAlignment="1">
      <alignment horizontal="center" vertical="center" wrapText="1"/>
    </xf>
    <xf numFmtId="168" fontId="0" fillId="35" borderId="25" xfId="1" applyNumberFormat="1" applyFont="1" applyFill="1" applyBorder="1" applyAlignment="1">
      <alignment wrapText="1"/>
    </xf>
    <xf numFmtId="168" fontId="20" fillId="35" borderId="29" xfId="1" applyNumberFormat="1" applyFont="1" applyFill="1" applyBorder="1" applyAlignment="1">
      <alignment horizontal="center" vertical="center" wrapText="1"/>
    </xf>
    <xf numFmtId="168" fontId="0" fillId="35" borderId="32" xfId="1" applyNumberFormat="1" applyFont="1" applyFill="1" applyBorder="1" applyAlignment="1">
      <alignment wrapText="1"/>
    </xf>
    <xf numFmtId="0" fontId="20" fillId="35" borderId="75" xfId="0" applyFont="1" applyFill="1" applyBorder="1" applyAlignment="1">
      <alignment horizontal="center" vertical="center"/>
    </xf>
    <xf numFmtId="0" fontId="0" fillId="35" borderId="27" xfId="0" applyFill="1" applyBorder="1" applyAlignment="1">
      <alignment wrapText="1"/>
    </xf>
    <xf numFmtId="168" fontId="0" fillId="35" borderId="14" xfId="1" applyNumberFormat="1" applyFont="1" applyFill="1" applyBorder="1" applyAlignment="1">
      <alignment wrapText="1"/>
    </xf>
    <xf numFmtId="168" fontId="0" fillId="35" borderId="56" xfId="1" applyNumberFormat="1" applyFont="1" applyFill="1" applyBorder="1" applyAlignment="1">
      <alignment wrapText="1"/>
    </xf>
    <xf numFmtId="0" fontId="20" fillId="35" borderId="31" xfId="0" applyFont="1" applyFill="1" applyBorder="1" applyAlignment="1">
      <alignment horizontal="center" vertical="center" wrapText="1"/>
    </xf>
    <xf numFmtId="0" fontId="0" fillId="35" borderId="24" xfId="0" applyFill="1" applyBorder="1" applyAlignment="1">
      <alignment wrapText="1"/>
    </xf>
    <xf numFmtId="0" fontId="20" fillId="35" borderId="29" xfId="0" applyFont="1" applyFill="1" applyBorder="1" applyAlignment="1">
      <alignment horizontal="center" vertical="center" wrapText="1"/>
    </xf>
    <xf numFmtId="0" fontId="0" fillId="35" borderId="32" xfId="0" applyFill="1" applyBorder="1" applyAlignment="1">
      <alignment wrapText="1"/>
    </xf>
    <xf numFmtId="168" fontId="20" fillId="35" borderId="63" xfId="1" applyNumberFormat="1" applyFont="1" applyFill="1" applyBorder="1" applyAlignment="1">
      <alignment horizontal="center" vertical="center" wrapText="1"/>
    </xf>
    <xf numFmtId="168" fontId="0" fillId="35" borderId="42" xfId="1" applyNumberFormat="1" applyFont="1" applyFill="1" applyBorder="1" applyAlignment="1">
      <alignment wrapText="1"/>
    </xf>
    <xf numFmtId="0" fontId="22" fillId="0" borderId="26" xfId="0" applyFont="1" applyBorder="1" applyAlignment="1">
      <alignment horizontal="center" wrapText="1"/>
    </xf>
    <xf numFmtId="0" fontId="38" fillId="37" borderId="38" xfId="60" applyFont="1" applyFill="1" applyBorder="1" applyAlignment="1">
      <alignment horizontal="center"/>
    </xf>
    <xf numFmtId="0" fontId="38" fillId="37" borderId="39" xfId="60" applyFont="1" applyFill="1" applyBorder="1" applyAlignment="1">
      <alignment horizontal="center"/>
    </xf>
    <xf numFmtId="0" fontId="38" fillId="37" borderId="40" xfId="60" applyFont="1" applyFill="1" applyBorder="1" applyAlignment="1">
      <alignment horizontal="center"/>
    </xf>
    <xf numFmtId="0" fontId="36" fillId="35" borderId="51" xfId="60" applyFont="1" applyFill="1" applyBorder="1" applyAlignment="1">
      <alignment horizontal="center" vertical="center"/>
    </xf>
    <xf numFmtId="0" fontId="36" fillId="35" borderId="52" xfId="60" applyFont="1" applyFill="1" applyBorder="1" applyAlignment="1">
      <alignment horizontal="center" vertical="center"/>
    </xf>
    <xf numFmtId="0" fontId="36" fillId="35" borderId="47" xfId="60" applyFont="1" applyFill="1" applyBorder="1" applyAlignment="1">
      <alignment horizontal="center" vertical="center"/>
    </xf>
    <xf numFmtId="0" fontId="38" fillId="37" borderId="51" xfId="60" applyFont="1" applyFill="1" applyBorder="1" applyAlignment="1">
      <alignment horizontal="center" vertical="center" wrapText="1"/>
    </xf>
    <xf numFmtId="0" fontId="38" fillId="37" borderId="52" xfId="60" applyFont="1" applyFill="1" applyBorder="1" applyAlignment="1">
      <alignment horizontal="center" vertical="center" wrapText="1"/>
    </xf>
    <xf numFmtId="0" fontId="38" fillId="37" borderId="47" xfId="60" applyFont="1" applyFill="1" applyBorder="1" applyAlignment="1">
      <alignment horizontal="center" vertical="center" wrapText="1"/>
    </xf>
    <xf numFmtId="165" fontId="26" fillId="37" borderId="53" xfId="1" applyFont="1" applyFill="1" applyBorder="1" applyAlignment="1">
      <alignment horizontal="center" vertical="center"/>
    </xf>
    <xf numFmtId="165" fontId="26" fillId="37" borderId="26" xfId="1" applyFont="1" applyFill="1" applyBorder="1" applyAlignment="1">
      <alignment horizontal="center" vertical="center"/>
    </xf>
    <xf numFmtId="170" fontId="29" fillId="37" borderId="18" xfId="61" applyNumberFormat="1" applyFont="1" applyFill="1" applyBorder="1" applyAlignment="1">
      <alignment horizontal="center" vertical="center" wrapText="1"/>
    </xf>
    <xf numFmtId="170" fontId="29" fillId="37" borderId="55" xfId="61" applyNumberFormat="1" applyFont="1" applyFill="1" applyBorder="1" applyAlignment="1">
      <alignment horizontal="center" vertical="center" wrapText="1"/>
    </xf>
    <xf numFmtId="168" fontId="46" fillId="37" borderId="19" xfId="62" applyNumberFormat="1" applyFont="1" applyFill="1" applyBorder="1" applyAlignment="1">
      <alignment horizontal="center" vertical="center"/>
    </xf>
    <xf numFmtId="168" fontId="46" fillId="37" borderId="26" xfId="62" applyNumberFormat="1" applyFont="1" applyFill="1" applyBorder="1" applyAlignment="1">
      <alignment horizontal="center" vertical="center"/>
    </xf>
    <xf numFmtId="0" fontId="2" fillId="0" borderId="0" xfId="60" applyAlignment="1">
      <alignment horizontal="center"/>
    </xf>
    <xf numFmtId="0" fontId="2" fillId="0" borderId="106" xfId="60" applyBorder="1" applyAlignment="1">
      <alignment horizontal="center"/>
    </xf>
    <xf numFmtId="0" fontId="38" fillId="37" borderId="51" xfId="60" applyFont="1" applyFill="1" applyBorder="1" applyAlignment="1">
      <alignment horizontal="center" vertical="center"/>
    </xf>
    <xf numFmtId="0" fontId="38" fillId="37" borderId="52" xfId="60" applyFont="1" applyFill="1" applyBorder="1" applyAlignment="1">
      <alignment horizontal="center" vertical="center"/>
    </xf>
    <xf numFmtId="0" fontId="38" fillId="37" borderId="47" xfId="60" applyFont="1" applyFill="1" applyBorder="1" applyAlignment="1">
      <alignment horizontal="center" vertical="center"/>
    </xf>
    <xf numFmtId="0" fontId="14" fillId="37" borderId="51" xfId="60" applyFont="1" applyFill="1" applyBorder="1" applyAlignment="1">
      <alignment horizontal="center" vertical="center"/>
    </xf>
    <xf numFmtId="0" fontId="14" fillId="37" borderId="52" xfId="60" applyFont="1" applyFill="1" applyBorder="1" applyAlignment="1">
      <alignment horizontal="center" vertical="center"/>
    </xf>
    <xf numFmtId="0" fontId="14" fillId="37" borderId="47" xfId="60" applyFont="1" applyFill="1" applyBorder="1" applyAlignment="1">
      <alignment horizontal="center" vertical="center"/>
    </xf>
    <xf numFmtId="0" fontId="14" fillId="37" borderId="51" xfId="60" applyFont="1" applyFill="1" applyBorder="1" applyAlignment="1">
      <alignment horizontal="left" vertical="center"/>
    </xf>
    <xf numFmtId="0" fontId="14" fillId="37" borderId="52" xfId="60" applyFont="1" applyFill="1" applyBorder="1" applyAlignment="1">
      <alignment horizontal="left" vertical="center"/>
    </xf>
    <xf numFmtId="0" fontId="14" fillId="37" borderId="47" xfId="60" applyFont="1" applyFill="1" applyBorder="1" applyAlignment="1">
      <alignment horizontal="left" vertical="center"/>
    </xf>
    <xf numFmtId="0" fontId="2" fillId="0" borderId="52" xfId="60" applyBorder="1" applyAlignment="1">
      <alignment horizontal="center"/>
    </xf>
    <xf numFmtId="0" fontId="59" fillId="0" borderId="18" xfId="0" applyFont="1" applyBorder="1" applyAlignment="1">
      <alignment horizontal="center" vertical="center" wrapText="1"/>
    </xf>
    <xf numFmtId="0" fontId="59" fillId="0" borderId="19" xfId="0" applyFont="1" applyBorder="1" applyAlignment="1">
      <alignment horizontal="center" vertical="center" wrapText="1"/>
    </xf>
    <xf numFmtId="0" fontId="59" fillId="0" borderId="90" xfId="0" applyFont="1" applyBorder="1" applyAlignment="1">
      <alignment horizontal="center" vertical="center" wrapText="1"/>
    </xf>
    <xf numFmtId="0" fontId="59" fillId="0" borderId="55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 wrapText="1"/>
    </xf>
    <xf numFmtId="0" fontId="58" fillId="39" borderId="98" xfId="0" applyFont="1" applyFill="1" applyBorder="1" applyAlignment="1">
      <alignment horizontal="center"/>
    </xf>
    <xf numFmtId="0" fontId="58" fillId="39" borderId="99" xfId="0" applyFont="1" applyFill="1" applyBorder="1" applyAlignment="1">
      <alignment horizontal="center"/>
    </xf>
    <xf numFmtId="0" fontId="58" fillId="39" borderId="22" xfId="0" applyFont="1" applyFill="1" applyBorder="1" applyAlignment="1">
      <alignment horizontal="center"/>
    </xf>
    <xf numFmtId="0" fontId="50" fillId="0" borderId="0" xfId="65" applyAlignment="1" applyProtection="1">
      <alignment horizontal="center"/>
    </xf>
    <xf numFmtId="0" fontId="63" fillId="40" borderId="9" xfId="0" applyFont="1" applyFill="1" applyBorder="1" applyAlignment="1">
      <alignment horizontal="center" vertical="center"/>
    </xf>
  </cellXfs>
  <cellStyles count="67">
    <cellStyle name="20% - Énfasis1 2" xfId="35"/>
    <cellStyle name="20% - Énfasis2 2" xfId="36"/>
    <cellStyle name="20% - Énfasis3 2" xfId="37"/>
    <cellStyle name="20% - Énfasis4 2" xfId="38"/>
    <cellStyle name="20% - Énfasis5 2" xfId="39"/>
    <cellStyle name="20% - Énfasis6 2" xfId="40"/>
    <cellStyle name="40% - Énfasis1 2" xfId="41"/>
    <cellStyle name="40% - Énfasis2 2" xfId="42"/>
    <cellStyle name="40% - Énfasis3 2" xfId="43"/>
    <cellStyle name="40% - Énfasis4 2" xfId="44"/>
    <cellStyle name="40% - Énfasis5 2" xfId="45"/>
    <cellStyle name="40% - Énfasis6 2" xfId="46"/>
    <cellStyle name="60% - Énfasis1" xfId="17" builtinId="32" customBuiltin="1"/>
    <cellStyle name="60% - Énfasis2" xfId="19" builtinId="36" customBuiltin="1"/>
    <cellStyle name="60% - Énfasis3" xfId="21" builtinId="40" customBuiltin="1"/>
    <cellStyle name="60% - Énfasis4" xfId="23" builtinId="44" customBuiltin="1"/>
    <cellStyle name="60% - Énfasis5" xfId="25" builtinId="48" customBuiltin="1"/>
    <cellStyle name="60% - Énfasis6" xfId="27" builtinId="52" customBuiltin="1"/>
    <cellStyle name="Buena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4" builtinId="19" customBuiltin="1"/>
    <cellStyle name="Énfasis1" xfId="16" builtinId="29" customBuiltin="1"/>
    <cellStyle name="Énfasis2" xfId="18" builtinId="33" customBuiltin="1"/>
    <cellStyle name="Énfasis3" xfId="20" builtinId="37" customBuiltin="1"/>
    <cellStyle name="Énfasis4" xfId="22" builtinId="41" customBuiltin="1"/>
    <cellStyle name="Énfasis5" xfId="24" builtinId="45" customBuiltin="1"/>
    <cellStyle name="Énfasis6" xfId="26" builtinId="49" customBuiltin="1"/>
    <cellStyle name="Entrada" xfId="8" builtinId="20" customBuiltin="1"/>
    <cellStyle name="Euro" xfId="28"/>
    <cellStyle name="Hipervínculo" xfId="65" builtinId="8"/>
    <cellStyle name="Hipervínculo 2" xfId="47"/>
    <cellStyle name="Hipervínculo visitado 2" xfId="48"/>
    <cellStyle name="Incorrecto" xfId="6" builtinId="27" customBuiltin="1"/>
    <cellStyle name="Millares" xfId="64" builtinId="3"/>
    <cellStyle name="Millares 2" xfId="32"/>
    <cellStyle name="Millares 2 2" xfId="50"/>
    <cellStyle name="Millares 2 3" xfId="63"/>
    <cellStyle name="Millares 3" xfId="49"/>
    <cellStyle name="Millares 4" xfId="61"/>
    <cellStyle name="Moneda" xfId="1" builtinId="4"/>
    <cellStyle name="Moneda 2" xfId="29"/>
    <cellStyle name="Moneda 3" xfId="62"/>
    <cellStyle name="Neutral" xfId="7" builtinId="28" customBuiltin="1"/>
    <cellStyle name="Normal" xfId="0" builtinId="0"/>
    <cellStyle name="Normal 2" xfId="30"/>
    <cellStyle name="Normal 2 2" xfId="51"/>
    <cellStyle name="Normal 3" xfId="31"/>
    <cellStyle name="Normal 3 2" xfId="52"/>
    <cellStyle name="Normal 4" xfId="53"/>
    <cellStyle name="Normal 5" xfId="54"/>
    <cellStyle name="Normal 6" xfId="55"/>
    <cellStyle name="Normal 7" xfId="34"/>
    <cellStyle name="Normal 8" xfId="60"/>
    <cellStyle name="Notas 2" xfId="56"/>
    <cellStyle name="Porcentaje" xfId="66" builtinId="5"/>
    <cellStyle name="Porcentaje 2" xfId="33"/>
    <cellStyle name="Porcentaje 2 2" xfId="58"/>
    <cellStyle name="Porcentaje 3" xfId="57"/>
    <cellStyle name="Salida" xfId="9" builtinId="21" customBuiltin="1"/>
    <cellStyle name="Texto de advertencia" xfId="13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59"/>
    <cellStyle name="Total" xfId="15" builtinId="25" customBuiltin="1"/>
  </cellStyles>
  <dxfs count="1">
    <dxf>
      <fill>
        <patternFill>
          <bgColor theme="0" tint="-0.14996795556505021"/>
        </patternFill>
      </fill>
    </dxf>
  </dxfs>
  <tableStyles count="1" defaultTableStyle="TableStyleMedium2" defaultPivotStyle="PivotStyleLight16">
    <tableStyle name="Estilo de tabla 1" pivot="0" count="1"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8"/>
    </mc:Choice>
    <mc:Fallback>
      <c:style val="38"/>
    </mc:Fallback>
  </mc:AlternateContent>
  <c:chart>
    <c:title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'Inversión Total'!$A$8</c:f>
              <c:strCache>
                <c:ptCount val="1"/>
                <c:pt idx="0">
                  <c:v>TOTAL INVERSIÓN</c:v>
                </c:pt>
              </c:strCache>
            </c:strRef>
          </c:tx>
          <c:invertIfNegative val="0"/>
          <c:cat>
            <c:strRef>
              <c:f>'Inversión Total'!$B$2:$F$4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'Inversión Total'!$B$8:$F$8</c:f>
              <c:numCache>
                <c:formatCode>_("$"\ * #,##0_);_("$"\ * \(#,##0\);_("$"\ * "-"??_);_(@_)</c:formatCode>
                <c:ptCount val="5"/>
                <c:pt idx="0">
                  <c:v>432723382.83333331</c:v>
                </c:pt>
                <c:pt idx="1">
                  <c:v>441499118.14666665</c:v>
                </c:pt>
                <c:pt idx="2">
                  <c:v>460159082.87253338</c:v>
                </c:pt>
                <c:pt idx="3">
                  <c:v>478565446.18743473</c:v>
                </c:pt>
                <c:pt idx="4">
                  <c:v>497708064.03493208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9982480"/>
        <c:axId val="279977384"/>
        <c:axId val="0"/>
      </c:bar3DChart>
      <c:catAx>
        <c:axId val="279982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77384"/>
        <c:crosses val="autoZero"/>
        <c:auto val="1"/>
        <c:lblAlgn val="ctr"/>
        <c:lblOffset val="100"/>
        <c:noMultiLvlLbl val="0"/>
      </c:catAx>
      <c:valAx>
        <c:axId val="279977384"/>
        <c:scaling>
          <c:orientation val="minMax"/>
        </c:scaling>
        <c:delete val="0"/>
        <c:axPos val="l"/>
        <c:majorGridlines/>
        <c:numFmt formatCode="_(&quot;$&quot;\ * #,##0_);_(&quot;$&quot;\ * \(#,##0\);_(&quot;$&quot;\ * &quot;-&quot;??_);_(@_)" sourceLinked="1"/>
        <c:majorTickMark val="out"/>
        <c:minorTickMark val="none"/>
        <c:tickLblPos val="nextTo"/>
        <c:crossAx val="279982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8099184970299"/>
          <c:y val="9.5419894375551248E-2"/>
          <c:w val="0.6301615798922795"/>
          <c:h val="0.72900899221916904"/>
        </c:manualLayout>
      </c:layout>
      <c:lineChart>
        <c:grouping val="standard"/>
        <c:varyColors val="0"/>
        <c:ser>
          <c:idx val="0"/>
          <c:order val="0"/>
          <c:tx>
            <c:strRef>
              <c:f>'Punto de Equilibrio Final'!$E$8</c:f>
              <c:strCache>
                <c:ptCount val="1"/>
                <c:pt idx="0">
                  <c:v>$ Ventas</c:v>
                </c:pt>
              </c:strCache>
            </c:strRef>
          </c:tx>
          <c:val>
            <c:numRef>
              <c:f>'Punto de Equilibrio Final'!$F$8:$I$8</c:f>
              <c:numCache>
                <c:formatCode>_("$"\ * #,##0_);_("$"\ * \(#,##0\);_("$"\ * "-"??_);_(@_)</c:formatCode>
                <c:ptCount val="4"/>
                <c:pt idx="0">
                  <c:v>0</c:v>
                </c:pt>
                <c:pt idx="1">
                  <c:v>8528625.5172125772</c:v>
                </c:pt>
                <c:pt idx="2">
                  <c:v>14776037.421052631</c:v>
                </c:pt>
                <c:pt idx="3">
                  <c:v>21070721.866054602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'Punto de Equilibrio Final'!$E$9</c:f>
              <c:strCache>
                <c:ptCount val="1"/>
                <c:pt idx="0">
                  <c:v>Costo Variable</c:v>
                </c:pt>
              </c:strCache>
            </c:strRef>
          </c:tx>
          <c:val>
            <c:numRef>
              <c:f>'Punto de Equilibrio Final'!$F$9:$I$9</c:f>
              <c:numCache>
                <c:formatCode>_("$"\ * #,##0_);_("$"\ * \(#,##0\);_("$"\ * "-"??_);_(@_)</c:formatCode>
                <c:ptCount val="4"/>
                <c:pt idx="0">
                  <c:v>0</c:v>
                </c:pt>
                <c:pt idx="1">
                  <c:v>4373654.1113910656</c:v>
                </c:pt>
                <c:pt idx="2">
                  <c:v>7577455.087719298</c:v>
                </c:pt>
                <c:pt idx="3">
                  <c:v>10805498.392848514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'Punto de Equilibrio Final'!$E$10</c:f>
              <c:strCache>
                <c:ptCount val="1"/>
                <c:pt idx="0">
                  <c:v>Costo Fijo</c:v>
                </c:pt>
              </c:strCache>
            </c:strRef>
          </c:tx>
          <c:val>
            <c:numRef>
              <c:f>'Punto de Equilibrio Final'!$F$10:$I$10</c:f>
              <c:numCache>
                <c:formatCode>_("$"\ * #,##0_);_("$"\ * \(#,##0\);_("$"\ * "-"??_);_(@_)</c:formatCode>
                <c:ptCount val="4"/>
                <c:pt idx="0">
                  <c:v>7198582.333333333</c:v>
                </c:pt>
                <c:pt idx="1">
                  <c:v>7198582.333333333</c:v>
                </c:pt>
                <c:pt idx="2">
                  <c:v>7198582.333333333</c:v>
                </c:pt>
                <c:pt idx="3">
                  <c:v>7198582.333333333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'Punto de Equilibrio Final'!$E$11</c:f>
              <c:strCache>
                <c:ptCount val="1"/>
                <c:pt idx="0">
                  <c:v>Costo Total</c:v>
                </c:pt>
              </c:strCache>
            </c:strRef>
          </c:tx>
          <c:val>
            <c:numRef>
              <c:f>'Punto de Equilibrio Final'!$F$11:$I$11</c:f>
              <c:numCache>
                <c:formatCode>_("$"\ * #,##0_);_("$"\ * \(#,##0\);_("$"\ * "-"??_);_(@_)</c:formatCode>
                <c:ptCount val="4"/>
                <c:pt idx="0">
                  <c:v>7198582.333333333</c:v>
                </c:pt>
                <c:pt idx="1">
                  <c:v>11572236.4447244</c:v>
                </c:pt>
                <c:pt idx="2">
                  <c:v>14776037.421052631</c:v>
                </c:pt>
                <c:pt idx="3">
                  <c:v>18004080.726181846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3656"/>
        <c:axId val="279982872"/>
      </c:lineChart>
      <c:catAx>
        <c:axId val="2799836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Cantidad (Q)</a:t>
                </a:r>
              </a:p>
            </c:rich>
          </c:tx>
          <c:layout>
            <c:manualLayout>
              <c:xMode val="edge"/>
              <c:yMode val="edge"/>
              <c:x val="0.39497307001795445"/>
              <c:y val="0.862597022700406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279982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982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Ventas ($)</a:t>
                </a:r>
              </a:p>
            </c:rich>
          </c:tx>
          <c:layout>
            <c:manualLayout>
              <c:xMode val="edge"/>
              <c:yMode val="edge"/>
              <c:x val="1.1878109099178512E-2"/>
              <c:y val="0.36510482748360951"/>
            </c:manualLayout>
          </c:layout>
          <c:overlay val="0"/>
          <c:spPr>
            <a:noFill/>
            <a:ln w="25400">
              <a:noFill/>
            </a:ln>
          </c:spPr>
        </c:title>
        <c:numFmt formatCode="_(&quot;$&quot;\ * #,##0_);_(&quot;$&quot;\ * \(#,##0\);_(&quot;$&quot;\ 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79983656"/>
        <c:crosses val="autoZero"/>
        <c:crossBetween val="between"/>
      </c:valAx>
      <c:spPr>
        <a:gradFill rotWithShape="1">
          <a:gsLst>
            <a:gs pos="0">
              <a:schemeClr val="accent5">
                <a:tint val="50000"/>
                <a:satMod val="300000"/>
              </a:schemeClr>
            </a:gs>
            <a:gs pos="35000">
              <a:schemeClr val="accent5">
                <a:tint val="37000"/>
                <a:satMod val="300000"/>
              </a:schemeClr>
            </a:gs>
            <a:gs pos="100000">
              <a:schemeClr val="accent5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legend>
      <c:legendPos val="r"/>
      <c:layout>
        <c:manualLayout>
          <c:xMode val="edge"/>
          <c:yMode val="edge"/>
          <c:x val="0.79353680430879714"/>
          <c:y val="0.27862635491174287"/>
          <c:w val="0.15607072800110514"/>
          <c:h val="0.39045427013930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5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000000000000111" r="0.75000000000000111" t="1" header="0" footer="0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85725</xdr:rowOff>
    </xdr:from>
    <xdr:to>
      <xdr:col>5</xdr:col>
      <xdr:colOff>752475</xdr:colOff>
      <xdr:row>26</xdr:row>
      <xdr:rowOff>57150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14</xdr:row>
      <xdr:rowOff>0</xdr:rowOff>
    </xdr:from>
    <xdr:to>
      <xdr:col>8</xdr:col>
      <xdr:colOff>742950</xdr:colOff>
      <xdr:row>28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123826</xdr:colOff>
      <xdr:row>3</xdr:row>
      <xdr:rowOff>57150</xdr:rowOff>
    </xdr:from>
    <xdr:to>
      <xdr:col>11</xdr:col>
      <xdr:colOff>981075</xdr:colOff>
      <xdr:row>26</xdr:row>
      <xdr:rowOff>76200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7258051" y="657225"/>
          <a:ext cx="1866899" cy="4095750"/>
        </a:xfrm>
        <a:prstGeom prst="foldedCorner">
          <a:avLst>
            <a:gd name="adj" fmla="val 12500"/>
          </a:avLst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900" b="1" i="0" u="sng" strike="noStrike">
              <a:solidFill>
                <a:srgbClr val="000000"/>
              </a:solidFill>
              <a:latin typeface="Arial"/>
              <a:cs typeface="Arial"/>
            </a:rPr>
            <a:t>Derivación de la fórmula: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Q = cantidad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Qe = cantidad de equilibrio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VT = ventas totales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VTe = ventas totales de equilibrio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CT = costes totales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Cu = coste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Pu = precio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Mu = margen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CV = costes variables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CF = costes fijos</a:t>
          </a:r>
        </a:p>
        <a:p>
          <a:pPr algn="l" rtl="1">
            <a:defRPr sz="1000"/>
          </a:pP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Arial"/>
              <a:cs typeface="Arial"/>
            </a:rPr>
            <a:t>VT - CT = 0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VT - CV - CF = 0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Pu * Q - Cu * Q - CF = 0</a:t>
          </a: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CF = Pu * Q - Cu * Q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CF = Q * (Pu-Cu)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CF = Q * Mu</a:t>
          </a:r>
        </a:p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Qe = CF / Mu</a:t>
          </a:r>
        </a:p>
        <a:p>
          <a:pPr algn="l" rtl="1">
            <a:defRPr sz="1000"/>
          </a:pPr>
          <a:endParaRPr lang="es-E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VTe = Qe * Pu</a:t>
          </a:r>
        </a:p>
        <a:p>
          <a:pPr algn="l" rtl="1">
            <a:defRPr sz="1000"/>
          </a:pPr>
          <a:endParaRPr lang="es-E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ITe = Qe * (Pu</a:t>
          </a:r>
          <a:endParaRPr lang="es-ES" sz="1000" b="0" i="0" strike="noStrike">
            <a:solidFill>
              <a:srgbClr val="000000"/>
            </a:solidFill>
            <a:latin typeface="Courier New"/>
            <a:cs typeface="Courier New"/>
          </a:endParaRPr>
        </a:p>
        <a:p>
          <a:pPr algn="l" rtl="1">
            <a:defRPr sz="1000"/>
          </a:pPr>
          <a:endParaRPr lang="es-ES" sz="1000" b="0" i="0" strike="noStrike">
            <a:solidFill>
              <a:srgbClr val="000000"/>
            </a:solidFill>
            <a:latin typeface="Courier New"/>
            <a:cs typeface="Courier New"/>
          </a:endParaRPr>
        </a:p>
        <a:p>
          <a:pPr algn="l" rtl="1">
            <a:defRPr sz="1000"/>
          </a:pPr>
          <a:endParaRPr lang="es-ES" sz="1000" b="0" i="0" strike="noStrike">
            <a:solidFill>
              <a:srgbClr val="00000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5</xdr:col>
      <xdr:colOff>9525</xdr:colOff>
      <xdr:row>18</xdr:row>
      <xdr:rowOff>152400</xdr:rowOff>
    </xdr:from>
    <xdr:to>
      <xdr:col>5</xdr:col>
      <xdr:colOff>285750</xdr:colOff>
      <xdr:row>20</xdr:row>
      <xdr:rowOff>76200</xdr:rowOff>
    </xdr:to>
    <xdr:sp macro="" textlink="">
      <xdr:nvSpPr>
        <xdr:cNvPr id="4" name="Oval 5"/>
        <xdr:cNvSpPr>
          <a:spLocks noChangeArrowheads="1"/>
        </xdr:cNvSpPr>
      </xdr:nvSpPr>
      <xdr:spPr bwMode="auto">
        <a:xfrm>
          <a:off x="3876675" y="3533775"/>
          <a:ext cx="276225" cy="247650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390525</xdr:colOff>
      <xdr:row>22</xdr:row>
      <xdr:rowOff>19050</xdr:rowOff>
    </xdr:from>
    <xdr:to>
      <xdr:col>2</xdr:col>
      <xdr:colOff>657225</xdr:colOff>
      <xdr:row>23</xdr:row>
      <xdr:rowOff>95250</xdr:rowOff>
    </xdr:to>
    <xdr:sp macro="" textlink="">
      <xdr:nvSpPr>
        <xdr:cNvPr id="5" name="Oval 6"/>
        <xdr:cNvSpPr>
          <a:spLocks noChangeArrowheads="1"/>
        </xdr:cNvSpPr>
      </xdr:nvSpPr>
      <xdr:spPr bwMode="auto">
        <a:xfrm>
          <a:off x="2552700" y="4048125"/>
          <a:ext cx="266700" cy="238125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tabSelected="1" workbookViewId="0">
      <selection activeCell="B5" sqref="B5"/>
    </sheetView>
  </sheetViews>
  <sheetFormatPr baseColWidth="10" defaultColWidth="11.42578125" defaultRowHeight="15" customHeight="1" x14ac:dyDescent="0.2"/>
  <cols>
    <col min="1" max="1" width="3.28515625" style="8" customWidth="1"/>
    <col min="2" max="2" width="67.7109375" style="8" customWidth="1"/>
    <col min="3" max="4" width="15.28515625" style="8" customWidth="1"/>
    <col min="5" max="5" width="15.140625" style="8" customWidth="1"/>
    <col min="6" max="6" width="16" style="8" customWidth="1"/>
    <col min="7" max="7" width="15.7109375" style="8" customWidth="1"/>
    <col min="8" max="8" width="15" style="8" customWidth="1"/>
    <col min="9" max="9" width="15.85546875" style="8" customWidth="1"/>
    <col min="10" max="10" width="13.42578125" style="8" customWidth="1"/>
    <col min="11" max="11" width="13.7109375" style="8" bestFit="1" customWidth="1"/>
    <col min="12" max="256" width="11.42578125" style="8"/>
    <col min="257" max="257" width="3.28515625" style="8" customWidth="1"/>
    <col min="258" max="258" width="67.7109375" style="8" customWidth="1"/>
    <col min="259" max="260" width="15.28515625" style="8" customWidth="1"/>
    <col min="261" max="261" width="15.140625" style="8" customWidth="1"/>
    <col min="262" max="262" width="14.5703125" style="8" customWidth="1"/>
    <col min="263" max="263" width="13.5703125" style="8" customWidth="1"/>
    <col min="264" max="264" width="11.85546875" style="8" customWidth="1"/>
    <col min="265" max="512" width="11.42578125" style="8"/>
    <col min="513" max="513" width="3.28515625" style="8" customWidth="1"/>
    <col min="514" max="514" width="67.7109375" style="8" customWidth="1"/>
    <col min="515" max="516" width="15.28515625" style="8" customWidth="1"/>
    <col min="517" max="517" width="15.140625" style="8" customWidth="1"/>
    <col min="518" max="518" width="14.5703125" style="8" customWidth="1"/>
    <col min="519" max="519" width="13.5703125" style="8" customWidth="1"/>
    <col min="520" max="520" width="11.85546875" style="8" customWidth="1"/>
    <col min="521" max="768" width="11.42578125" style="8"/>
    <col min="769" max="769" width="3.28515625" style="8" customWidth="1"/>
    <col min="770" max="770" width="67.7109375" style="8" customWidth="1"/>
    <col min="771" max="772" width="15.28515625" style="8" customWidth="1"/>
    <col min="773" max="773" width="15.140625" style="8" customWidth="1"/>
    <col min="774" max="774" width="14.5703125" style="8" customWidth="1"/>
    <col min="775" max="775" width="13.5703125" style="8" customWidth="1"/>
    <col min="776" max="776" width="11.85546875" style="8" customWidth="1"/>
    <col min="777" max="1024" width="11.42578125" style="8"/>
    <col min="1025" max="1025" width="3.28515625" style="8" customWidth="1"/>
    <col min="1026" max="1026" width="67.7109375" style="8" customWidth="1"/>
    <col min="1027" max="1028" width="15.28515625" style="8" customWidth="1"/>
    <col min="1029" max="1029" width="15.140625" style="8" customWidth="1"/>
    <col min="1030" max="1030" width="14.5703125" style="8" customWidth="1"/>
    <col min="1031" max="1031" width="13.5703125" style="8" customWidth="1"/>
    <col min="1032" max="1032" width="11.85546875" style="8" customWidth="1"/>
    <col min="1033" max="1280" width="11.42578125" style="8"/>
    <col min="1281" max="1281" width="3.28515625" style="8" customWidth="1"/>
    <col min="1282" max="1282" width="67.7109375" style="8" customWidth="1"/>
    <col min="1283" max="1284" width="15.28515625" style="8" customWidth="1"/>
    <col min="1285" max="1285" width="15.140625" style="8" customWidth="1"/>
    <col min="1286" max="1286" width="14.5703125" style="8" customWidth="1"/>
    <col min="1287" max="1287" width="13.5703125" style="8" customWidth="1"/>
    <col min="1288" max="1288" width="11.85546875" style="8" customWidth="1"/>
    <col min="1289" max="1536" width="11.42578125" style="8"/>
    <col min="1537" max="1537" width="3.28515625" style="8" customWidth="1"/>
    <col min="1538" max="1538" width="67.7109375" style="8" customWidth="1"/>
    <col min="1539" max="1540" width="15.28515625" style="8" customWidth="1"/>
    <col min="1541" max="1541" width="15.140625" style="8" customWidth="1"/>
    <col min="1542" max="1542" width="14.5703125" style="8" customWidth="1"/>
    <col min="1543" max="1543" width="13.5703125" style="8" customWidth="1"/>
    <col min="1544" max="1544" width="11.85546875" style="8" customWidth="1"/>
    <col min="1545" max="1792" width="11.42578125" style="8"/>
    <col min="1793" max="1793" width="3.28515625" style="8" customWidth="1"/>
    <col min="1794" max="1794" width="67.7109375" style="8" customWidth="1"/>
    <col min="1795" max="1796" width="15.28515625" style="8" customWidth="1"/>
    <col min="1797" max="1797" width="15.140625" style="8" customWidth="1"/>
    <col min="1798" max="1798" width="14.5703125" style="8" customWidth="1"/>
    <col min="1799" max="1799" width="13.5703125" style="8" customWidth="1"/>
    <col min="1800" max="1800" width="11.85546875" style="8" customWidth="1"/>
    <col min="1801" max="2048" width="11.42578125" style="8"/>
    <col min="2049" max="2049" width="3.28515625" style="8" customWidth="1"/>
    <col min="2050" max="2050" width="67.7109375" style="8" customWidth="1"/>
    <col min="2051" max="2052" width="15.28515625" style="8" customWidth="1"/>
    <col min="2053" max="2053" width="15.140625" style="8" customWidth="1"/>
    <col min="2054" max="2054" width="14.5703125" style="8" customWidth="1"/>
    <col min="2055" max="2055" width="13.5703125" style="8" customWidth="1"/>
    <col min="2056" max="2056" width="11.85546875" style="8" customWidth="1"/>
    <col min="2057" max="2304" width="11.42578125" style="8"/>
    <col min="2305" max="2305" width="3.28515625" style="8" customWidth="1"/>
    <col min="2306" max="2306" width="67.7109375" style="8" customWidth="1"/>
    <col min="2307" max="2308" width="15.28515625" style="8" customWidth="1"/>
    <col min="2309" max="2309" width="15.140625" style="8" customWidth="1"/>
    <col min="2310" max="2310" width="14.5703125" style="8" customWidth="1"/>
    <col min="2311" max="2311" width="13.5703125" style="8" customWidth="1"/>
    <col min="2312" max="2312" width="11.85546875" style="8" customWidth="1"/>
    <col min="2313" max="2560" width="11.42578125" style="8"/>
    <col min="2561" max="2561" width="3.28515625" style="8" customWidth="1"/>
    <col min="2562" max="2562" width="67.7109375" style="8" customWidth="1"/>
    <col min="2563" max="2564" width="15.28515625" style="8" customWidth="1"/>
    <col min="2565" max="2565" width="15.140625" style="8" customWidth="1"/>
    <col min="2566" max="2566" width="14.5703125" style="8" customWidth="1"/>
    <col min="2567" max="2567" width="13.5703125" style="8" customWidth="1"/>
    <col min="2568" max="2568" width="11.85546875" style="8" customWidth="1"/>
    <col min="2569" max="2816" width="11.42578125" style="8"/>
    <col min="2817" max="2817" width="3.28515625" style="8" customWidth="1"/>
    <col min="2818" max="2818" width="67.7109375" style="8" customWidth="1"/>
    <col min="2819" max="2820" width="15.28515625" style="8" customWidth="1"/>
    <col min="2821" max="2821" width="15.140625" style="8" customWidth="1"/>
    <col min="2822" max="2822" width="14.5703125" style="8" customWidth="1"/>
    <col min="2823" max="2823" width="13.5703125" style="8" customWidth="1"/>
    <col min="2824" max="2824" width="11.85546875" style="8" customWidth="1"/>
    <col min="2825" max="3072" width="11.42578125" style="8"/>
    <col min="3073" max="3073" width="3.28515625" style="8" customWidth="1"/>
    <col min="3074" max="3074" width="67.7109375" style="8" customWidth="1"/>
    <col min="3075" max="3076" width="15.28515625" style="8" customWidth="1"/>
    <col min="3077" max="3077" width="15.140625" style="8" customWidth="1"/>
    <col min="3078" max="3078" width="14.5703125" style="8" customWidth="1"/>
    <col min="3079" max="3079" width="13.5703125" style="8" customWidth="1"/>
    <col min="3080" max="3080" width="11.85546875" style="8" customWidth="1"/>
    <col min="3081" max="3328" width="11.42578125" style="8"/>
    <col min="3329" max="3329" width="3.28515625" style="8" customWidth="1"/>
    <col min="3330" max="3330" width="67.7109375" style="8" customWidth="1"/>
    <col min="3331" max="3332" width="15.28515625" style="8" customWidth="1"/>
    <col min="3333" max="3333" width="15.140625" style="8" customWidth="1"/>
    <col min="3334" max="3334" width="14.5703125" style="8" customWidth="1"/>
    <col min="3335" max="3335" width="13.5703125" style="8" customWidth="1"/>
    <col min="3336" max="3336" width="11.85546875" style="8" customWidth="1"/>
    <col min="3337" max="3584" width="11.42578125" style="8"/>
    <col min="3585" max="3585" width="3.28515625" style="8" customWidth="1"/>
    <col min="3586" max="3586" width="67.7109375" style="8" customWidth="1"/>
    <col min="3587" max="3588" width="15.28515625" style="8" customWidth="1"/>
    <col min="3589" max="3589" width="15.140625" style="8" customWidth="1"/>
    <col min="3590" max="3590" width="14.5703125" style="8" customWidth="1"/>
    <col min="3591" max="3591" width="13.5703125" style="8" customWidth="1"/>
    <col min="3592" max="3592" width="11.85546875" style="8" customWidth="1"/>
    <col min="3593" max="3840" width="11.42578125" style="8"/>
    <col min="3841" max="3841" width="3.28515625" style="8" customWidth="1"/>
    <col min="3842" max="3842" width="67.7109375" style="8" customWidth="1"/>
    <col min="3843" max="3844" width="15.28515625" style="8" customWidth="1"/>
    <col min="3845" max="3845" width="15.140625" style="8" customWidth="1"/>
    <col min="3846" max="3846" width="14.5703125" style="8" customWidth="1"/>
    <col min="3847" max="3847" width="13.5703125" style="8" customWidth="1"/>
    <col min="3848" max="3848" width="11.85546875" style="8" customWidth="1"/>
    <col min="3849" max="4096" width="11.42578125" style="8"/>
    <col min="4097" max="4097" width="3.28515625" style="8" customWidth="1"/>
    <col min="4098" max="4098" width="67.7109375" style="8" customWidth="1"/>
    <col min="4099" max="4100" width="15.28515625" style="8" customWidth="1"/>
    <col min="4101" max="4101" width="15.140625" style="8" customWidth="1"/>
    <col min="4102" max="4102" width="14.5703125" style="8" customWidth="1"/>
    <col min="4103" max="4103" width="13.5703125" style="8" customWidth="1"/>
    <col min="4104" max="4104" width="11.85546875" style="8" customWidth="1"/>
    <col min="4105" max="4352" width="11.42578125" style="8"/>
    <col min="4353" max="4353" width="3.28515625" style="8" customWidth="1"/>
    <col min="4354" max="4354" width="67.7109375" style="8" customWidth="1"/>
    <col min="4355" max="4356" width="15.28515625" style="8" customWidth="1"/>
    <col min="4357" max="4357" width="15.140625" style="8" customWidth="1"/>
    <col min="4358" max="4358" width="14.5703125" style="8" customWidth="1"/>
    <col min="4359" max="4359" width="13.5703125" style="8" customWidth="1"/>
    <col min="4360" max="4360" width="11.85546875" style="8" customWidth="1"/>
    <col min="4361" max="4608" width="11.42578125" style="8"/>
    <col min="4609" max="4609" width="3.28515625" style="8" customWidth="1"/>
    <col min="4610" max="4610" width="67.7109375" style="8" customWidth="1"/>
    <col min="4611" max="4612" width="15.28515625" style="8" customWidth="1"/>
    <col min="4613" max="4613" width="15.140625" style="8" customWidth="1"/>
    <col min="4614" max="4614" width="14.5703125" style="8" customWidth="1"/>
    <col min="4615" max="4615" width="13.5703125" style="8" customWidth="1"/>
    <col min="4616" max="4616" width="11.85546875" style="8" customWidth="1"/>
    <col min="4617" max="4864" width="11.42578125" style="8"/>
    <col min="4865" max="4865" width="3.28515625" style="8" customWidth="1"/>
    <col min="4866" max="4866" width="67.7109375" style="8" customWidth="1"/>
    <col min="4867" max="4868" width="15.28515625" style="8" customWidth="1"/>
    <col min="4869" max="4869" width="15.140625" style="8" customWidth="1"/>
    <col min="4870" max="4870" width="14.5703125" style="8" customWidth="1"/>
    <col min="4871" max="4871" width="13.5703125" style="8" customWidth="1"/>
    <col min="4872" max="4872" width="11.85546875" style="8" customWidth="1"/>
    <col min="4873" max="5120" width="11.42578125" style="8"/>
    <col min="5121" max="5121" width="3.28515625" style="8" customWidth="1"/>
    <col min="5122" max="5122" width="67.7109375" style="8" customWidth="1"/>
    <col min="5123" max="5124" width="15.28515625" style="8" customWidth="1"/>
    <col min="5125" max="5125" width="15.140625" style="8" customWidth="1"/>
    <col min="5126" max="5126" width="14.5703125" style="8" customWidth="1"/>
    <col min="5127" max="5127" width="13.5703125" style="8" customWidth="1"/>
    <col min="5128" max="5128" width="11.85546875" style="8" customWidth="1"/>
    <col min="5129" max="5376" width="11.42578125" style="8"/>
    <col min="5377" max="5377" width="3.28515625" style="8" customWidth="1"/>
    <col min="5378" max="5378" width="67.7109375" style="8" customWidth="1"/>
    <col min="5379" max="5380" width="15.28515625" style="8" customWidth="1"/>
    <col min="5381" max="5381" width="15.140625" style="8" customWidth="1"/>
    <col min="5382" max="5382" width="14.5703125" style="8" customWidth="1"/>
    <col min="5383" max="5383" width="13.5703125" style="8" customWidth="1"/>
    <col min="5384" max="5384" width="11.85546875" style="8" customWidth="1"/>
    <col min="5385" max="5632" width="11.42578125" style="8"/>
    <col min="5633" max="5633" width="3.28515625" style="8" customWidth="1"/>
    <col min="5634" max="5634" width="67.7109375" style="8" customWidth="1"/>
    <col min="5635" max="5636" width="15.28515625" style="8" customWidth="1"/>
    <col min="5637" max="5637" width="15.140625" style="8" customWidth="1"/>
    <col min="5638" max="5638" width="14.5703125" style="8" customWidth="1"/>
    <col min="5639" max="5639" width="13.5703125" style="8" customWidth="1"/>
    <col min="5640" max="5640" width="11.85546875" style="8" customWidth="1"/>
    <col min="5641" max="5888" width="11.42578125" style="8"/>
    <col min="5889" max="5889" width="3.28515625" style="8" customWidth="1"/>
    <col min="5890" max="5890" width="67.7109375" style="8" customWidth="1"/>
    <col min="5891" max="5892" width="15.28515625" style="8" customWidth="1"/>
    <col min="5893" max="5893" width="15.140625" style="8" customWidth="1"/>
    <col min="5894" max="5894" width="14.5703125" style="8" customWidth="1"/>
    <col min="5895" max="5895" width="13.5703125" style="8" customWidth="1"/>
    <col min="5896" max="5896" width="11.85546875" style="8" customWidth="1"/>
    <col min="5897" max="6144" width="11.42578125" style="8"/>
    <col min="6145" max="6145" width="3.28515625" style="8" customWidth="1"/>
    <col min="6146" max="6146" width="67.7109375" style="8" customWidth="1"/>
    <col min="6147" max="6148" width="15.28515625" style="8" customWidth="1"/>
    <col min="6149" max="6149" width="15.140625" style="8" customWidth="1"/>
    <col min="6150" max="6150" width="14.5703125" style="8" customWidth="1"/>
    <col min="6151" max="6151" width="13.5703125" style="8" customWidth="1"/>
    <col min="6152" max="6152" width="11.85546875" style="8" customWidth="1"/>
    <col min="6153" max="6400" width="11.42578125" style="8"/>
    <col min="6401" max="6401" width="3.28515625" style="8" customWidth="1"/>
    <col min="6402" max="6402" width="67.7109375" style="8" customWidth="1"/>
    <col min="6403" max="6404" width="15.28515625" style="8" customWidth="1"/>
    <col min="6405" max="6405" width="15.140625" style="8" customWidth="1"/>
    <col min="6406" max="6406" width="14.5703125" style="8" customWidth="1"/>
    <col min="6407" max="6407" width="13.5703125" style="8" customWidth="1"/>
    <col min="6408" max="6408" width="11.85546875" style="8" customWidth="1"/>
    <col min="6409" max="6656" width="11.42578125" style="8"/>
    <col min="6657" max="6657" width="3.28515625" style="8" customWidth="1"/>
    <col min="6658" max="6658" width="67.7109375" style="8" customWidth="1"/>
    <col min="6659" max="6660" width="15.28515625" style="8" customWidth="1"/>
    <col min="6661" max="6661" width="15.140625" style="8" customWidth="1"/>
    <col min="6662" max="6662" width="14.5703125" style="8" customWidth="1"/>
    <col min="6663" max="6663" width="13.5703125" style="8" customWidth="1"/>
    <col min="6664" max="6664" width="11.85546875" style="8" customWidth="1"/>
    <col min="6665" max="6912" width="11.42578125" style="8"/>
    <col min="6913" max="6913" width="3.28515625" style="8" customWidth="1"/>
    <col min="6914" max="6914" width="67.7109375" style="8" customWidth="1"/>
    <col min="6915" max="6916" width="15.28515625" style="8" customWidth="1"/>
    <col min="6917" max="6917" width="15.140625" style="8" customWidth="1"/>
    <col min="6918" max="6918" width="14.5703125" style="8" customWidth="1"/>
    <col min="6919" max="6919" width="13.5703125" style="8" customWidth="1"/>
    <col min="6920" max="6920" width="11.85546875" style="8" customWidth="1"/>
    <col min="6921" max="7168" width="11.42578125" style="8"/>
    <col min="7169" max="7169" width="3.28515625" style="8" customWidth="1"/>
    <col min="7170" max="7170" width="67.7109375" style="8" customWidth="1"/>
    <col min="7171" max="7172" width="15.28515625" style="8" customWidth="1"/>
    <col min="7173" max="7173" width="15.140625" style="8" customWidth="1"/>
    <col min="7174" max="7174" width="14.5703125" style="8" customWidth="1"/>
    <col min="7175" max="7175" width="13.5703125" style="8" customWidth="1"/>
    <col min="7176" max="7176" width="11.85546875" style="8" customWidth="1"/>
    <col min="7177" max="7424" width="11.42578125" style="8"/>
    <col min="7425" max="7425" width="3.28515625" style="8" customWidth="1"/>
    <col min="7426" max="7426" width="67.7109375" style="8" customWidth="1"/>
    <col min="7427" max="7428" width="15.28515625" style="8" customWidth="1"/>
    <col min="7429" max="7429" width="15.140625" style="8" customWidth="1"/>
    <col min="7430" max="7430" width="14.5703125" style="8" customWidth="1"/>
    <col min="7431" max="7431" width="13.5703125" style="8" customWidth="1"/>
    <col min="7432" max="7432" width="11.85546875" style="8" customWidth="1"/>
    <col min="7433" max="7680" width="11.42578125" style="8"/>
    <col min="7681" max="7681" width="3.28515625" style="8" customWidth="1"/>
    <col min="7682" max="7682" width="67.7109375" style="8" customWidth="1"/>
    <col min="7683" max="7684" width="15.28515625" style="8" customWidth="1"/>
    <col min="7685" max="7685" width="15.140625" style="8" customWidth="1"/>
    <col min="7686" max="7686" width="14.5703125" style="8" customWidth="1"/>
    <col min="7687" max="7687" width="13.5703125" style="8" customWidth="1"/>
    <col min="7688" max="7688" width="11.85546875" style="8" customWidth="1"/>
    <col min="7689" max="7936" width="11.42578125" style="8"/>
    <col min="7937" max="7937" width="3.28515625" style="8" customWidth="1"/>
    <col min="7938" max="7938" width="67.7109375" style="8" customWidth="1"/>
    <col min="7939" max="7940" width="15.28515625" style="8" customWidth="1"/>
    <col min="7941" max="7941" width="15.140625" style="8" customWidth="1"/>
    <col min="7942" max="7942" width="14.5703125" style="8" customWidth="1"/>
    <col min="7943" max="7943" width="13.5703125" style="8" customWidth="1"/>
    <col min="7944" max="7944" width="11.85546875" style="8" customWidth="1"/>
    <col min="7945" max="8192" width="11.42578125" style="8"/>
    <col min="8193" max="8193" width="3.28515625" style="8" customWidth="1"/>
    <col min="8194" max="8194" width="67.7109375" style="8" customWidth="1"/>
    <col min="8195" max="8196" width="15.28515625" style="8" customWidth="1"/>
    <col min="8197" max="8197" width="15.140625" style="8" customWidth="1"/>
    <col min="8198" max="8198" width="14.5703125" style="8" customWidth="1"/>
    <col min="8199" max="8199" width="13.5703125" style="8" customWidth="1"/>
    <col min="8200" max="8200" width="11.85546875" style="8" customWidth="1"/>
    <col min="8201" max="8448" width="11.42578125" style="8"/>
    <col min="8449" max="8449" width="3.28515625" style="8" customWidth="1"/>
    <col min="8450" max="8450" width="67.7109375" style="8" customWidth="1"/>
    <col min="8451" max="8452" width="15.28515625" style="8" customWidth="1"/>
    <col min="8453" max="8453" width="15.140625" style="8" customWidth="1"/>
    <col min="8454" max="8454" width="14.5703125" style="8" customWidth="1"/>
    <col min="8455" max="8455" width="13.5703125" style="8" customWidth="1"/>
    <col min="8456" max="8456" width="11.85546875" style="8" customWidth="1"/>
    <col min="8457" max="8704" width="11.42578125" style="8"/>
    <col min="8705" max="8705" width="3.28515625" style="8" customWidth="1"/>
    <col min="8706" max="8706" width="67.7109375" style="8" customWidth="1"/>
    <col min="8707" max="8708" width="15.28515625" style="8" customWidth="1"/>
    <col min="8709" max="8709" width="15.140625" style="8" customWidth="1"/>
    <col min="8710" max="8710" width="14.5703125" style="8" customWidth="1"/>
    <col min="8711" max="8711" width="13.5703125" style="8" customWidth="1"/>
    <col min="8712" max="8712" width="11.85546875" style="8" customWidth="1"/>
    <col min="8713" max="8960" width="11.42578125" style="8"/>
    <col min="8961" max="8961" width="3.28515625" style="8" customWidth="1"/>
    <col min="8962" max="8962" width="67.7109375" style="8" customWidth="1"/>
    <col min="8963" max="8964" width="15.28515625" style="8" customWidth="1"/>
    <col min="8965" max="8965" width="15.140625" style="8" customWidth="1"/>
    <col min="8966" max="8966" width="14.5703125" style="8" customWidth="1"/>
    <col min="8967" max="8967" width="13.5703125" style="8" customWidth="1"/>
    <col min="8968" max="8968" width="11.85546875" style="8" customWidth="1"/>
    <col min="8969" max="9216" width="11.42578125" style="8"/>
    <col min="9217" max="9217" width="3.28515625" style="8" customWidth="1"/>
    <col min="9218" max="9218" width="67.7109375" style="8" customWidth="1"/>
    <col min="9219" max="9220" width="15.28515625" style="8" customWidth="1"/>
    <col min="9221" max="9221" width="15.140625" style="8" customWidth="1"/>
    <col min="9222" max="9222" width="14.5703125" style="8" customWidth="1"/>
    <col min="9223" max="9223" width="13.5703125" style="8" customWidth="1"/>
    <col min="9224" max="9224" width="11.85546875" style="8" customWidth="1"/>
    <col min="9225" max="9472" width="11.42578125" style="8"/>
    <col min="9473" max="9473" width="3.28515625" style="8" customWidth="1"/>
    <col min="9474" max="9474" width="67.7109375" style="8" customWidth="1"/>
    <col min="9475" max="9476" width="15.28515625" style="8" customWidth="1"/>
    <col min="9477" max="9477" width="15.140625" style="8" customWidth="1"/>
    <col min="9478" max="9478" width="14.5703125" style="8" customWidth="1"/>
    <col min="9479" max="9479" width="13.5703125" style="8" customWidth="1"/>
    <col min="9480" max="9480" width="11.85546875" style="8" customWidth="1"/>
    <col min="9481" max="9728" width="11.42578125" style="8"/>
    <col min="9729" max="9729" width="3.28515625" style="8" customWidth="1"/>
    <col min="9730" max="9730" width="67.7109375" style="8" customWidth="1"/>
    <col min="9731" max="9732" width="15.28515625" style="8" customWidth="1"/>
    <col min="9733" max="9733" width="15.140625" style="8" customWidth="1"/>
    <col min="9734" max="9734" width="14.5703125" style="8" customWidth="1"/>
    <col min="9735" max="9735" width="13.5703125" style="8" customWidth="1"/>
    <col min="9736" max="9736" width="11.85546875" style="8" customWidth="1"/>
    <col min="9737" max="9984" width="11.42578125" style="8"/>
    <col min="9985" max="9985" width="3.28515625" style="8" customWidth="1"/>
    <col min="9986" max="9986" width="67.7109375" style="8" customWidth="1"/>
    <col min="9987" max="9988" width="15.28515625" style="8" customWidth="1"/>
    <col min="9989" max="9989" width="15.140625" style="8" customWidth="1"/>
    <col min="9990" max="9990" width="14.5703125" style="8" customWidth="1"/>
    <col min="9991" max="9991" width="13.5703125" style="8" customWidth="1"/>
    <col min="9992" max="9992" width="11.85546875" style="8" customWidth="1"/>
    <col min="9993" max="10240" width="11.42578125" style="8"/>
    <col min="10241" max="10241" width="3.28515625" style="8" customWidth="1"/>
    <col min="10242" max="10242" width="67.7109375" style="8" customWidth="1"/>
    <col min="10243" max="10244" width="15.28515625" style="8" customWidth="1"/>
    <col min="10245" max="10245" width="15.140625" style="8" customWidth="1"/>
    <col min="10246" max="10246" width="14.5703125" style="8" customWidth="1"/>
    <col min="10247" max="10247" width="13.5703125" style="8" customWidth="1"/>
    <col min="10248" max="10248" width="11.85546875" style="8" customWidth="1"/>
    <col min="10249" max="10496" width="11.42578125" style="8"/>
    <col min="10497" max="10497" width="3.28515625" style="8" customWidth="1"/>
    <col min="10498" max="10498" width="67.7109375" style="8" customWidth="1"/>
    <col min="10499" max="10500" width="15.28515625" style="8" customWidth="1"/>
    <col min="10501" max="10501" width="15.140625" style="8" customWidth="1"/>
    <col min="10502" max="10502" width="14.5703125" style="8" customWidth="1"/>
    <col min="10503" max="10503" width="13.5703125" style="8" customWidth="1"/>
    <col min="10504" max="10504" width="11.85546875" style="8" customWidth="1"/>
    <col min="10505" max="10752" width="11.42578125" style="8"/>
    <col min="10753" max="10753" width="3.28515625" style="8" customWidth="1"/>
    <col min="10754" max="10754" width="67.7109375" style="8" customWidth="1"/>
    <col min="10755" max="10756" width="15.28515625" style="8" customWidth="1"/>
    <col min="10757" max="10757" width="15.140625" style="8" customWidth="1"/>
    <col min="10758" max="10758" width="14.5703125" style="8" customWidth="1"/>
    <col min="10759" max="10759" width="13.5703125" style="8" customWidth="1"/>
    <col min="10760" max="10760" width="11.85546875" style="8" customWidth="1"/>
    <col min="10761" max="11008" width="11.42578125" style="8"/>
    <col min="11009" max="11009" width="3.28515625" style="8" customWidth="1"/>
    <col min="11010" max="11010" width="67.7109375" style="8" customWidth="1"/>
    <col min="11011" max="11012" width="15.28515625" style="8" customWidth="1"/>
    <col min="11013" max="11013" width="15.140625" style="8" customWidth="1"/>
    <col min="11014" max="11014" width="14.5703125" style="8" customWidth="1"/>
    <col min="11015" max="11015" width="13.5703125" style="8" customWidth="1"/>
    <col min="11016" max="11016" width="11.85546875" style="8" customWidth="1"/>
    <col min="11017" max="11264" width="11.42578125" style="8"/>
    <col min="11265" max="11265" width="3.28515625" style="8" customWidth="1"/>
    <col min="11266" max="11266" width="67.7109375" style="8" customWidth="1"/>
    <col min="11267" max="11268" width="15.28515625" style="8" customWidth="1"/>
    <col min="11269" max="11269" width="15.140625" style="8" customWidth="1"/>
    <col min="11270" max="11270" width="14.5703125" style="8" customWidth="1"/>
    <col min="11271" max="11271" width="13.5703125" style="8" customWidth="1"/>
    <col min="11272" max="11272" width="11.85546875" style="8" customWidth="1"/>
    <col min="11273" max="11520" width="11.42578125" style="8"/>
    <col min="11521" max="11521" width="3.28515625" style="8" customWidth="1"/>
    <col min="11522" max="11522" width="67.7109375" style="8" customWidth="1"/>
    <col min="11523" max="11524" width="15.28515625" style="8" customWidth="1"/>
    <col min="11525" max="11525" width="15.140625" style="8" customWidth="1"/>
    <col min="11526" max="11526" width="14.5703125" style="8" customWidth="1"/>
    <col min="11527" max="11527" width="13.5703125" style="8" customWidth="1"/>
    <col min="11528" max="11528" width="11.85546875" style="8" customWidth="1"/>
    <col min="11529" max="11776" width="11.42578125" style="8"/>
    <col min="11777" max="11777" width="3.28515625" style="8" customWidth="1"/>
    <col min="11778" max="11778" width="67.7109375" style="8" customWidth="1"/>
    <col min="11779" max="11780" width="15.28515625" style="8" customWidth="1"/>
    <col min="11781" max="11781" width="15.140625" style="8" customWidth="1"/>
    <col min="11782" max="11782" width="14.5703125" style="8" customWidth="1"/>
    <col min="11783" max="11783" width="13.5703125" style="8" customWidth="1"/>
    <col min="11784" max="11784" width="11.85546875" style="8" customWidth="1"/>
    <col min="11785" max="12032" width="11.42578125" style="8"/>
    <col min="12033" max="12033" width="3.28515625" style="8" customWidth="1"/>
    <col min="12034" max="12034" width="67.7109375" style="8" customWidth="1"/>
    <col min="12035" max="12036" width="15.28515625" style="8" customWidth="1"/>
    <col min="12037" max="12037" width="15.140625" style="8" customWidth="1"/>
    <col min="12038" max="12038" width="14.5703125" style="8" customWidth="1"/>
    <col min="12039" max="12039" width="13.5703125" style="8" customWidth="1"/>
    <col min="12040" max="12040" width="11.85546875" style="8" customWidth="1"/>
    <col min="12041" max="12288" width="11.42578125" style="8"/>
    <col min="12289" max="12289" width="3.28515625" style="8" customWidth="1"/>
    <col min="12290" max="12290" width="67.7109375" style="8" customWidth="1"/>
    <col min="12291" max="12292" width="15.28515625" style="8" customWidth="1"/>
    <col min="12293" max="12293" width="15.140625" style="8" customWidth="1"/>
    <col min="12294" max="12294" width="14.5703125" style="8" customWidth="1"/>
    <col min="12295" max="12295" width="13.5703125" style="8" customWidth="1"/>
    <col min="12296" max="12296" width="11.85546875" style="8" customWidth="1"/>
    <col min="12297" max="12544" width="11.42578125" style="8"/>
    <col min="12545" max="12545" width="3.28515625" style="8" customWidth="1"/>
    <col min="12546" max="12546" width="67.7109375" style="8" customWidth="1"/>
    <col min="12547" max="12548" width="15.28515625" style="8" customWidth="1"/>
    <col min="12549" max="12549" width="15.140625" style="8" customWidth="1"/>
    <col min="12550" max="12550" width="14.5703125" style="8" customWidth="1"/>
    <col min="12551" max="12551" width="13.5703125" style="8" customWidth="1"/>
    <col min="12552" max="12552" width="11.85546875" style="8" customWidth="1"/>
    <col min="12553" max="12800" width="11.42578125" style="8"/>
    <col min="12801" max="12801" width="3.28515625" style="8" customWidth="1"/>
    <col min="12802" max="12802" width="67.7109375" style="8" customWidth="1"/>
    <col min="12803" max="12804" width="15.28515625" style="8" customWidth="1"/>
    <col min="12805" max="12805" width="15.140625" style="8" customWidth="1"/>
    <col min="12806" max="12806" width="14.5703125" style="8" customWidth="1"/>
    <col min="12807" max="12807" width="13.5703125" style="8" customWidth="1"/>
    <col min="12808" max="12808" width="11.85546875" style="8" customWidth="1"/>
    <col min="12809" max="13056" width="11.42578125" style="8"/>
    <col min="13057" max="13057" width="3.28515625" style="8" customWidth="1"/>
    <col min="13058" max="13058" width="67.7109375" style="8" customWidth="1"/>
    <col min="13059" max="13060" width="15.28515625" style="8" customWidth="1"/>
    <col min="13061" max="13061" width="15.140625" style="8" customWidth="1"/>
    <col min="13062" max="13062" width="14.5703125" style="8" customWidth="1"/>
    <col min="13063" max="13063" width="13.5703125" style="8" customWidth="1"/>
    <col min="13064" max="13064" width="11.85546875" style="8" customWidth="1"/>
    <col min="13065" max="13312" width="11.42578125" style="8"/>
    <col min="13313" max="13313" width="3.28515625" style="8" customWidth="1"/>
    <col min="13314" max="13314" width="67.7109375" style="8" customWidth="1"/>
    <col min="13315" max="13316" width="15.28515625" style="8" customWidth="1"/>
    <col min="13317" max="13317" width="15.140625" style="8" customWidth="1"/>
    <col min="13318" max="13318" width="14.5703125" style="8" customWidth="1"/>
    <col min="13319" max="13319" width="13.5703125" style="8" customWidth="1"/>
    <col min="13320" max="13320" width="11.85546875" style="8" customWidth="1"/>
    <col min="13321" max="13568" width="11.42578125" style="8"/>
    <col min="13569" max="13569" width="3.28515625" style="8" customWidth="1"/>
    <col min="13570" max="13570" width="67.7109375" style="8" customWidth="1"/>
    <col min="13571" max="13572" width="15.28515625" style="8" customWidth="1"/>
    <col min="13573" max="13573" width="15.140625" style="8" customWidth="1"/>
    <col min="13574" max="13574" width="14.5703125" style="8" customWidth="1"/>
    <col min="13575" max="13575" width="13.5703125" style="8" customWidth="1"/>
    <col min="13576" max="13576" width="11.85546875" style="8" customWidth="1"/>
    <col min="13577" max="13824" width="11.42578125" style="8"/>
    <col min="13825" max="13825" width="3.28515625" style="8" customWidth="1"/>
    <col min="13826" max="13826" width="67.7109375" style="8" customWidth="1"/>
    <col min="13827" max="13828" width="15.28515625" style="8" customWidth="1"/>
    <col min="13829" max="13829" width="15.140625" style="8" customWidth="1"/>
    <col min="13830" max="13830" width="14.5703125" style="8" customWidth="1"/>
    <col min="13831" max="13831" width="13.5703125" style="8" customWidth="1"/>
    <col min="13832" max="13832" width="11.85546875" style="8" customWidth="1"/>
    <col min="13833" max="14080" width="11.42578125" style="8"/>
    <col min="14081" max="14081" width="3.28515625" style="8" customWidth="1"/>
    <col min="14082" max="14082" width="67.7109375" style="8" customWidth="1"/>
    <col min="14083" max="14084" width="15.28515625" style="8" customWidth="1"/>
    <col min="14085" max="14085" width="15.140625" style="8" customWidth="1"/>
    <col min="14086" max="14086" width="14.5703125" style="8" customWidth="1"/>
    <col min="14087" max="14087" width="13.5703125" style="8" customWidth="1"/>
    <col min="14088" max="14088" width="11.85546875" style="8" customWidth="1"/>
    <col min="14089" max="14336" width="11.42578125" style="8"/>
    <col min="14337" max="14337" width="3.28515625" style="8" customWidth="1"/>
    <col min="14338" max="14338" width="67.7109375" style="8" customWidth="1"/>
    <col min="14339" max="14340" width="15.28515625" style="8" customWidth="1"/>
    <col min="14341" max="14341" width="15.140625" style="8" customWidth="1"/>
    <col min="14342" max="14342" width="14.5703125" style="8" customWidth="1"/>
    <col min="14343" max="14343" width="13.5703125" style="8" customWidth="1"/>
    <col min="14344" max="14344" width="11.85546875" style="8" customWidth="1"/>
    <col min="14345" max="14592" width="11.42578125" style="8"/>
    <col min="14593" max="14593" width="3.28515625" style="8" customWidth="1"/>
    <col min="14594" max="14594" width="67.7109375" style="8" customWidth="1"/>
    <col min="14595" max="14596" width="15.28515625" style="8" customWidth="1"/>
    <col min="14597" max="14597" width="15.140625" style="8" customWidth="1"/>
    <col min="14598" max="14598" width="14.5703125" style="8" customWidth="1"/>
    <col min="14599" max="14599" width="13.5703125" style="8" customWidth="1"/>
    <col min="14600" max="14600" width="11.85546875" style="8" customWidth="1"/>
    <col min="14601" max="14848" width="11.42578125" style="8"/>
    <col min="14849" max="14849" width="3.28515625" style="8" customWidth="1"/>
    <col min="14850" max="14850" width="67.7109375" style="8" customWidth="1"/>
    <col min="14851" max="14852" width="15.28515625" style="8" customWidth="1"/>
    <col min="14853" max="14853" width="15.140625" style="8" customWidth="1"/>
    <col min="14854" max="14854" width="14.5703125" style="8" customWidth="1"/>
    <col min="14855" max="14855" width="13.5703125" style="8" customWidth="1"/>
    <col min="14856" max="14856" width="11.85546875" style="8" customWidth="1"/>
    <col min="14857" max="15104" width="11.42578125" style="8"/>
    <col min="15105" max="15105" width="3.28515625" style="8" customWidth="1"/>
    <col min="15106" max="15106" width="67.7109375" style="8" customWidth="1"/>
    <col min="15107" max="15108" width="15.28515625" style="8" customWidth="1"/>
    <col min="15109" max="15109" width="15.140625" style="8" customWidth="1"/>
    <col min="15110" max="15110" width="14.5703125" style="8" customWidth="1"/>
    <col min="15111" max="15111" width="13.5703125" style="8" customWidth="1"/>
    <col min="15112" max="15112" width="11.85546875" style="8" customWidth="1"/>
    <col min="15113" max="15360" width="11.42578125" style="8"/>
    <col min="15361" max="15361" width="3.28515625" style="8" customWidth="1"/>
    <col min="15362" max="15362" width="67.7109375" style="8" customWidth="1"/>
    <col min="15363" max="15364" width="15.28515625" style="8" customWidth="1"/>
    <col min="15365" max="15365" width="15.140625" style="8" customWidth="1"/>
    <col min="15366" max="15366" width="14.5703125" style="8" customWidth="1"/>
    <col min="15367" max="15367" width="13.5703125" style="8" customWidth="1"/>
    <col min="15368" max="15368" width="11.85546875" style="8" customWidth="1"/>
    <col min="15369" max="15616" width="11.42578125" style="8"/>
    <col min="15617" max="15617" width="3.28515625" style="8" customWidth="1"/>
    <col min="15618" max="15618" width="67.7109375" style="8" customWidth="1"/>
    <col min="15619" max="15620" width="15.28515625" style="8" customWidth="1"/>
    <col min="15621" max="15621" width="15.140625" style="8" customWidth="1"/>
    <col min="15622" max="15622" width="14.5703125" style="8" customWidth="1"/>
    <col min="15623" max="15623" width="13.5703125" style="8" customWidth="1"/>
    <col min="15624" max="15624" width="11.85546875" style="8" customWidth="1"/>
    <col min="15625" max="15872" width="11.42578125" style="8"/>
    <col min="15873" max="15873" width="3.28515625" style="8" customWidth="1"/>
    <col min="15874" max="15874" width="67.7109375" style="8" customWidth="1"/>
    <col min="15875" max="15876" width="15.28515625" style="8" customWidth="1"/>
    <col min="15877" max="15877" width="15.140625" style="8" customWidth="1"/>
    <col min="15878" max="15878" width="14.5703125" style="8" customWidth="1"/>
    <col min="15879" max="15879" width="13.5703125" style="8" customWidth="1"/>
    <col min="15880" max="15880" width="11.85546875" style="8" customWidth="1"/>
    <col min="15881" max="16128" width="11.42578125" style="8"/>
    <col min="16129" max="16129" width="3.28515625" style="8" customWidth="1"/>
    <col min="16130" max="16130" width="67.7109375" style="8" customWidth="1"/>
    <col min="16131" max="16132" width="15.28515625" style="8" customWidth="1"/>
    <col min="16133" max="16133" width="15.140625" style="8" customWidth="1"/>
    <col min="16134" max="16134" width="14.5703125" style="8" customWidth="1"/>
    <col min="16135" max="16135" width="13.5703125" style="8" customWidth="1"/>
    <col min="16136" max="16136" width="11.85546875" style="8" customWidth="1"/>
    <col min="16137" max="16384" width="11.42578125" style="8"/>
  </cols>
  <sheetData>
    <row r="1" spans="1:12" ht="13.5" thickBot="1" x14ac:dyDescent="0.25">
      <c r="A1" s="134"/>
      <c r="B1" s="135" t="s">
        <v>202</v>
      </c>
      <c r="C1" s="133"/>
      <c r="D1" s="133"/>
      <c r="E1" s="133"/>
    </row>
    <row r="2" spans="1:12" ht="24" customHeight="1" thickBot="1" x14ac:dyDescent="0.25">
      <c r="A2" s="146" t="s">
        <v>24</v>
      </c>
      <c r="B2" s="154" t="s">
        <v>28</v>
      </c>
      <c r="C2" s="150" t="s">
        <v>29</v>
      </c>
      <c r="D2" s="139" t="s">
        <v>2</v>
      </c>
      <c r="E2" s="140" t="s">
        <v>68</v>
      </c>
      <c r="F2" s="133"/>
    </row>
    <row r="3" spans="1:12" ht="12.75" x14ac:dyDescent="0.2">
      <c r="A3" s="147">
        <v>1</v>
      </c>
      <c r="B3" s="155" t="s">
        <v>55</v>
      </c>
      <c r="C3" s="151">
        <v>1</v>
      </c>
      <c r="D3" s="137">
        <v>300000</v>
      </c>
      <c r="E3" s="138">
        <f>D3*C3</f>
        <v>300000</v>
      </c>
      <c r="F3" s="134"/>
    </row>
    <row r="4" spans="1:12" ht="12.75" x14ac:dyDescent="0.2">
      <c r="A4" s="148">
        <v>2</v>
      </c>
      <c r="B4" s="156" t="s">
        <v>56</v>
      </c>
      <c r="C4" s="152">
        <v>1</v>
      </c>
      <c r="D4" s="15">
        <v>30000</v>
      </c>
      <c r="E4" s="136">
        <f t="shared" ref="E4:E6" si="0">D4*C4</f>
        <v>30000</v>
      </c>
      <c r="F4" s="134"/>
    </row>
    <row r="5" spans="1:12" ht="12.75" x14ac:dyDescent="0.2">
      <c r="A5" s="148">
        <v>3</v>
      </c>
      <c r="B5" s="156" t="s">
        <v>57</v>
      </c>
      <c r="C5" s="152">
        <v>0</v>
      </c>
      <c r="D5" s="15">
        <v>0</v>
      </c>
      <c r="E5" s="136">
        <f t="shared" si="0"/>
        <v>0</v>
      </c>
      <c r="F5" s="134"/>
    </row>
    <row r="6" spans="1:12" ht="13.5" thickBot="1" x14ac:dyDescent="0.25">
      <c r="A6" s="149">
        <v>4</v>
      </c>
      <c r="B6" s="157" t="s">
        <v>58</v>
      </c>
      <c r="C6" s="153">
        <v>0</v>
      </c>
      <c r="D6" s="144">
        <v>0</v>
      </c>
      <c r="E6" s="145">
        <f t="shared" si="0"/>
        <v>0</v>
      </c>
      <c r="F6" s="134"/>
    </row>
    <row r="7" spans="1:12" ht="13.5" thickBot="1" x14ac:dyDescent="0.25">
      <c r="A7" s="141"/>
      <c r="B7" s="398" t="s">
        <v>1</v>
      </c>
      <c r="C7" s="399"/>
      <c r="D7" s="142">
        <f>SUM(D3:D6)</f>
        <v>330000</v>
      </c>
      <c r="E7" s="143">
        <f>SUM(E3:E6)</f>
        <v>330000</v>
      </c>
      <c r="F7" s="134"/>
    </row>
    <row r="9" spans="1:12" ht="13.5" thickBot="1" x14ac:dyDescent="0.25">
      <c r="A9" s="134"/>
      <c r="B9" s="158" t="s">
        <v>67</v>
      </c>
      <c r="C9" s="133"/>
      <c r="D9" s="133"/>
      <c r="E9" s="133"/>
    </row>
    <row r="10" spans="1:12" ht="24" customHeight="1" thickBot="1" x14ac:dyDescent="0.25">
      <c r="A10" s="146" t="s">
        <v>24</v>
      </c>
      <c r="B10" s="154" t="s">
        <v>28</v>
      </c>
      <c r="C10" s="150" t="s">
        <v>29</v>
      </c>
      <c r="D10" s="139" t="s">
        <v>2</v>
      </c>
      <c r="E10" s="140" t="s">
        <v>68</v>
      </c>
      <c r="F10"/>
      <c r="G10"/>
      <c r="H10"/>
      <c r="I10"/>
      <c r="J10"/>
      <c r="K10"/>
      <c r="L10"/>
    </row>
    <row r="11" spans="1:12" s="9" customFormat="1" ht="12.75" x14ac:dyDescent="0.2">
      <c r="A11" s="162">
        <v>1</v>
      </c>
      <c r="B11" s="167" t="s">
        <v>35</v>
      </c>
      <c r="C11" s="164">
        <v>2</v>
      </c>
      <c r="D11" s="137">
        <v>15000</v>
      </c>
      <c r="E11" s="160">
        <f>+C11*D11</f>
        <v>30000</v>
      </c>
      <c r="F11"/>
      <c r="G11"/>
      <c r="H11"/>
      <c r="I11"/>
      <c r="J11"/>
      <c r="K11"/>
      <c r="L11"/>
    </row>
    <row r="12" spans="1:12" s="9" customFormat="1" ht="12.75" x14ac:dyDescent="0.2">
      <c r="A12" s="163">
        <v>2</v>
      </c>
      <c r="B12" s="168" t="s">
        <v>36</v>
      </c>
      <c r="C12" s="165">
        <v>20</v>
      </c>
      <c r="D12" s="15">
        <v>20000</v>
      </c>
      <c r="E12" s="161">
        <f t="shared" ref="E12:E14" si="1">+C12*D12</f>
        <v>400000</v>
      </c>
      <c r="F12"/>
      <c r="G12"/>
      <c r="H12"/>
      <c r="I12"/>
      <c r="J12"/>
      <c r="K12"/>
      <c r="L12"/>
    </row>
    <row r="13" spans="1:12" ht="12.75" customHeight="1" x14ac:dyDescent="0.2">
      <c r="A13" s="163">
        <v>3</v>
      </c>
      <c r="B13" s="168" t="s">
        <v>41</v>
      </c>
      <c r="C13" s="166">
        <v>0</v>
      </c>
      <c r="D13" s="6">
        <v>0</v>
      </c>
      <c r="E13" s="161">
        <f t="shared" si="1"/>
        <v>0</v>
      </c>
      <c r="F13"/>
      <c r="G13"/>
      <c r="H13"/>
      <c r="I13"/>
      <c r="J13"/>
      <c r="K13"/>
      <c r="L13"/>
    </row>
    <row r="14" spans="1:12" ht="12.75" customHeight="1" x14ac:dyDescent="0.2">
      <c r="A14" s="163">
        <v>4</v>
      </c>
      <c r="B14" s="168" t="s">
        <v>42</v>
      </c>
      <c r="C14" s="166">
        <v>3000</v>
      </c>
      <c r="D14" s="6">
        <v>50</v>
      </c>
      <c r="E14" s="161">
        <f t="shared" si="1"/>
        <v>150000</v>
      </c>
      <c r="F14"/>
      <c r="G14"/>
      <c r="H14"/>
      <c r="I14"/>
      <c r="J14"/>
      <c r="K14"/>
      <c r="L14"/>
    </row>
    <row r="15" spans="1:12" ht="12.75" customHeight="1" x14ac:dyDescent="0.2">
      <c r="A15" s="163">
        <v>5</v>
      </c>
      <c r="B15" s="168" t="s">
        <v>45</v>
      </c>
      <c r="C15" s="166">
        <v>2</v>
      </c>
      <c r="D15" s="6">
        <v>5000</v>
      </c>
      <c r="E15" s="161">
        <f>+C15*D15</f>
        <v>10000</v>
      </c>
      <c r="F15"/>
      <c r="G15"/>
      <c r="H15"/>
      <c r="I15"/>
      <c r="J15"/>
      <c r="K15"/>
      <c r="L15"/>
    </row>
    <row r="16" spans="1:12" ht="12.75" customHeight="1" thickBot="1" x14ac:dyDescent="0.25">
      <c r="A16" s="163">
        <v>6</v>
      </c>
      <c r="B16" s="171" t="s">
        <v>44</v>
      </c>
      <c r="C16" s="172">
        <v>2</v>
      </c>
      <c r="D16" s="173">
        <v>10000</v>
      </c>
      <c r="E16" s="174">
        <f>+C16*D16</f>
        <v>20000</v>
      </c>
      <c r="F16"/>
      <c r="G16"/>
      <c r="H16"/>
      <c r="I16"/>
      <c r="J16"/>
      <c r="K16"/>
      <c r="L16"/>
    </row>
    <row r="17" spans="1:12" ht="13.5" thickBot="1" x14ac:dyDescent="0.25">
      <c r="A17" s="170"/>
      <c r="B17" s="400" t="s">
        <v>1</v>
      </c>
      <c r="C17" s="401"/>
      <c r="D17" s="175">
        <f>SUM(D11:D16)</f>
        <v>50050</v>
      </c>
      <c r="E17" s="176">
        <f>SUM(E11:E16)</f>
        <v>610000</v>
      </c>
      <c r="F17"/>
      <c r="G17"/>
      <c r="H17"/>
      <c r="I17"/>
      <c r="J17"/>
      <c r="K17"/>
      <c r="L17"/>
    </row>
    <row r="18" spans="1:12" ht="12.75" x14ac:dyDescent="0.2">
      <c r="A18" s="159"/>
      <c r="B18" s="133"/>
      <c r="C18" s="159"/>
      <c r="D18" s="159"/>
      <c r="E18" s="159"/>
    </row>
    <row r="19" spans="1:12" ht="12.75" x14ac:dyDescent="0.2">
      <c r="A19" s="134"/>
      <c r="B19" s="158" t="s">
        <v>179</v>
      </c>
      <c r="C19" s="133"/>
      <c r="D19" s="133"/>
      <c r="E19"/>
    </row>
    <row r="20" spans="1:12" ht="24" customHeight="1" x14ac:dyDescent="0.2">
      <c r="A20" s="350" t="s">
        <v>24</v>
      </c>
      <c r="B20" s="350" t="s">
        <v>28</v>
      </c>
      <c r="C20" s="350" t="s">
        <v>29</v>
      </c>
      <c r="D20" s="350" t="s">
        <v>2</v>
      </c>
      <c r="E20" s="350" t="s">
        <v>68</v>
      </c>
      <c r="F20"/>
      <c r="G20"/>
      <c r="H20"/>
      <c r="I20"/>
      <c r="J20"/>
      <c r="K20"/>
      <c r="L20"/>
    </row>
    <row r="21" spans="1:12" ht="12.75" x14ac:dyDescent="0.2">
      <c r="A21" s="347">
        <v>1</v>
      </c>
      <c r="B21" s="348" t="s">
        <v>106</v>
      </c>
      <c r="C21" s="347">
        <v>1</v>
      </c>
      <c r="D21" s="349">
        <v>900000</v>
      </c>
      <c r="E21" s="351">
        <f>D21*C21</f>
        <v>900000</v>
      </c>
    </row>
    <row r="22" spans="1:12" ht="12.75" x14ac:dyDescent="0.2">
      <c r="A22" s="347">
        <v>2</v>
      </c>
      <c r="B22" s="348" t="s">
        <v>107</v>
      </c>
      <c r="C22" s="347">
        <v>1</v>
      </c>
      <c r="D22" s="349">
        <v>700000</v>
      </c>
      <c r="E22" s="351">
        <f t="shared" ref="E22:E33" si="2">D22*C22</f>
        <v>700000</v>
      </c>
    </row>
    <row r="23" spans="1:12" ht="12.75" x14ac:dyDescent="0.2">
      <c r="A23" s="347">
        <v>3</v>
      </c>
      <c r="B23" s="348" t="s">
        <v>212</v>
      </c>
      <c r="C23" s="347">
        <v>3</v>
      </c>
      <c r="D23" s="349">
        <v>150000</v>
      </c>
      <c r="E23" s="351">
        <f t="shared" si="2"/>
        <v>450000</v>
      </c>
    </row>
    <row r="24" spans="1:12" ht="12.75" x14ac:dyDescent="0.2">
      <c r="A24" s="347">
        <v>4</v>
      </c>
      <c r="B24" s="348" t="s">
        <v>211</v>
      </c>
      <c r="C24" s="347">
        <v>2</v>
      </c>
      <c r="D24" s="349">
        <v>45000</v>
      </c>
      <c r="E24" s="351">
        <f t="shared" si="2"/>
        <v>90000</v>
      </c>
    </row>
    <row r="25" spans="1:12" ht="12.75" x14ac:dyDescent="0.2">
      <c r="A25" s="347">
        <v>5</v>
      </c>
      <c r="B25" s="348" t="s">
        <v>108</v>
      </c>
      <c r="C25" s="347">
        <v>0</v>
      </c>
      <c r="D25" s="349"/>
      <c r="E25" s="351">
        <f t="shared" si="2"/>
        <v>0</v>
      </c>
    </row>
    <row r="26" spans="1:12" s="9" customFormat="1" ht="12.75" x14ac:dyDescent="0.2">
      <c r="A26" s="347">
        <v>6</v>
      </c>
      <c r="B26" s="348" t="s">
        <v>109</v>
      </c>
      <c r="C26" s="347">
        <v>4</v>
      </c>
      <c r="D26" s="349">
        <v>50000</v>
      </c>
      <c r="E26" s="351">
        <f t="shared" si="2"/>
        <v>200000</v>
      </c>
      <c r="F26"/>
      <c r="G26"/>
      <c r="H26"/>
      <c r="I26"/>
      <c r="J26"/>
      <c r="K26"/>
      <c r="L26"/>
    </row>
    <row r="27" spans="1:12" s="9" customFormat="1" ht="12.75" x14ac:dyDescent="0.2">
      <c r="A27" s="347">
        <v>7</v>
      </c>
      <c r="B27" s="348" t="s">
        <v>110</v>
      </c>
      <c r="C27" s="347">
        <v>1</v>
      </c>
      <c r="D27" s="349">
        <v>25000</v>
      </c>
      <c r="E27" s="351">
        <f t="shared" si="2"/>
        <v>25000</v>
      </c>
      <c r="F27"/>
      <c r="G27"/>
      <c r="H27"/>
      <c r="I27"/>
      <c r="J27"/>
      <c r="K27"/>
      <c r="L27"/>
    </row>
    <row r="28" spans="1:12" s="9" customFormat="1" ht="12.75" x14ac:dyDescent="0.2">
      <c r="A28" s="347">
        <v>8</v>
      </c>
      <c r="B28" s="348" t="s">
        <v>204</v>
      </c>
      <c r="C28" s="347">
        <v>1</v>
      </c>
      <c r="D28" s="349">
        <v>700000</v>
      </c>
      <c r="E28" s="351">
        <f t="shared" si="2"/>
        <v>700000</v>
      </c>
      <c r="F28"/>
      <c r="G28"/>
      <c r="H28"/>
      <c r="I28"/>
      <c r="J28"/>
      <c r="K28"/>
      <c r="L28"/>
    </row>
    <row r="29" spans="1:12" s="9" customFormat="1" ht="12.75" x14ac:dyDescent="0.2">
      <c r="A29" s="347">
        <v>9</v>
      </c>
      <c r="B29" s="348" t="s">
        <v>205</v>
      </c>
      <c r="C29" s="347">
        <v>2</v>
      </c>
      <c r="D29" s="349">
        <v>950000</v>
      </c>
      <c r="E29" s="351">
        <f t="shared" si="2"/>
        <v>1900000</v>
      </c>
      <c r="F29"/>
      <c r="G29"/>
      <c r="H29"/>
      <c r="I29"/>
      <c r="J29"/>
      <c r="K29"/>
      <c r="L29"/>
    </row>
    <row r="30" spans="1:12" s="9" customFormat="1" ht="12.75" x14ac:dyDescent="0.2">
      <c r="A30" s="347">
        <v>10</v>
      </c>
      <c r="B30" s="348" t="s">
        <v>206</v>
      </c>
      <c r="C30" s="347">
        <v>1</v>
      </c>
      <c r="D30" s="349">
        <v>1180000</v>
      </c>
      <c r="E30" s="351">
        <f t="shared" si="2"/>
        <v>1180000</v>
      </c>
      <c r="F30"/>
      <c r="G30"/>
      <c r="H30"/>
      <c r="I30"/>
      <c r="J30"/>
      <c r="K30"/>
      <c r="L30"/>
    </row>
    <row r="31" spans="1:12" s="9" customFormat="1" ht="12.75" x14ac:dyDescent="0.2">
      <c r="A31" s="347">
        <v>11</v>
      </c>
      <c r="B31" s="348" t="s">
        <v>207</v>
      </c>
      <c r="C31" s="347">
        <v>1</v>
      </c>
      <c r="D31" s="349">
        <v>1100000</v>
      </c>
      <c r="E31" s="351">
        <f t="shared" si="2"/>
        <v>1100000</v>
      </c>
      <c r="F31"/>
      <c r="G31"/>
      <c r="H31"/>
      <c r="I31"/>
      <c r="J31"/>
      <c r="K31"/>
      <c r="L31"/>
    </row>
    <row r="32" spans="1:12" s="9" customFormat="1" ht="12.75" x14ac:dyDescent="0.2">
      <c r="A32" s="347">
        <v>13</v>
      </c>
      <c r="B32" s="348" t="s">
        <v>208</v>
      </c>
      <c r="C32" s="347">
        <v>1</v>
      </c>
      <c r="D32" s="349">
        <v>400000</v>
      </c>
      <c r="E32" s="351">
        <f t="shared" si="2"/>
        <v>400000</v>
      </c>
      <c r="F32"/>
      <c r="G32"/>
      <c r="H32"/>
      <c r="I32"/>
      <c r="J32"/>
      <c r="K32"/>
      <c r="L32"/>
    </row>
    <row r="33" spans="1:12" s="9" customFormat="1" ht="12.75" x14ac:dyDescent="0.2">
      <c r="A33" s="347">
        <v>14</v>
      </c>
      <c r="B33" s="348" t="s">
        <v>209</v>
      </c>
      <c r="C33" s="347">
        <v>1</v>
      </c>
      <c r="D33" s="349">
        <v>230000</v>
      </c>
      <c r="E33" s="351">
        <f t="shared" si="2"/>
        <v>230000</v>
      </c>
      <c r="F33"/>
      <c r="G33"/>
      <c r="H33"/>
      <c r="I33"/>
      <c r="J33"/>
      <c r="K33"/>
      <c r="L33"/>
    </row>
    <row r="34" spans="1:12" ht="12.75" x14ac:dyDescent="0.2">
      <c r="A34" s="352"/>
      <c r="B34" s="404" t="s">
        <v>1</v>
      </c>
      <c r="C34" s="404"/>
      <c r="D34" s="353">
        <f>SUM(D21:D33)</f>
        <v>6430000</v>
      </c>
      <c r="E34" s="353">
        <f>SUM(E21:E33)</f>
        <v>7875000</v>
      </c>
      <c r="F34"/>
      <c r="G34"/>
      <c r="H34"/>
      <c r="I34"/>
      <c r="J34"/>
      <c r="K34">
        <f>21*30</f>
        <v>630</v>
      </c>
      <c r="L34"/>
    </row>
    <row r="35" spans="1:12" ht="20.25" customHeight="1" x14ac:dyDescent="0.2">
      <c r="A35" s="159"/>
      <c r="B35" s="133"/>
      <c r="C35" s="159"/>
      <c r="D35" s="159"/>
      <c r="E35"/>
    </row>
    <row r="36" spans="1:12" ht="13.5" thickBot="1" x14ac:dyDescent="0.25">
      <c r="A36" s="134"/>
      <c r="B36" s="158" t="s">
        <v>70</v>
      </c>
      <c r="C36" s="133"/>
      <c r="D36" s="133"/>
      <c r="E36"/>
    </row>
    <row r="37" spans="1:12" ht="13.5" thickBot="1" x14ac:dyDescent="0.25">
      <c r="A37" s="315" t="s">
        <v>24</v>
      </c>
      <c r="B37" s="308" t="s">
        <v>28</v>
      </c>
      <c r="C37" s="309" t="s">
        <v>29</v>
      </c>
      <c r="D37" s="310" t="s">
        <v>2</v>
      </c>
      <c r="E37" s="311" t="s">
        <v>68</v>
      </c>
      <c r="F37"/>
      <c r="G37"/>
      <c r="H37"/>
      <c r="I37"/>
      <c r="J37"/>
      <c r="K37"/>
      <c r="L37"/>
    </row>
    <row r="38" spans="1:12" ht="12.75" x14ac:dyDescent="0.2">
      <c r="A38" s="162">
        <v>1</v>
      </c>
      <c r="B38" s="167" t="s">
        <v>71</v>
      </c>
      <c r="C38" s="362">
        <f>+Ingresos!B4</f>
        <v>1017.6908333333334</v>
      </c>
      <c r="D38" s="178">
        <f>+'Costos Totales por Año'!G16/Inversión!C38</f>
        <v>32159.221407287245</v>
      </c>
      <c r="E38" s="179">
        <f>D38*C38</f>
        <v>32728144.833333332</v>
      </c>
    </row>
    <row r="39" spans="1:12" ht="13.5" thickBot="1" x14ac:dyDescent="0.25">
      <c r="A39" s="181">
        <v>2</v>
      </c>
      <c r="B39" s="169" t="s">
        <v>72</v>
      </c>
      <c r="C39" s="182"/>
      <c r="D39" s="180"/>
      <c r="E39" s="177">
        <f>D39*C39</f>
        <v>0</v>
      </c>
    </row>
    <row r="40" spans="1:12" ht="13.5" thickBot="1" x14ac:dyDescent="0.25">
      <c r="A40" s="312"/>
      <c r="B40" s="405" t="s">
        <v>1</v>
      </c>
      <c r="C40" s="406"/>
      <c r="D40" s="313">
        <f>SUM(D38:D39)</f>
        <v>32159.221407287245</v>
      </c>
      <c r="E40" s="314">
        <f>SUM(E38:E39)</f>
        <v>32728144.833333332</v>
      </c>
      <c r="F40"/>
      <c r="G40"/>
      <c r="H40"/>
      <c r="I40"/>
      <c r="J40"/>
      <c r="K40"/>
      <c r="L40"/>
    </row>
    <row r="41" spans="1:12" ht="13.5" thickBot="1" x14ac:dyDescent="0.25">
      <c r="A41"/>
      <c r="B41"/>
      <c r="C41"/>
      <c r="D41"/>
      <c r="E41"/>
      <c r="F41"/>
    </row>
    <row r="42" spans="1:12" ht="15" customHeight="1" thickBot="1" x14ac:dyDescent="0.25">
      <c r="A42" s="183"/>
      <c r="B42" s="402" t="s">
        <v>69</v>
      </c>
      <c r="C42" s="403"/>
      <c r="D42" s="184">
        <f>SUM(D7+D17+D34+D40)</f>
        <v>6842209.2214072868</v>
      </c>
      <c r="E42" s="184">
        <f>SUM(E7+E17+E34+E40)</f>
        <v>41543144.833333328</v>
      </c>
      <c r="F42" s="372"/>
    </row>
    <row r="43" spans="1:12" s="9" customFormat="1" ht="15" customHeight="1" x14ac:dyDescent="0.2">
      <c r="A43" s="16"/>
      <c r="B43" s="17"/>
      <c r="C43" s="17"/>
      <c r="D43" s="18"/>
      <c r="E43" s="18"/>
    </row>
  </sheetData>
  <mergeCells count="5">
    <mergeCell ref="B7:C7"/>
    <mergeCell ref="B17:C17"/>
    <mergeCell ref="B42:C42"/>
    <mergeCell ref="B34:C34"/>
    <mergeCell ref="B40:C4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showGridLines="0" workbookViewId="0">
      <selection activeCell="F11" sqref="F11"/>
    </sheetView>
  </sheetViews>
  <sheetFormatPr baseColWidth="10" defaultRowHeight="12.75" x14ac:dyDescent="0.2"/>
  <cols>
    <col min="1" max="1" width="30.28515625" bestFit="1" customWidth="1"/>
    <col min="2" max="2" width="12.7109375" style="389" bestFit="1" customWidth="1"/>
  </cols>
  <sheetData>
    <row r="3" spans="1:7" ht="15.75" x14ac:dyDescent="0.2">
      <c r="A3" s="492" t="s">
        <v>226</v>
      </c>
      <c r="B3" s="492"/>
      <c r="C3" s="492"/>
    </row>
    <row r="4" spans="1:7" x14ac:dyDescent="0.2">
      <c r="A4" s="390" t="s">
        <v>227</v>
      </c>
      <c r="B4" s="393">
        <f>Ingresos!B14</f>
        <v>765838589.0999999</v>
      </c>
      <c r="C4" s="394">
        <f>B4/$B$4</f>
        <v>1</v>
      </c>
      <c r="G4" s="397"/>
    </row>
    <row r="5" spans="1:7" x14ac:dyDescent="0.2">
      <c r="A5" s="391" t="s">
        <v>228</v>
      </c>
      <c r="B5" s="393">
        <f>'Costos Totales por Año'!B16</f>
        <v>392737738</v>
      </c>
      <c r="C5" s="394">
        <f t="shared" ref="C5:C14" si="0">B5/$B$4</f>
        <v>0.51282051282051289</v>
      </c>
    </row>
    <row r="6" spans="1:7" ht="15" x14ac:dyDescent="0.25">
      <c r="A6" s="390" t="s">
        <v>229</v>
      </c>
      <c r="B6" s="395">
        <f>B4-B5</f>
        <v>373100851.0999999</v>
      </c>
      <c r="C6" s="396">
        <f t="shared" si="0"/>
        <v>0.48717948717948711</v>
      </c>
    </row>
    <row r="7" spans="1:7" x14ac:dyDescent="0.2">
      <c r="A7" s="391" t="s">
        <v>230</v>
      </c>
      <c r="B7" s="393">
        <f>'Gastos admin-pub-vent'!E10</f>
        <v>13080000</v>
      </c>
      <c r="C7" s="394">
        <f t="shared" si="0"/>
        <v>1.7079316955510675E-2</v>
      </c>
    </row>
    <row r="8" spans="1:7" ht="15" x14ac:dyDescent="0.25">
      <c r="A8" s="390" t="s">
        <v>231</v>
      </c>
      <c r="B8" s="395">
        <f>B6-B7</f>
        <v>360020851.0999999</v>
      </c>
      <c r="C8" s="396">
        <f t="shared" si="0"/>
        <v>0.47010017022397643</v>
      </c>
    </row>
    <row r="9" spans="1:7" x14ac:dyDescent="0.2">
      <c r="A9" s="391" t="s">
        <v>232</v>
      </c>
      <c r="B9" s="393">
        <v>0</v>
      </c>
      <c r="C9" s="394">
        <f t="shared" si="0"/>
        <v>0</v>
      </c>
    </row>
    <row r="10" spans="1:7" x14ac:dyDescent="0.2">
      <c r="A10" s="391" t="s">
        <v>233</v>
      </c>
      <c r="B10" s="393">
        <v>0</v>
      </c>
      <c r="C10" s="394">
        <f t="shared" si="0"/>
        <v>0</v>
      </c>
    </row>
    <row r="11" spans="1:7" x14ac:dyDescent="0.2">
      <c r="A11" s="391" t="s">
        <v>234</v>
      </c>
      <c r="B11" s="393">
        <v>0</v>
      </c>
      <c r="C11" s="394">
        <f t="shared" si="0"/>
        <v>0</v>
      </c>
    </row>
    <row r="12" spans="1:7" ht="15" x14ac:dyDescent="0.25">
      <c r="A12" s="390" t="s">
        <v>235</v>
      </c>
      <c r="B12" s="395">
        <f>B8-SUM(B9:B11)</f>
        <v>360020851.0999999</v>
      </c>
      <c r="C12" s="396">
        <f t="shared" si="0"/>
        <v>0.47010017022397643</v>
      </c>
    </row>
    <row r="13" spans="1:7" x14ac:dyDescent="0.2">
      <c r="A13" s="392" t="s">
        <v>237</v>
      </c>
      <c r="B13" s="393">
        <f>B12*0.19</f>
        <v>68403961.708999977</v>
      </c>
      <c r="C13" s="394">
        <f t="shared" si="0"/>
        <v>8.9319032342555518E-2</v>
      </c>
    </row>
    <row r="14" spans="1:7" ht="15" x14ac:dyDescent="0.25">
      <c r="A14" s="390" t="s">
        <v>236</v>
      </c>
      <c r="B14" s="395">
        <f>B12-B13</f>
        <v>291616889.39099991</v>
      </c>
      <c r="C14" s="396">
        <f t="shared" si="0"/>
        <v>0.38078113788142093</v>
      </c>
    </row>
  </sheetData>
  <mergeCells count="1">
    <mergeCell ref="A3:C3"/>
  </mergeCells>
  <pageMargins left="0.7" right="0.7" top="0.75" bottom="0.75" header="0.3" footer="0.3"/>
  <pageSetup paperSize="9" orientation="portrait" r:id="rId1"/>
  <ignoredErrors>
    <ignoredError sqref="B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workbookViewId="0">
      <selection activeCell="I8" sqref="I8"/>
    </sheetView>
  </sheetViews>
  <sheetFormatPr baseColWidth="10" defaultColWidth="11.42578125" defaultRowHeight="15" customHeight="1" x14ac:dyDescent="0.2"/>
  <cols>
    <col min="1" max="1" width="3.28515625" style="8" customWidth="1"/>
    <col min="2" max="2" width="52.7109375" style="8" customWidth="1"/>
    <col min="3" max="3" width="10.5703125" style="8" bestFit="1" customWidth="1"/>
    <col min="4" max="9" width="14.140625" style="8" bestFit="1" customWidth="1"/>
    <col min="10" max="10" width="13.42578125" style="8" customWidth="1"/>
    <col min="11" max="11" width="13.7109375" style="8" bestFit="1" customWidth="1"/>
    <col min="12" max="256" width="11.42578125" style="8"/>
    <col min="257" max="257" width="3.28515625" style="8" customWidth="1"/>
    <col min="258" max="258" width="67.7109375" style="8" customWidth="1"/>
    <col min="259" max="260" width="15.28515625" style="8" customWidth="1"/>
    <col min="261" max="261" width="15.140625" style="8" customWidth="1"/>
    <col min="262" max="262" width="14.5703125" style="8" customWidth="1"/>
    <col min="263" max="263" width="13.5703125" style="8" customWidth="1"/>
    <col min="264" max="264" width="11.85546875" style="8" customWidth="1"/>
    <col min="265" max="512" width="11.42578125" style="8"/>
    <col min="513" max="513" width="3.28515625" style="8" customWidth="1"/>
    <col min="514" max="514" width="67.7109375" style="8" customWidth="1"/>
    <col min="515" max="516" width="15.28515625" style="8" customWidth="1"/>
    <col min="517" max="517" width="15.140625" style="8" customWidth="1"/>
    <col min="518" max="518" width="14.5703125" style="8" customWidth="1"/>
    <col min="519" max="519" width="13.5703125" style="8" customWidth="1"/>
    <col min="520" max="520" width="11.85546875" style="8" customWidth="1"/>
    <col min="521" max="768" width="11.42578125" style="8"/>
    <col min="769" max="769" width="3.28515625" style="8" customWidth="1"/>
    <col min="770" max="770" width="67.7109375" style="8" customWidth="1"/>
    <col min="771" max="772" width="15.28515625" style="8" customWidth="1"/>
    <col min="773" max="773" width="15.140625" style="8" customWidth="1"/>
    <col min="774" max="774" width="14.5703125" style="8" customWidth="1"/>
    <col min="775" max="775" width="13.5703125" style="8" customWidth="1"/>
    <col min="776" max="776" width="11.85546875" style="8" customWidth="1"/>
    <col min="777" max="1024" width="11.42578125" style="8"/>
    <col min="1025" max="1025" width="3.28515625" style="8" customWidth="1"/>
    <col min="1026" max="1026" width="67.7109375" style="8" customWidth="1"/>
    <col min="1027" max="1028" width="15.28515625" style="8" customWidth="1"/>
    <col min="1029" max="1029" width="15.140625" style="8" customWidth="1"/>
    <col min="1030" max="1030" width="14.5703125" style="8" customWidth="1"/>
    <col min="1031" max="1031" width="13.5703125" style="8" customWidth="1"/>
    <col min="1032" max="1032" width="11.85546875" style="8" customWidth="1"/>
    <col min="1033" max="1280" width="11.42578125" style="8"/>
    <col min="1281" max="1281" width="3.28515625" style="8" customWidth="1"/>
    <col min="1282" max="1282" width="67.7109375" style="8" customWidth="1"/>
    <col min="1283" max="1284" width="15.28515625" style="8" customWidth="1"/>
    <col min="1285" max="1285" width="15.140625" style="8" customWidth="1"/>
    <col min="1286" max="1286" width="14.5703125" style="8" customWidth="1"/>
    <col min="1287" max="1287" width="13.5703125" style="8" customWidth="1"/>
    <col min="1288" max="1288" width="11.85546875" style="8" customWidth="1"/>
    <col min="1289" max="1536" width="11.42578125" style="8"/>
    <col min="1537" max="1537" width="3.28515625" style="8" customWidth="1"/>
    <col min="1538" max="1538" width="67.7109375" style="8" customWidth="1"/>
    <col min="1539" max="1540" width="15.28515625" style="8" customWidth="1"/>
    <col min="1541" max="1541" width="15.140625" style="8" customWidth="1"/>
    <col min="1542" max="1542" width="14.5703125" style="8" customWidth="1"/>
    <col min="1543" max="1543" width="13.5703125" style="8" customWidth="1"/>
    <col min="1544" max="1544" width="11.85546875" style="8" customWidth="1"/>
    <col min="1545" max="1792" width="11.42578125" style="8"/>
    <col min="1793" max="1793" width="3.28515625" style="8" customWidth="1"/>
    <col min="1794" max="1794" width="67.7109375" style="8" customWidth="1"/>
    <col min="1795" max="1796" width="15.28515625" style="8" customWidth="1"/>
    <col min="1797" max="1797" width="15.140625" style="8" customWidth="1"/>
    <col min="1798" max="1798" width="14.5703125" style="8" customWidth="1"/>
    <col min="1799" max="1799" width="13.5703125" style="8" customWidth="1"/>
    <col min="1800" max="1800" width="11.85546875" style="8" customWidth="1"/>
    <col min="1801" max="2048" width="11.42578125" style="8"/>
    <col min="2049" max="2049" width="3.28515625" style="8" customWidth="1"/>
    <col min="2050" max="2050" width="67.7109375" style="8" customWidth="1"/>
    <col min="2051" max="2052" width="15.28515625" style="8" customWidth="1"/>
    <col min="2053" max="2053" width="15.140625" style="8" customWidth="1"/>
    <col min="2054" max="2054" width="14.5703125" style="8" customWidth="1"/>
    <col min="2055" max="2055" width="13.5703125" style="8" customWidth="1"/>
    <col min="2056" max="2056" width="11.85546875" style="8" customWidth="1"/>
    <col min="2057" max="2304" width="11.42578125" style="8"/>
    <col min="2305" max="2305" width="3.28515625" style="8" customWidth="1"/>
    <col min="2306" max="2306" width="67.7109375" style="8" customWidth="1"/>
    <col min="2307" max="2308" width="15.28515625" style="8" customWidth="1"/>
    <col min="2309" max="2309" width="15.140625" style="8" customWidth="1"/>
    <col min="2310" max="2310" width="14.5703125" style="8" customWidth="1"/>
    <col min="2311" max="2311" width="13.5703125" style="8" customWidth="1"/>
    <col min="2312" max="2312" width="11.85546875" style="8" customWidth="1"/>
    <col min="2313" max="2560" width="11.42578125" style="8"/>
    <col min="2561" max="2561" width="3.28515625" style="8" customWidth="1"/>
    <col min="2562" max="2562" width="67.7109375" style="8" customWidth="1"/>
    <col min="2563" max="2564" width="15.28515625" style="8" customWidth="1"/>
    <col min="2565" max="2565" width="15.140625" style="8" customWidth="1"/>
    <col min="2566" max="2566" width="14.5703125" style="8" customWidth="1"/>
    <col min="2567" max="2567" width="13.5703125" style="8" customWidth="1"/>
    <col min="2568" max="2568" width="11.85546875" style="8" customWidth="1"/>
    <col min="2569" max="2816" width="11.42578125" style="8"/>
    <col min="2817" max="2817" width="3.28515625" style="8" customWidth="1"/>
    <col min="2818" max="2818" width="67.7109375" style="8" customWidth="1"/>
    <col min="2819" max="2820" width="15.28515625" style="8" customWidth="1"/>
    <col min="2821" max="2821" width="15.140625" style="8" customWidth="1"/>
    <col min="2822" max="2822" width="14.5703125" style="8" customWidth="1"/>
    <col min="2823" max="2823" width="13.5703125" style="8" customWidth="1"/>
    <col min="2824" max="2824" width="11.85546875" style="8" customWidth="1"/>
    <col min="2825" max="3072" width="11.42578125" style="8"/>
    <col min="3073" max="3073" width="3.28515625" style="8" customWidth="1"/>
    <col min="3074" max="3074" width="67.7109375" style="8" customWidth="1"/>
    <col min="3075" max="3076" width="15.28515625" style="8" customWidth="1"/>
    <col min="3077" max="3077" width="15.140625" style="8" customWidth="1"/>
    <col min="3078" max="3078" width="14.5703125" style="8" customWidth="1"/>
    <col min="3079" max="3079" width="13.5703125" style="8" customWidth="1"/>
    <col min="3080" max="3080" width="11.85546875" style="8" customWidth="1"/>
    <col min="3081" max="3328" width="11.42578125" style="8"/>
    <col min="3329" max="3329" width="3.28515625" style="8" customWidth="1"/>
    <col min="3330" max="3330" width="67.7109375" style="8" customWidth="1"/>
    <col min="3331" max="3332" width="15.28515625" style="8" customWidth="1"/>
    <col min="3333" max="3333" width="15.140625" style="8" customWidth="1"/>
    <col min="3334" max="3334" width="14.5703125" style="8" customWidth="1"/>
    <col min="3335" max="3335" width="13.5703125" style="8" customWidth="1"/>
    <col min="3336" max="3336" width="11.85546875" style="8" customWidth="1"/>
    <col min="3337" max="3584" width="11.42578125" style="8"/>
    <col min="3585" max="3585" width="3.28515625" style="8" customWidth="1"/>
    <col min="3586" max="3586" width="67.7109375" style="8" customWidth="1"/>
    <col min="3587" max="3588" width="15.28515625" style="8" customWidth="1"/>
    <col min="3589" max="3589" width="15.140625" style="8" customWidth="1"/>
    <col min="3590" max="3590" width="14.5703125" style="8" customWidth="1"/>
    <col min="3591" max="3591" width="13.5703125" style="8" customWidth="1"/>
    <col min="3592" max="3592" width="11.85546875" style="8" customWidth="1"/>
    <col min="3593" max="3840" width="11.42578125" style="8"/>
    <col min="3841" max="3841" width="3.28515625" style="8" customWidth="1"/>
    <col min="3842" max="3842" width="67.7109375" style="8" customWidth="1"/>
    <col min="3843" max="3844" width="15.28515625" style="8" customWidth="1"/>
    <col min="3845" max="3845" width="15.140625" style="8" customWidth="1"/>
    <col min="3846" max="3846" width="14.5703125" style="8" customWidth="1"/>
    <col min="3847" max="3847" width="13.5703125" style="8" customWidth="1"/>
    <col min="3848" max="3848" width="11.85546875" style="8" customWidth="1"/>
    <col min="3849" max="4096" width="11.42578125" style="8"/>
    <col min="4097" max="4097" width="3.28515625" style="8" customWidth="1"/>
    <col min="4098" max="4098" width="67.7109375" style="8" customWidth="1"/>
    <col min="4099" max="4100" width="15.28515625" style="8" customWidth="1"/>
    <col min="4101" max="4101" width="15.140625" style="8" customWidth="1"/>
    <col min="4102" max="4102" width="14.5703125" style="8" customWidth="1"/>
    <col min="4103" max="4103" width="13.5703125" style="8" customWidth="1"/>
    <col min="4104" max="4104" width="11.85546875" style="8" customWidth="1"/>
    <col min="4105" max="4352" width="11.42578125" style="8"/>
    <col min="4353" max="4353" width="3.28515625" style="8" customWidth="1"/>
    <col min="4354" max="4354" width="67.7109375" style="8" customWidth="1"/>
    <col min="4355" max="4356" width="15.28515625" style="8" customWidth="1"/>
    <col min="4357" max="4357" width="15.140625" style="8" customWidth="1"/>
    <col min="4358" max="4358" width="14.5703125" style="8" customWidth="1"/>
    <col min="4359" max="4359" width="13.5703125" style="8" customWidth="1"/>
    <col min="4360" max="4360" width="11.85546875" style="8" customWidth="1"/>
    <col min="4361" max="4608" width="11.42578125" style="8"/>
    <col min="4609" max="4609" width="3.28515625" style="8" customWidth="1"/>
    <col min="4610" max="4610" width="67.7109375" style="8" customWidth="1"/>
    <col min="4611" max="4612" width="15.28515625" style="8" customWidth="1"/>
    <col min="4613" max="4613" width="15.140625" style="8" customWidth="1"/>
    <col min="4614" max="4614" width="14.5703125" style="8" customWidth="1"/>
    <col min="4615" max="4615" width="13.5703125" style="8" customWidth="1"/>
    <col min="4616" max="4616" width="11.85546875" style="8" customWidth="1"/>
    <col min="4617" max="4864" width="11.42578125" style="8"/>
    <col min="4865" max="4865" width="3.28515625" style="8" customWidth="1"/>
    <col min="4866" max="4866" width="67.7109375" style="8" customWidth="1"/>
    <col min="4867" max="4868" width="15.28515625" style="8" customWidth="1"/>
    <col min="4869" max="4869" width="15.140625" style="8" customWidth="1"/>
    <col min="4870" max="4870" width="14.5703125" style="8" customWidth="1"/>
    <col min="4871" max="4871" width="13.5703125" style="8" customWidth="1"/>
    <col min="4872" max="4872" width="11.85546875" style="8" customWidth="1"/>
    <col min="4873" max="5120" width="11.42578125" style="8"/>
    <col min="5121" max="5121" width="3.28515625" style="8" customWidth="1"/>
    <col min="5122" max="5122" width="67.7109375" style="8" customWidth="1"/>
    <col min="5123" max="5124" width="15.28515625" style="8" customWidth="1"/>
    <col min="5125" max="5125" width="15.140625" style="8" customWidth="1"/>
    <col min="5126" max="5126" width="14.5703125" style="8" customWidth="1"/>
    <col min="5127" max="5127" width="13.5703125" style="8" customWidth="1"/>
    <col min="5128" max="5128" width="11.85546875" style="8" customWidth="1"/>
    <col min="5129" max="5376" width="11.42578125" style="8"/>
    <col min="5377" max="5377" width="3.28515625" style="8" customWidth="1"/>
    <col min="5378" max="5378" width="67.7109375" style="8" customWidth="1"/>
    <col min="5379" max="5380" width="15.28515625" style="8" customWidth="1"/>
    <col min="5381" max="5381" width="15.140625" style="8" customWidth="1"/>
    <col min="5382" max="5382" width="14.5703125" style="8" customWidth="1"/>
    <col min="5383" max="5383" width="13.5703125" style="8" customWidth="1"/>
    <col min="5384" max="5384" width="11.85546875" style="8" customWidth="1"/>
    <col min="5385" max="5632" width="11.42578125" style="8"/>
    <col min="5633" max="5633" width="3.28515625" style="8" customWidth="1"/>
    <col min="5634" max="5634" width="67.7109375" style="8" customWidth="1"/>
    <col min="5635" max="5636" width="15.28515625" style="8" customWidth="1"/>
    <col min="5637" max="5637" width="15.140625" style="8" customWidth="1"/>
    <col min="5638" max="5638" width="14.5703125" style="8" customWidth="1"/>
    <col min="5639" max="5639" width="13.5703125" style="8" customWidth="1"/>
    <col min="5640" max="5640" width="11.85546875" style="8" customWidth="1"/>
    <col min="5641" max="5888" width="11.42578125" style="8"/>
    <col min="5889" max="5889" width="3.28515625" style="8" customWidth="1"/>
    <col min="5890" max="5890" width="67.7109375" style="8" customWidth="1"/>
    <col min="5891" max="5892" width="15.28515625" style="8" customWidth="1"/>
    <col min="5893" max="5893" width="15.140625" style="8" customWidth="1"/>
    <col min="5894" max="5894" width="14.5703125" style="8" customWidth="1"/>
    <col min="5895" max="5895" width="13.5703125" style="8" customWidth="1"/>
    <col min="5896" max="5896" width="11.85546875" style="8" customWidth="1"/>
    <col min="5897" max="6144" width="11.42578125" style="8"/>
    <col min="6145" max="6145" width="3.28515625" style="8" customWidth="1"/>
    <col min="6146" max="6146" width="67.7109375" style="8" customWidth="1"/>
    <col min="6147" max="6148" width="15.28515625" style="8" customWidth="1"/>
    <col min="6149" max="6149" width="15.140625" style="8" customWidth="1"/>
    <col min="6150" max="6150" width="14.5703125" style="8" customWidth="1"/>
    <col min="6151" max="6151" width="13.5703125" style="8" customWidth="1"/>
    <col min="6152" max="6152" width="11.85546875" style="8" customWidth="1"/>
    <col min="6153" max="6400" width="11.42578125" style="8"/>
    <col min="6401" max="6401" width="3.28515625" style="8" customWidth="1"/>
    <col min="6402" max="6402" width="67.7109375" style="8" customWidth="1"/>
    <col min="6403" max="6404" width="15.28515625" style="8" customWidth="1"/>
    <col min="6405" max="6405" width="15.140625" style="8" customWidth="1"/>
    <col min="6406" max="6406" width="14.5703125" style="8" customWidth="1"/>
    <col min="6407" max="6407" width="13.5703125" style="8" customWidth="1"/>
    <col min="6408" max="6408" width="11.85546875" style="8" customWidth="1"/>
    <col min="6409" max="6656" width="11.42578125" style="8"/>
    <col min="6657" max="6657" width="3.28515625" style="8" customWidth="1"/>
    <col min="6658" max="6658" width="67.7109375" style="8" customWidth="1"/>
    <col min="6659" max="6660" width="15.28515625" style="8" customWidth="1"/>
    <col min="6661" max="6661" width="15.140625" style="8" customWidth="1"/>
    <col min="6662" max="6662" width="14.5703125" style="8" customWidth="1"/>
    <col min="6663" max="6663" width="13.5703125" style="8" customWidth="1"/>
    <col min="6664" max="6664" width="11.85546875" style="8" customWidth="1"/>
    <col min="6665" max="6912" width="11.42578125" style="8"/>
    <col min="6913" max="6913" width="3.28515625" style="8" customWidth="1"/>
    <col min="6914" max="6914" width="67.7109375" style="8" customWidth="1"/>
    <col min="6915" max="6916" width="15.28515625" style="8" customWidth="1"/>
    <col min="6917" max="6917" width="15.140625" style="8" customWidth="1"/>
    <col min="6918" max="6918" width="14.5703125" style="8" customWidth="1"/>
    <col min="6919" max="6919" width="13.5703125" style="8" customWidth="1"/>
    <col min="6920" max="6920" width="11.85546875" style="8" customWidth="1"/>
    <col min="6921" max="7168" width="11.42578125" style="8"/>
    <col min="7169" max="7169" width="3.28515625" style="8" customWidth="1"/>
    <col min="7170" max="7170" width="67.7109375" style="8" customWidth="1"/>
    <col min="7171" max="7172" width="15.28515625" style="8" customWidth="1"/>
    <col min="7173" max="7173" width="15.140625" style="8" customWidth="1"/>
    <col min="7174" max="7174" width="14.5703125" style="8" customWidth="1"/>
    <col min="7175" max="7175" width="13.5703125" style="8" customWidth="1"/>
    <col min="7176" max="7176" width="11.85546875" style="8" customWidth="1"/>
    <col min="7177" max="7424" width="11.42578125" style="8"/>
    <col min="7425" max="7425" width="3.28515625" style="8" customWidth="1"/>
    <col min="7426" max="7426" width="67.7109375" style="8" customWidth="1"/>
    <col min="7427" max="7428" width="15.28515625" style="8" customWidth="1"/>
    <col min="7429" max="7429" width="15.140625" style="8" customWidth="1"/>
    <col min="7430" max="7430" width="14.5703125" style="8" customWidth="1"/>
    <col min="7431" max="7431" width="13.5703125" style="8" customWidth="1"/>
    <col min="7432" max="7432" width="11.85546875" style="8" customWidth="1"/>
    <col min="7433" max="7680" width="11.42578125" style="8"/>
    <col min="7681" max="7681" width="3.28515625" style="8" customWidth="1"/>
    <col min="7682" max="7682" width="67.7109375" style="8" customWidth="1"/>
    <col min="7683" max="7684" width="15.28515625" style="8" customWidth="1"/>
    <col min="7685" max="7685" width="15.140625" style="8" customWidth="1"/>
    <col min="7686" max="7686" width="14.5703125" style="8" customWidth="1"/>
    <col min="7687" max="7687" width="13.5703125" style="8" customWidth="1"/>
    <col min="7688" max="7688" width="11.85546875" style="8" customWidth="1"/>
    <col min="7689" max="7936" width="11.42578125" style="8"/>
    <col min="7937" max="7937" width="3.28515625" style="8" customWidth="1"/>
    <col min="7938" max="7938" width="67.7109375" style="8" customWidth="1"/>
    <col min="7939" max="7940" width="15.28515625" style="8" customWidth="1"/>
    <col min="7941" max="7941" width="15.140625" style="8" customWidth="1"/>
    <col min="7942" max="7942" width="14.5703125" style="8" customWidth="1"/>
    <col min="7943" max="7943" width="13.5703125" style="8" customWidth="1"/>
    <col min="7944" max="7944" width="11.85546875" style="8" customWidth="1"/>
    <col min="7945" max="8192" width="11.42578125" style="8"/>
    <col min="8193" max="8193" width="3.28515625" style="8" customWidth="1"/>
    <col min="8194" max="8194" width="67.7109375" style="8" customWidth="1"/>
    <col min="8195" max="8196" width="15.28515625" style="8" customWidth="1"/>
    <col min="8197" max="8197" width="15.140625" style="8" customWidth="1"/>
    <col min="8198" max="8198" width="14.5703125" style="8" customWidth="1"/>
    <col min="8199" max="8199" width="13.5703125" style="8" customWidth="1"/>
    <col min="8200" max="8200" width="11.85546875" style="8" customWidth="1"/>
    <col min="8201" max="8448" width="11.42578125" style="8"/>
    <col min="8449" max="8449" width="3.28515625" style="8" customWidth="1"/>
    <col min="8450" max="8450" width="67.7109375" style="8" customWidth="1"/>
    <col min="8451" max="8452" width="15.28515625" style="8" customWidth="1"/>
    <col min="8453" max="8453" width="15.140625" style="8" customWidth="1"/>
    <col min="8454" max="8454" width="14.5703125" style="8" customWidth="1"/>
    <col min="8455" max="8455" width="13.5703125" style="8" customWidth="1"/>
    <col min="8456" max="8456" width="11.85546875" style="8" customWidth="1"/>
    <col min="8457" max="8704" width="11.42578125" style="8"/>
    <col min="8705" max="8705" width="3.28515625" style="8" customWidth="1"/>
    <col min="8706" max="8706" width="67.7109375" style="8" customWidth="1"/>
    <col min="8707" max="8708" width="15.28515625" style="8" customWidth="1"/>
    <col min="8709" max="8709" width="15.140625" style="8" customWidth="1"/>
    <col min="8710" max="8710" width="14.5703125" style="8" customWidth="1"/>
    <col min="8711" max="8711" width="13.5703125" style="8" customWidth="1"/>
    <col min="8712" max="8712" width="11.85546875" style="8" customWidth="1"/>
    <col min="8713" max="8960" width="11.42578125" style="8"/>
    <col min="8961" max="8961" width="3.28515625" style="8" customWidth="1"/>
    <col min="8962" max="8962" width="67.7109375" style="8" customWidth="1"/>
    <col min="8963" max="8964" width="15.28515625" style="8" customWidth="1"/>
    <col min="8965" max="8965" width="15.140625" style="8" customWidth="1"/>
    <col min="8966" max="8966" width="14.5703125" style="8" customWidth="1"/>
    <col min="8967" max="8967" width="13.5703125" style="8" customWidth="1"/>
    <col min="8968" max="8968" width="11.85546875" style="8" customWidth="1"/>
    <col min="8969" max="9216" width="11.42578125" style="8"/>
    <col min="9217" max="9217" width="3.28515625" style="8" customWidth="1"/>
    <col min="9218" max="9218" width="67.7109375" style="8" customWidth="1"/>
    <col min="9219" max="9220" width="15.28515625" style="8" customWidth="1"/>
    <col min="9221" max="9221" width="15.140625" style="8" customWidth="1"/>
    <col min="9222" max="9222" width="14.5703125" style="8" customWidth="1"/>
    <col min="9223" max="9223" width="13.5703125" style="8" customWidth="1"/>
    <col min="9224" max="9224" width="11.85546875" style="8" customWidth="1"/>
    <col min="9225" max="9472" width="11.42578125" style="8"/>
    <col min="9473" max="9473" width="3.28515625" style="8" customWidth="1"/>
    <col min="9474" max="9474" width="67.7109375" style="8" customWidth="1"/>
    <col min="9475" max="9476" width="15.28515625" style="8" customWidth="1"/>
    <col min="9477" max="9477" width="15.140625" style="8" customWidth="1"/>
    <col min="9478" max="9478" width="14.5703125" style="8" customWidth="1"/>
    <col min="9479" max="9479" width="13.5703125" style="8" customWidth="1"/>
    <col min="9480" max="9480" width="11.85546875" style="8" customWidth="1"/>
    <col min="9481" max="9728" width="11.42578125" style="8"/>
    <col min="9729" max="9729" width="3.28515625" style="8" customWidth="1"/>
    <col min="9730" max="9730" width="67.7109375" style="8" customWidth="1"/>
    <col min="9731" max="9732" width="15.28515625" style="8" customWidth="1"/>
    <col min="9733" max="9733" width="15.140625" style="8" customWidth="1"/>
    <col min="9734" max="9734" width="14.5703125" style="8" customWidth="1"/>
    <col min="9735" max="9735" width="13.5703125" style="8" customWidth="1"/>
    <col min="9736" max="9736" width="11.85546875" style="8" customWidth="1"/>
    <col min="9737" max="9984" width="11.42578125" style="8"/>
    <col min="9985" max="9985" width="3.28515625" style="8" customWidth="1"/>
    <col min="9986" max="9986" width="67.7109375" style="8" customWidth="1"/>
    <col min="9987" max="9988" width="15.28515625" style="8" customWidth="1"/>
    <col min="9989" max="9989" width="15.140625" style="8" customWidth="1"/>
    <col min="9990" max="9990" width="14.5703125" style="8" customWidth="1"/>
    <col min="9991" max="9991" width="13.5703125" style="8" customWidth="1"/>
    <col min="9992" max="9992" width="11.85546875" style="8" customWidth="1"/>
    <col min="9993" max="10240" width="11.42578125" style="8"/>
    <col min="10241" max="10241" width="3.28515625" style="8" customWidth="1"/>
    <col min="10242" max="10242" width="67.7109375" style="8" customWidth="1"/>
    <col min="10243" max="10244" width="15.28515625" style="8" customWidth="1"/>
    <col min="10245" max="10245" width="15.140625" style="8" customWidth="1"/>
    <col min="10246" max="10246" width="14.5703125" style="8" customWidth="1"/>
    <col min="10247" max="10247" width="13.5703125" style="8" customWidth="1"/>
    <col min="10248" max="10248" width="11.85546875" style="8" customWidth="1"/>
    <col min="10249" max="10496" width="11.42578125" style="8"/>
    <col min="10497" max="10497" width="3.28515625" style="8" customWidth="1"/>
    <col min="10498" max="10498" width="67.7109375" style="8" customWidth="1"/>
    <col min="10499" max="10500" width="15.28515625" style="8" customWidth="1"/>
    <col min="10501" max="10501" width="15.140625" style="8" customWidth="1"/>
    <col min="10502" max="10502" width="14.5703125" style="8" customWidth="1"/>
    <col min="10503" max="10503" width="13.5703125" style="8" customWidth="1"/>
    <col min="10504" max="10504" width="11.85546875" style="8" customWidth="1"/>
    <col min="10505" max="10752" width="11.42578125" style="8"/>
    <col min="10753" max="10753" width="3.28515625" style="8" customWidth="1"/>
    <col min="10754" max="10754" width="67.7109375" style="8" customWidth="1"/>
    <col min="10755" max="10756" width="15.28515625" style="8" customWidth="1"/>
    <col min="10757" max="10757" width="15.140625" style="8" customWidth="1"/>
    <col min="10758" max="10758" width="14.5703125" style="8" customWidth="1"/>
    <col min="10759" max="10759" width="13.5703125" style="8" customWidth="1"/>
    <col min="10760" max="10760" width="11.85546875" style="8" customWidth="1"/>
    <col min="10761" max="11008" width="11.42578125" style="8"/>
    <col min="11009" max="11009" width="3.28515625" style="8" customWidth="1"/>
    <col min="11010" max="11010" width="67.7109375" style="8" customWidth="1"/>
    <col min="11011" max="11012" width="15.28515625" style="8" customWidth="1"/>
    <col min="11013" max="11013" width="15.140625" style="8" customWidth="1"/>
    <col min="11014" max="11014" width="14.5703125" style="8" customWidth="1"/>
    <col min="11015" max="11015" width="13.5703125" style="8" customWidth="1"/>
    <col min="11016" max="11016" width="11.85546875" style="8" customWidth="1"/>
    <col min="11017" max="11264" width="11.42578125" style="8"/>
    <col min="11265" max="11265" width="3.28515625" style="8" customWidth="1"/>
    <col min="11266" max="11266" width="67.7109375" style="8" customWidth="1"/>
    <col min="11267" max="11268" width="15.28515625" style="8" customWidth="1"/>
    <col min="11269" max="11269" width="15.140625" style="8" customWidth="1"/>
    <col min="11270" max="11270" width="14.5703125" style="8" customWidth="1"/>
    <col min="11271" max="11271" width="13.5703125" style="8" customWidth="1"/>
    <col min="11272" max="11272" width="11.85546875" style="8" customWidth="1"/>
    <col min="11273" max="11520" width="11.42578125" style="8"/>
    <col min="11521" max="11521" width="3.28515625" style="8" customWidth="1"/>
    <col min="11522" max="11522" width="67.7109375" style="8" customWidth="1"/>
    <col min="11523" max="11524" width="15.28515625" style="8" customWidth="1"/>
    <col min="11525" max="11525" width="15.140625" style="8" customWidth="1"/>
    <col min="11526" max="11526" width="14.5703125" style="8" customWidth="1"/>
    <col min="11527" max="11527" width="13.5703125" style="8" customWidth="1"/>
    <col min="11528" max="11528" width="11.85546875" style="8" customWidth="1"/>
    <col min="11529" max="11776" width="11.42578125" style="8"/>
    <col min="11777" max="11777" width="3.28515625" style="8" customWidth="1"/>
    <col min="11778" max="11778" width="67.7109375" style="8" customWidth="1"/>
    <col min="11779" max="11780" width="15.28515625" style="8" customWidth="1"/>
    <col min="11781" max="11781" width="15.140625" style="8" customWidth="1"/>
    <col min="11782" max="11782" width="14.5703125" style="8" customWidth="1"/>
    <col min="11783" max="11783" width="13.5703125" style="8" customWidth="1"/>
    <col min="11784" max="11784" width="11.85546875" style="8" customWidth="1"/>
    <col min="11785" max="12032" width="11.42578125" style="8"/>
    <col min="12033" max="12033" width="3.28515625" style="8" customWidth="1"/>
    <col min="12034" max="12034" width="67.7109375" style="8" customWidth="1"/>
    <col min="12035" max="12036" width="15.28515625" style="8" customWidth="1"/>
    <col min="12037" max="12037" width="15.140625" style="8" customWidth="1"/>
    <col min="12038" max="12038" width="14.5703125" style="8" customWidth="1"/>
    <col min="12039" max="12039" width="13.5703125" style="8" customWidth="1"/>
    <col min="12040" max="12040" width="11.85546875" style="8" customWidth="1"/>
    <col min="12041" max="12288" width="11.42578125" style="8"/>
    <col min="12289" max="12289" width="3.28515625" style="8" customWidth="1"/>
    <col min="12290" max="12290" width="67.7109375" style="8" customWidth="1"/>
    <col min="12291" max="12292" width="15.28515625" style="8" customWidth="1"/>
    <col min="12293" max="12293" width="15.140625" style="8" customWidth="1"/>
    <col min="12294" max="12294" width="14.5703125" style="8" customWidth="1"/>
    <col min="12295" max="12295" width="13.5703125" style="8" customWidth="1"/>
    <col min="12296" max="12296" width="11.85546875" style="8" customWidth="1"/>
    <col min="12297" max="12544" width="11.42578125" style="8"/>
    <col min="12545" max="12545" width="3.28515625" style="8" customWidth="1"/>
    <col min="12546" max="12546" width="67.7109375" style="8" customWidth="1"/>
    <col min="12547" max="12548" width="15.28515625" style="8" customWidth="1"/>
    <col min="12549" max="12549" width="15.140625" style="8" customWidth="1"/>
    <col min="12550" max="12550" width="14.5703125" style="8" customWidth="1"/>
    <col min="12551" max="12551" width="13.5703125" style="8" customWidth="1"/>
    <col min="12552" max="12552" width="11.85546875" style="8" customWidth="1"/>
    <col min="12553" max="12800" width="11.42578125" style="8"/>
    <col min="12801" max="12801" width="3.28515625" style="8" customWidth="1"/>
    <col min="12802" max="12802" width="67.7109375" style="8" customWidth="1"/>
    <col min="12803" max="12804" width="15.28515625" style="8" customWidth="1"/>
    <col min="12805" max="12805" width="15.140625" style="8" customWidth="1"/>
    <col min="12806" max="12806" width="14.5703125" style="8" customWidth="1"/>
    <col min="12807" max="12807" width="13.5703125" style="8" customWidth="1"/>
    <col min="12808" max="12808" width="11.85546875" style="8" customWidth="1"/>
    <col min="12809" max="13056" width="11.42578125" style="8"/>
    <col min="13057" max="13057" width="3.28515625" style="8" customWidth="1"/>
    <col min="13058" max="13058" width="67.7109375" style="8" customWidth="1"/>
    <col min="13059" max="13060" width="15.28515625" style="8" customWidth="1"/>
    <col min="13061" max="13061" width="15.140625" style="8" customWidth="1"/>
    <col min="13062" max="13062" width="14.5703125" style="8" customWidth="1"/>
    <col min="13063" max="13063" width="13.5703125" style="8" customWidth="1"/>
    <col min="13064" max="13064" width="11.85546875" style="8" customWidth="1"/>
    <col min="13065" max="13312" width="11.42578125" style="8"/>
    <col min="13313" max="13313" width="3.28515625" style="8" customWidth="1"/>
    <col min="13314" max="13314" width="67.7109375" style="8" customWidth="1"/>
    <col min="13315" max="13316" width="15.28515625" style="8" customWidth="1"/>
    <col min="13317" max="13317" width="15.140625" style="8" customWidth="1"/>
    <col min="13318" max="13318" width="14.5703125" style="8" customWidth="1"/>
    <col min="13319" max="13319" width="13.5703125" style="8" customWidth="1"/>
    <col min="13320" max="13320" width="11.85546875" style="8" customWidth="1"/>
    <col min="13321" max="13568" width="11.42578125" style="8"/>
    <col min="13569" max="13569" width="3.28515625" style="8" customWidth="1"/>
    <col min="13570" max="13570" width="67.7109375" style="8" customWidth="1"/>
    <col min="13571" max="13572" width="15.28515625" style="8" customWidth="1"/>
    <col min="13573" max="13573" width="15.140625" style="8" customWidth="1"/>
    <col min="13574" max="13574" width="14.5703125" style="8" customWidth="1"/>
    <col min="13575" max="13575" width="13.5703125" style="8" customWidth="1"/>
    <col min="13576" max="13576" width="11.85546875" style="8" customWidth="1"/>
    <col min="13577" max="13824" width="11.42578125" style="8"/>
    <col min="13825" max="13825" width="3.28515625" style="8" customWidth="1"/>
    <col min="13826" max="13826" width="67.7109375" style="8" customWidth="1"/>
    <col min="13827" max="13828" width="15.28515625" style="8" customWidth="1"/>
    <col min="13829" max="13829" width="15.140625" style="8" customWidth="1"/>
    <col min="13830" max="13830" width="14.5703125" style="8" customWidth="1"/>
    <col min="13831" max="13831" width="13.5703125" style="8" customWidth="1"/>
    <col min="13832" max="13832" width="11.85546875" style="8" customWidth="1"/>
    <col min="13833" max="14080" width="11.42578125" style="8"/>
    <col min="14081" max="14081" width="3.28515625" style="8" customWidth="1"/>
    <col min="14082" max="14082" width="67.7109375" style="8" customWidth="1"/>
    <col min="14083" max="14084" width="15.28515625" style="8" customWidth="1"/>
    <col min="14085" max="14085" width="15.140625" style="8" customWidth="1"/>
    <col min="14086" max="14086" width="14.5703125" style="8" customWidth="1"/>
    <col min="14087" max="14087" width="13.5703125" style="8" customWidth="1"/>
    <col min="14088" max="14088" width="11.85546875" style="8" customWidth="1"/>
    <col min="14089" max="14336" width="11.42578125" style="8"/>
    <col min="14337" max="14337" width="3.28515625" style="8" customWidth="1"/>
    <col min="14338" max="14338" width="67.7109375" style="8" customWidth="1"/>
    <col min="14339" max="14340" width="15.28515625" style="8" customWidth="1"/>
    <col min="14341" max="14341" width="15.140625" style="8" customWidth="1"/>
    <col min="14342" max="14342" width="14.5703125" style="8" customWidth="1"/>
    <col min="14343" max="14343" width="13.5703125" style="8" customWidth="1"/>
    <col min="14344" max="14344" width="11.85546875" style="8" customWidth="1"/>
    <col min="14345" max="14592" width="11.42578125" style="8"/>
    <col min="14593" max="14593" width="3.28515625" style="8" customWidth="1"/>
    <col min="14594" max="14594" width="67.7109375" style="8" customWidth="1"/>
    <col min="14595" max="14596" width="15.28515625" style="8" customWidth="1"/>
    <col min="14597" max="14597" width="15.140625" style="8" customWidth="1"/>
    <col min="14598" max="14598" width="14.5703125" style="8" customWidth="1"/>
    <col min="14599" max="14599" width="13.5703125" style="8" customWidth="1"/>
    <col min="14600" max="14600" width="11.85546875" style="8" customWidth="1"/>
    <col min="14601" max="14848" width="11.42578125" style="8"/>
    <col min="14849" max="14849" width="3.28515625" style="8" customWidth="1"/>
    <col min="14850" max="14850" width="67.7109375" style="8" customWidth="1"/>
    <col min="14851" max="14852" width="15.28515625" style="8" customWidth="1"/>
    <col min="14853" max="14853" width="15.140625" style="8" customWidth="1"/>
    <col min="14854" max="14854" width="14.5703125" style="8" customWidth="1"/>
    <col min="14855" max="14855" width="13.5703125" style="8" customWidth="1"/>
    <col min="14856" max="14856" width="11.85546875" style="8" customWidth="1"/>
    <col min="14857" max="15104" width="11.42578125" style="8"/>
    <col min="15105" max="15105" width="3.28515625" style="8" customWidth="1"/>
    <col min="15106" max="15106" width="67.7109375" style="8" customWidth="1"/>
    <col min="15107" max="15108" width="15.28515625" style="8" customWidth="1"/>
    <col min="15109" max="15109" width="15.140625" style="8" customWidth="1"/>
    <col min="15110" max="15110" width="14.5703125" style="8" customWidth="1"/>
    <col min="15111" max="15111" width="13.5703125" style="8" customWidth="1"/>
    <col min="15112" max="15112" width="11.85546875" style="8" customWidth="1"/>
    <col min="15113" max="15360" width="11.42578125" style="8"/>
    <col min="15361" max="15361" width="3.28515625" style="8" customWidth="1"/>
    <col min="15362" max="15362" width="67.7109375" style="8" customWidth="1"/>
    <col min="15363" max="15364" width="15.28515625" style="8" customWidth="1"/>
    <col min="15365" max="15365" width="15.140625" style="8" customWidth="1"/>
    <col min="15366" max="15366" width="14.5703125" style="8" customWidth="1"/>
    <col min="15367" max="15367" width="13.5703125" style="8" customWidth="1"/>
    <col min="15368" max="15368" width="11.85546875" style="8" customWidth="1"/>
    <col min="15369" max="15616" width="11.42578125" style="8"/>
    <col min="15617" max="15617" width="3.28515625" style="8" customWidth="1"/>
    <col min="15618" max="15618" width="67.7109375" style="8" customWidth="1"/>
    <col min="15619" max="15620" width="15.28515625" style="8" customWidth="1"/>
    <col min="15621" max="15621" width="15.140625" style="8" customWidth="1"/>
    <col min="15622" max="15622" width="14.5703125" style="8" customWidth="1"/>
    <col min="15623" max="15623" width="13.5703125" style="8" customWidth="1"/>
    <col min="15624" max="15624" width="11.85546875" style="8" customWidth="1"/>
    <col min="15625" max="15872" width="11.42578125" style="8"/>
    <col min="15873" max="15873" width="3.28515625" style="8" customWidth="1"/>
    <col min="15874" max="15874" width="67.7109375" style="8" customWidth="1"/>
    <col min="15875" max="15876" width="15.28515625" style="8" customWidth="1"/>
    <col min="15877" max="15877" width="15.140625" style="8" customWidth="1"/>
    <col min="15878" max="15878" width="14.5703125" style="8" customWidth="1"/>
    <col min="15879" max="15879" width="13.5703125" style="8" customWidth="1"/>
    <col min="15880" max="15880" width="11.85546875" style="8" customWidth="1"/>
    <col min="15881" max="16128" width="11.42578125" style="8"/>
    <col min="16129" max="16129" width="3.28515625" style="8" customWidth="1"/>
    <col min="16130" max="16130" width="67.7109375" style="8" customWidth="1"/>
    <col min="16131" max="16132" width="15.28515625" style="8" customWidth="1"/>
    <col min="16133" max="16133" width="15.140625" style="8" customWidth="1"/>
    <col min="16134" max="16134" width="14.5703125" style="8" customWidth="1"/>
    <col min="16135" max="16135" width="13.5703125" style="8" customWidth="1"/>
    <col min="16136" max="16136" width="11.85546875" style="8" customWidth="1"/>
    <col min="16137" max="16384" width="11.42578125" style="8"/>
  </cols>
  <sheetData>
    <row r="1" spans="1:12" ht="13.5" thickBot="1" x14ac:dyDescent="0.25">
      <c r="A1" s="134"/>
      <c r="B1" s="135" t="s">
        <v>53</v>
      </c>
      <c r="C1" s="185"/>
      <c r="D1" s="134"/>
      <c r="E1" s="134"/>
    </row>
    <row r="2" spans="1:12" ht="25.5" customHeight="1" thickBot="1" x14ac:dyDescent="0.25">
      <c r="A2" s="146" t="s">
        <v>24</v>
      </c>
      <c r="B2" s="154" t="s">
        <v>28</v>
      </c>
      <c r="C2" s="150" t="s">
        <v>29</v>
      </c>
      <c r="D2" s="139" t="s">
        <v>43</v>
      </c>
      <c r="E2" s="139" t="s">
        <v>94</v>
      </c>
      <c r="F2" s="139" t="s">
        <v>95</v>
      </c>
      <c r="G2" s="139" t="s">
        <v>96</v>
      </c>
      <c r="H2" s="139" t="s">
        <v>97</v>
      </c>
      <c r="I2" s="140" t="s">
        <v>98</v>
      </c>
    </row>
    <row r="3" spans="1:12" ht="12.75" customHeight="1" x14ac:dyDescent="0.2">
      <c r="A3" s="147">
        <v>1</v>
      </c>
      <c r="B3" s="188" t="s">
        <v>76</v>
      </c>
      <c r="C3" s="151">
        <v>1</v>
      </c>
      <c r="D3" s="186">
        <v>600000</v>
      </c>
      <c r="E3" s="186">
        <f>D3*12</f>
        <v>7200000</v>
      </c>
      <c r="F3" s="186">
        <f>E3*1.04</f>
        <v>7488000</v>
      </c>
      <c r="G3" s="186">
        <f>F3*1.04</f>
        <v>7787520</v>
      </c>
      <c r="H3" s="186">
        <f>G3*1.04</f>
        <v>8099020.7999999998</v>
      </c>
      <c r="I3" s="138">
        <f>H3*1.04</f>
        <v>8422981.6319999993</v>
      </c>
    </row>
    <row r="4" spans="1:12" ht="12.75" customHeight="1" x14ac:dyDescent="0.2">
      <c r="A4" s="148">
        <v>2</v>
      </c>
      <c r="B4" s="156" t="s">
        <v>30</v>
      </c>
      <c r="C4" s="152">
        <v>1</v>
      </c>
      <c r="D4" s="6">
        <v>150000</v>
      </c>
      <c r="E4" s="186">
        <f t="shared" ref="E4:E9" si="0">D4*12</f>
        <v>1800000</v>
      </c>
      <c r="F4" s="6">
        <f t="shared" ref="F4:I9" si="1">E4*1.04</f>
        <v>1872000</v>
      </c>
      <c r="G4" s="6">
        <f t="shared" si="1"/>
        <v>1946880</v>
      </c>
      <c r="H4" s="6">
        <f t="shared" si="1"/>
        <v>2024755.2</v>
      </c>
      <c r="I4" s="136">
        <f t="shared" si="1"/>
        <v>2105745.4079999998</v>
      </c>
    </row>
    <row r="5" spans="1:12" ht="12.75" x14ac:dyDescent="0.2">
      <c r="A5" s="148">
        <v>3</v>
      </c>
      <c r="B5" s="156" t="s">
        <v>31</v>
      </c>
      <c r="C5" s="152">
        <v>1</v>
      </c>
      <c r="D5" s="6">
        <v>80000</v>
      </c>
      <c r="E5" s="186">
        <f t="shared" si="0"/>
        <v>960000</v>
      </c>
      <c r="F5" s="6">
        <f t="shared" si="1"/>
        <v>998400</v>
      </c>
      <c r="G5" s="6">
        <f t="shared" si="1"/>
        <v>1038336</v>
      </c>
      <c r="H5" s="6">
        <f t="shared" si="1"/>
        <v>1079869.4399999999</v>
      </c>
      <c r="I5" s="136">
        <f t="shared" si="1"/>
        <v>1123064.2176000001</v>
      </c>
    </row>
    <row r="6" spans="1:12" ht="21" x14ac:dyDescent="0.2">
      <c r="A6" s="148">
        <v>4</v>
      </c>
      <c r="B6" s="156" t="s">
        <v>33</v>
      </c>
      <c r="C6" s="152">
        <v>1</v>
      </c>
      <c r="D6" s="6">
        <v>120000</v>
      </c>
      <c r="E6" s="186">
        <f t="shared" si="0"/>
        <v>1440000</v>
      </c>
      <c r="F6" s="6">
        <f t="shared" si="1"/>
        <v>1497600</v>
      </c>
      <c r="G6" s="6">
        <f t="shared" si="1"/>
        <v>1557504</v>
      </c>
      <c r="H6" s="6">
        <f t="shared" si="1"/>
        <v>1619804.1600000001</v>
      </c>
      <c r="I6" s="136">
        <f t="shared" si="1"/>
        <v>1684596.3264000001</v>
      </c>
    </row>
    <row r="7" spans="1:12" ht="12.75" x14ac:dyDescent="0.2">
      <c r="A7" s="148">
        <v>5</v>
      </c>
      <c r="B7" s="189" t="s">
        <v>66</v>
      </c>
      <c r="C7" s="152">
        <v>1</v>
      </c>
      <c r="D7" s="6">
        <v>50000</v>
      </c>
      <c r="E7" s="186">
        <f t="shared" si="0"/>
        <v>600000</v>
      </c>
      <c r="F7" s="6">
        <f t="shared" si="1"/>
        <v>624000</v>
      </c>
      <c r="G7" s="6">
        <f t="shared" si="1"/>
        <v>648960</v>
      </c>
      <c r="H7" s="6">
        <f t="shared" si="1"/>
        <v>674918.40000000002</v>
      </c>
      <c r="I7" s="136">
        <f t="shared" si="1"/>
        <v>701915.13600000006</v>
      </c>
    </row>
    <row r="8" spans="1:12" ht="12.75" customHeight="1" x14ac:dyDescent="0.2">
      <c r="A8" s="148">
        <v>6</v>
      </c>
      <c r="B8" s="156" t="s">
        <v>32</v>
      </c>
      <c r="C8" s="152"/>
      <c r="D8" s="6">
        <v>80000</v>
      </c>
      <c r="E8" s="186">
        <f t="shared" si="0"/>
        <v>960000</v>
      </c>
      <c r="F8" s="6">
        <f t="shared" si="1"/>
        <v>998400</v>
      </c>
      <c r="G8" s="6">
        <f t="shared" si="1"/>
        <v>1038336</v>
      </c>
      <c r="H8" s="6">
        <f t="shared" si="1"/>
        <v>1079869.4399999999</v>
      </c>
      <c r="I8" s="136">
        <f t="shared" si="1"/>
        <v>1123064.2176000001</v>
      </c>
    </row>
    <row r="9" spans="1:12" ht="13.5" thickBot="1" x14ac:dyDescent="0.25">
      <c r="A9" s="149">
        <v>7</v>
      </c>
      <c r="B9" s="157" t="s">
        <v>34</v>
      </c>
      <c r="C9" s="153">
        <v>1</v>
      </c>
      <c r="D9" s="187">
        <v>10000</v>
      </c>
      <c r="E9" s="186">
        <f t="shared" si="0"/>
        <v>120000</v>
      </c>
      <c r="F9" s="187">
        <f t="shared" si="1"/>
        <v>124800</v>
      </c>
      <c r="G9" s="187">
        <f t="shared" si="1"/>
        <v>129792</v>
      </c>
      <c r="H9" s="187">
        <f t="shared" si="1"/>
        <v>134983.67999999999</v>
      </c>
      <c r="I9" s="145">
        <f t="shared" si="1"/>
        <v>140383.02720000001</v>
      </c>
      <c r="K9" s="13"/>
    </row>
    <row r="10" spans="1:12" ht="13.5" thickBot="1" x14ac:dyDescent="0.25">
      <c r="A10" s="141"/>
      <c r="B10" s="398" t="s">
        <v>1</v>
      </c>
      <c r="C10" s="399"/>
      <c r="D10" s="142">
        <f t="shared" ref="D10:I10" si="2">SUM(D3:D9)</f>
        <v>1090000</v>
      </c>
      <c r="E10" s="142">
        <f t="shared" si="2"/>
        <v>13080000</v>
      </c>
      <c r="F10" s="142">
        <f t="shared" si="2"/>
        <v>13603200</v>
      </c>
      <c r="G10" s="142">
        <f t="shared" si="2"/>
        <v>14147328</v>
      </c>
      <c r="H10" s="142">
        <f t="shared" si="2"/>
        <v>14713221.119999999</v>
      </c>
      <c r="I10" s="143">
        <f t="shared" si="2"/>
        <v>15301749.964799998</v>
      </c>
    </row>
    <row r="11" spans="1:12" ht="12.75" x14ac:dyDescent="0.2">
      <c r="A11" s="134"/>
      <c r="B11" s="134"/>
      <c r="C11" s="133"/>
      <c r="D11" s="133"/>
      <c r="E11"/>
      <c r="F11"/>
    </row>
    <row r="12" spans="1:12" ht="13.5" thickBot="1" x14ac:dyDescent="0.25">
      <c r="A12" s="134"/>
      <c r="B12" s="158" t="s">
        <v>59</v>
      </c>
      <c r="C12" s="133"/>
      <c r="D12" s="133"/>
      <c r="E12" s="133"/>
    </row>
    <row r="13" spans="1:12" ht="24" customHeight="1" thickBot="1" x14ac:dyDescent="0.25">
      <c r="A13" s="146" t="s">
        <v>24</v>
      </c>
      <c r="B13" s="154" t="s">
        <v>28</v>
      </c>
      <c r="C13" s="150" t="s">
        <v>29</v>
      </c>
      <c r="D13" s="139" t="s">
        <v>54</v>
      </c>
      <c r="E13" s="139" t="s">
        <v>94</v>
      </c>
      <c r="F13" s="139" t="s">
        <v>95</v>
      </c>
      <c r="G13" s="139" t="s">
        <v>96</v>
      </c>
      <c r="H13" s="139" t="s">
        <v>97</v>
      </c>
      <c r="I13" s="140" t="s">
        <v>98</v>
      </c>
      <c r="J13"/>
      <c r="K13"/>
      <c r="L13"/>
    </row>
    <row r="14" spans="1:12" s="9" customFormat="1" ht="12.75" x14ac:dyDescent="0.2">
      <c r="A14" s="162">
        <v>1</v>
      </c>
      <c r="B14" s="167" t="s">
        <v>64</v>
      </c>
      <c r="C14" s="164"/>
      <c r="D14" s="137"/>
      <c r="E14" s="137">
        <v>100000</v>
      </c>
      <c r="F14" s="137">
        <f>E14*1.04</f>
        <v>104000</v>
      </c>
      <c r="G14" s="137">
        <f>F14*1.04</f>
        <v>108160</v>
      </c>
      <c r="H14" s="137">
        <f>G14*1.04</f>
        <v>112486.40000000001</v>
      </c>
      <c r="I14" s="160">
        <f>H14*1.04</f>
        <v>116985.85600000001</v>
      </c>
      <c r="J14"/>
      <c r="K14"/>
      <c r="L14"/>
    </row>
    <row r="15" spans="1:12" s="9" customFormat="1" ht="12.75" x14ac:dyDescent="0.2">
      <c r="A15" s="163">
        <v>2</v>
      </c>
      <c r="B15" s="168" t="s">
        <v>60</v>
      </c>
      <c r="C15" s="165"/>
      <c r="D15" s="15"/>
      <c r="E15" s="137">
        <f t="shared" ref="E15:E16" si="3">D15*12</f>
        <v>0</v>
      </c>
      <c r="F15" s="15">
        <f t="shared" ref="F15:I16" si="4">E15*1.04</f>
        <v>0</v>
      </c>
      <c r="G15" s="15">
        <v>1000000</v>
      </c>
      <c r="H15" s="15">
        <f t="shared" si="4"/>
        <v>1040000</v>
      </c>
      <c r="I15" s="161">
        <f t="shared" si="4"/>
        <v>1081600</v>
      </c>
      <c r="J15"/>
      <c r="K15"/>
      <c r="L15"/>
    </row>
    <row r="16" spans="1:12" ht="12.75" customHeight="1" thickBot="1" x14ac:dyDescent="0.25">
      <c r="A16" s="181">
        <v>3</v>
      </c>
      <c r="B16" s="169" t="str">
        <f>+B25</f>
        <v xml:space="preserve">Inversion Obsequios </v>
      </c>
      <c r="C16" s="193"/>
      <c r="D16" s="187"/>
      <c r="E16" s="137">
        <f t="shared" si="3"/>
        <v>0</v>
      </c>
      <c r="F16" s="144">
        <f t="shared" si="4"/>
        <v>0</v>
      </c>
      <c r="G16" s="144">
        <f t="shared" si="4"/>
        <v>0</v>
      </c>
      <c r="H16" s="144">
        <f t="shared" si="4"/>
        <v>0</v>
      </c>
      <c r="I16" s="190">
        <f t="shared" si="4"/>
        <v>0</v>
      </c>
      <c r="J16"/>
      <c r="K16"/>
      <c r="L16"/>
    </row>
    <row r="17" spans="1:12" ht="13.5" thickBot="1" x14ac:dyDescent="0.25">
      <c r="A17" s="141"/>
      <c r="B17" s="398" t="s">
        <v>1</v>
      </c>
      <c r="C17" s="399"/>
      <c r="D17" s="191">
        <f>SUM(D14:D16)</f>
        <v>0</v>
      </c>
      <c r="E17" s="191">
        <f>SUM(E14:E16)</f>
        <v>100000</v>
      </c>
      <c r="F17" s="191">
        <f t="shared" ref="F17:I17" si="5">SUM(F14:F16)</f>
        <v>104000</v>
      </c>
      <c r="G17" s="191">
        <f t="shared" si="5"/>
        <v>1108160</v>
      </c>
      <c r="H17" s="191">
        <f t="shared" si="5"/>
        <v>1152486.3999999999</v>
      </c>
      <c r="I17" s="192">
        <f t="shared" si="5"/>
        <v>1198585.8559999999</v>
      </c>
      <c r="J17"/>
      <c r="K17"/>
      <c r="L17"/>
    </row>
    <row r="18" spans="1:12" ht="13.5" thickBot="1" x14ac:dyDescent="0.25">
      <c r="A18" s="159"/>
      <c r="B18" s="133"/>
      <c r="C18" s="159"/>
      <c r="D18" s="159"/>
      <c r="E18" s="159"/>
    </row>
    <row r="19" spans="1:12" ht="15" customHeight="1" thickBot="1" x14ac:dyDescent="0.25">
      <c r="A19" s="183"/>
      <c r="B19" s="402" t="s">
        <v>63</v>
      </c>
      <c r="C19" s="403"/>
      <c r="D19" s="184">
        <f>D10+D17</f>
        <v>1090000</v>
      </c>
      <c r="E19" s="184">
        <f>E10+E17</f>
        <v>13180000</v>
      </c>
      <c r="F19" s="184">
        <f t="shared" ref="F19:I19" si="6">F10+F17</f>
        <v>13707200</v>
      </c>
      <c r="G19" s="184">
        <f t="shared" si="6"/>
        <v>15255488</v>
      </c>
      <c r="H19" s="184">
        <f t="shared" si="6"/>
        <v>15865707.52</v>
      </c>
      <c r="I19" s="184">
        <f t="shared" si="6"/>
        <v>16500335.820799999</v>
      </c>
    </row>
    <row r="20" spans="1:12" s="9" customFormat="1" ht="15" customHeight="1" x14ac:dyDescent="0.2">
      <c r="B20" s="14"/>
    </row>
    <row r="21" spans="1:12" ht="15" customHeight="1" thickBot="1" x14ac:dyDescent="0.25">
      <c r="B21" s="10" t="s">
        <v>61</v>
      </c>
      <c r="C21" s="11"/>
      <c r="D21" s="12"/>
      <c r="E21" s="12"/>
    </row>
    <row r="22" spans="1:12" ht="15" customHeight="1" thickBot="1" x14ac:dyDescent="0.25">
      <c r="A22" s="198" t="s">
        <v>24</v>
      </c>
      <c r="B22" s="200" t="s">
        <v>37</v>
      </c>
      <c r="C22" s="199" t="s">
        <v>38</v>
      </c>
      <c r="D22" s="194" t="s">
        <v>39</v>
      </c>
      <c r="E22" s="195" t="s">
        <v>40</v>
      </c>
      <c r="G22" s="365"/>
    </row>
    <row r="23" spans="1:12" ht="15" customHeight="1" x14ac:dyDescent="0.2">
      <c r="A23" s="206">
        <v>1</v>
      </c>
      <c r="B23" s="155" t="s">
        <v>220</v>
      </c>
      <c r="C23" s="151">
        <v>5</v>
      </c>
      <c r="D23" s="186">
        <v>30000</v>
      </c>
      <c r="E23" s="138">
        <f t="shared" ref="E23:E25" si="7">+C23*D23</f>
        <v>150000</v>
      </c>
      <c r="G23" s="365"/>
    </row>
    <row r="24" spans="1:12" ht="15" customHeight="1" x14ac:dyDescent="0.2">
      <c r="A24" s="207">
        <v>2</v>
      </c>
      <c r="B24" s="156" t="s">
        <v>221</v>
      </c>
      <c r="C24" s="152">
        <v>5</v>
      </c>
      <c r="D24" s="186">
        <v>30000</v>
      </c>
      <c r="E24" s="136">
        <f t="shared" si="7"/>
        <v>150000</v>
      </c>
      <c r="G24" s="365"/>
    </row>
    <row r="25" spans="1:12" ht="15" customHeight="1" thickBot="1" x14ac:dyDescent="0.25">
      <c r="A25" s="208">
        <v>3</v>
      </c>
      <c r="B25" s="157" t="s">
        <v>222</v>
      </c>
      <c r="C25" s="153">
        <v>2</v>
      </c>
      <c r="D25" s="187">
        <v>50000</v>
      </c>
      <c r="E25" s="145">
        <f t="shared" si="7"/>
        <v>100000</v>
      </c>
      <c r="G25" s="365"/>
    </row>
    <row r="26" spans="1:12" s="19" customFormat="1" ht="15" customHeight="1" thickBot="1" x14ac:dyDescent="0.2">
      <c r="A26" s="407" t="s">
        <v>1</v>
      </c>
      <c r="B26" s="408"/>
      <c r="C26" s="409"/>
      <c r="D26" s="196">
        <f>SUM(D23:D25)</f>
        <v>110000</v>
      </c>
      <c r="E26" s="197">
        <f>SUM(E23:E25)</f>
        <v>400000</v>
      </c>
      <c r="G26" s="366"/>
    </row>
    <row r="27" spans="1:12" ht="15" customHeight="1" x14ac:dyDescent="0.2">
      <c r="G27" s="365"/>
    </row>
    <row r="28" spans="1:12" ht="15" customHeight="1" thickBot="1" x14ac:dyDescent="0.25">
      <c r="B28" s="10" t="s">
        <v>62</v>
      </c>
      <c r="G28" s="365"/>
    </row>
    <row r="29" spans="1:12" ht="26.25" customHeight="1" thickBot="1" x14ac:dyDescent="0.25">
      <c r="A29" s="198" t="s">
        <v>24</v>
      </c>
      <c r="B29" s="200" t="s">
        <v>37</v>
      </c>
      <c r="C29" s="199" t="s">
        <v>29</v>
      </c>
      <c r="D29" s="194" t="s">
        <v>49</v>
      </c>
      <c r="E29" s="195" t="s">
        <v>52</v>
      </c>
      <c r="F29" s="194" t="s">
        <v>50</v>
      </c>
      <c r="G29" s="365"/>
    </row>
    <row r="30" spans="1:12" ht="12.75" x14ac:dyDescent="0.2">
      <c r="A30" s="203">
        <v>1</v>
      </c>
      <c r="B30" s="209" t="s">
        <v>46</v>
      </c>
      <c r="C30" s="210">
        <v>12</v>
      </c>
      <c r="D30" s="211">
        <v>20000</v>
      </c>
      <c r="E30" s="212">
        <f>+F30/12</f>
        <v>20000</v>
      </c>
      <c r="F30" s="211">
        <f>+C30*D30</f>
        <v>240000</v>
      </c>
      <c r="G30" s="365"/>
    </row>
    <row r="31" spans="1:12" ht="12.75" x14ac:dyDescent="0.2">
      <c r="A31" s="204">
        <v>2</v>
      </c>
      <c r="B31" s="213" t="s">
        <v>47</v>
      </c>
      <c r="C31" s="214">
        <v>2</v>
      </c>
      <c r="D31" s="215">
        <v>8000</v>
      </c>
      <c r="E31" s="216">
        <f t="shared" ref="E31:E35" si="8">+F31/12</f>
        <v>1333.3333333333333</v>
      </c>
      <c r="F31" s="215">
        <f t="shared" ref="F31:F35" si="9">+C31*D31</f>
        <v>16000</v>
      </c>
      <c r="G31" s="365"/>
    </row>
    <row r="32" spans="1:12" ht="12.75" x14ac:dyDescent="0.2">
      <c r="A32" s="204">
        <v>3</v>
      </c>
      <c r="B32" s="213" t="s">
        <v>48</v>
      </c>
      <c r="C32" s="214">
        <v>3</v>
      </c>
      <c r="D32" s="215">
        <v>25000</v>
      </c>
      <c r="E32" s="216">
        <f t="shared" si="8"/>
        <v>6250</v>
      </c>
      <c r="F32" s="215">
        <f t="shared" si="9"/>
        <v>75000</v>
      </c>
      <c r="G32" s="365"/>
    </row>
    <row r="33" spans="1:7" ht="12.75" x14ac:dyDescent="0.2">
      <c r="A33" s="204">
        <v>4</v>
      </c>
      <c r="B33" s="213" t="s">
        <v>65</v>
      </c>
      <c r="C33" s="214">
        <v>6</v>
      </c>
      <c r="D33" s="215">
        <v>1500</v>
      </c>
      <c r="E33" s="216">
        <f t="shared" si="8"/>
        <v>750</v>
      </c>
      <c r="F33" s="215">
        <f t="shared" si="9"/>
        <v>9000</v>
      </c>
      <c r="G33" s="365"/>
    </row>
    <row r="34" spans="1:7" ht="12.75" x14ac:dyDescent="0.2">
      <c r="A34" s="204">
        <v>5</v>
      </c>
      <c r="B34" s="217" t="s">
        <v>44</v>
      </c>
      <c r="C34" s="218">
        <v>5</v>
      </c>
      <c r="D34" s="215">
        <f>+Inversión!D16</f>
        <v>10000</v>
      </c>
      <c r="E34" s="216">
        <f t="shared" si="8"/>
        <v>4166.666666666667</v>
      </c>
      <c r="F34" s="215">
        <f t="shared" si="9"/>
        <v>50000</v>
      </c>
      <c r="G34" s="365"/>
    </row>
    <row r="35" spans="1:7" ht="13.5" thickBot="1" x14ac:dyDescent="0.25">
      <c r="A35" s="205">
        <v>6</v>
      </c>
      <c r="B35" s="219" t="s">
        <v>45</v>
      </c>
      <c r="C35" s="220">
        <v>2</v>
      </c>
      <c r="D35" s="215">
        <v>5000</v>
      </c>
      <c r="E35" s="222">
        <f t="shared" si="8"/>
        <v>833.33333333333337</v>
      </c>
      <c r="F35" s="221">
        <f t="shared" si="9"/>
        <v>10000</v>
      </c>
      <c r="G35" s="365"/>
    </row>
    <row r="36" spans="1:7" ht="13.5" thickBot="1" x14ac:dyDescent="0.25">
      <c r="A36" s="410" t="s">
        <v>1</v>
      </c>
      <c r="B36" s="411"/>
      <c r="C36" s="411"/>
      <c r="D36" s="412"/>
      <c r="E36" s="202">
        <f>SUM(E30:E35)</f>
        <v>33333.333333333336</v>
      </c>
      <c r="F36" s="201">
        <f>SUM(F30:F35)</f>
        <v>400000</v>
      </c>
      <c r="G36" s="365"/>
    </row>
    <row r="37" spans="1:7" ht="12.75" x14ac:dyDescent="0.2"/>
  </sheetData>
  <mergeCells count="5">
    <mergeCell ref="A26:C26"/>
    <mergeCell ref="A36:D36"/>
    <mergeCell ref="B10:C10"/>
    <mergeCell ref="B17:C17"/>
    <mergeCell ref="B19:C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zoomScale="85" zoomScaleNormal="85" workbookViewId="0">
      <selection activeCell="A17" sqref="A17:H24"/>
    </sheetView>
  </sheetViews>
  <sheetFormatPr baseColWidth="10" defaultColWidth="11.42578125" defaultRowHeight="15" customHeight="1" x14ac:dyDescent="0.2"/>
  <cols>
    <col min="1" max="1" width="2.85546875" style="1" customWidth="1"/>
    <col min="2" max="2" width="13.140625" style="1" customWidth="1"/>
    <col min="3" max="3" width="17.28515625" style="2" customWidth="1"/>
    <col min="4" max="4" width="24.5703125" style="2" customWidth="1"/>
    <col min="5" max="5" width="23.42578125" style="2" customWidth="1"/>
    <col min="6" max="7" width="23.28515625" style="2" customWidth="1"/>
    <col min="8" max="8" width="22.7109375" style="2" customWidth="1"/>
    <col min="9" max="13" width="13.7109375" style="2" customWidth="1"/>
    <col min="14" max="14" width="17" style="2" customWidth="1"/>
    <col min="15" max="25" width="13.7109375" style="2" customWidth="1"/>
    <col min="26" max="26" width="16.140625" style="2" customWidth="1"/>
    <col min="27" max="27" width="16.28515625" style="2" bestFit="1" customWidth="1"/>
    <col min="28" max="28" width="16.140625" style="2" bestFit="1" customWidth="1"/>
    <col min="29" max="31" width="11.42578125" style="3"/>
    <col min="32" max="16384" width="11.42578125" style="1"/>
  </cols>
  <sheetData>
    <row r="1" spans="1:31" ht="15" customHeight="1" thickBot="1" x14ac:dyDescent="0.25">
      <c r="B1" s="7" t="s">
        <v>26</v>
      </c>
    </row>
    <row r="2" spans="1:31" ht="21" customHeight="1" x14ac:dyDescent="0.2">
      <c r="A2" s="448" t="s">
        <v>24</v>
      </c>
      <c r="B2" s="450" t="s">
        <v>0</v>
      </c>
      <c r="C2" s="452" t="s">
        <v>3</v>
      </c>
      <c r="D2" s="440" t="s">
        <v>4</v>
      </c>
      <c r="E2" s="440" t="s">
        <v>5</v>
      </c>
      <c r="F2" s="440" t="s">
        <v>6</v>
      </c>
      <c r="G2" s="440" t="s">
        <v>7</v>
      </c>
      <c r="H2" s="440" t="s">
        <v>8</v>
      </c>
      <c r="I2" s="440" t="s">
        <v>9</v>
      </c>
      <c r="J2" s="440" t="s">
        <v>10</v>
      </c>
      <c r="K2" s="440" t="s">
        <v>11</v>
      </c>
      <c r="L2" s="440" t="s">
        <v>12</v>
      </c>
      <c r="M2" s="440" t="s">
        <v>180</v>
      </c>
      <c r="N2" s="440" t="s">
        <v>181</v>
      </c>
      <c r="O2" s="440" t="s">
        <v>13</v>
      </c>
      <c r="P2" s="440" t="s">
        <v>14</v>
      </c>
      <c r="Q2" s="440" t="s">
        <v>15</v>
      </c>
      <c r="R2" s="440" t="s">
        <v>16</v>
      </c>
      <c r="S2" s="440" t="s">
        <v>17</v>
      </c>
      <c r="T2" s="440" t="s">
        <v>17</v>
      </c>
      <c r="U2" s="440" t="s">
        <v>18</v>
      </c>
      <c r="V2" s="440" t="s">
        <v>19</v>
      </c>
      <c r="W2" s="440" t="s">
        <v>20</v>
      </c>
      <c r="X2" s="440" t="s">
        <v>21</v>
      </c>
      <c r="Y2" s="440" t="s">
        <v>22</v>
      </c>
      <c r="Z2" s="442" t="s">
        <v>23</v>
      </c>
      <c r="AA2" s="3"/>
      <c r="AB2" s="3"/>
      <c r="AD2" s="1"/>
      <c r="AE2" s="1"/>
    </row>
    <row r="3" spans="1:31" ht="21.75" customHeight="1" thickBot="1" x14ac:dyDescent="0.25">
      <c r="A3" s="449"/>
      <c r="B3" s="451"/>
      <c r="C3" s="453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3"/>
      <c r="AA3" s="3"/>
      <c r="AB3" s="3"/>
      <c r="AD3" s="1"/>
      <c r="AE3" s="1"/>
    </row>
    <row r="4" spans="1:31" ht="12.75" x14ac:dyDescent="0.2">
      <c r="A4" s="223">
        <v>1</v>
      </c>
      <c r="B4" s="234" t="s">
        <v>203</v>
      </c>
      <c r="C4" s="232">
        <v>850000</v>
      </c>
      <c r="D4" s="4">
        <f t="shared" ref="D4:D14" si="0">C4*12</f>
        <v>10200000</v>
      </c>
      <c r="E4" s="4">
        <v>77000</v>
      </c>
      <c r="F4" s="4">
        <f>E4*12</f>
        <v>924000</v>
      </c>
      <c r="G4" s="4">
        <f t="shared" ref="G4:G14" si="1">(C4)*0.04</f>
        <v>34000</v>
      </c>
      <c r="H4" s="4">
        <f t="shared" ref="H4:H14" si="2">G4*12</f>
        <v>408000</v>
      </c>
      <c r="I4" s="4">
        <f t="shared" ref="I4:I14" si="3">C4*0.04</f>
        <v>34000</v>
      </c>
      <c r="J4" s="4">
        <f t="shared" ref="J4:J14" si="4">I4*12</f>
        <v>408000</v>
      </c>
      <c r="K4" s="4">
        <f t="shared" ref="K4:K14" si="5">C4*(12/100)</f>
        <v>102000</v>
      </c>
      <c r="L4" s="4">
        <f t="shared" ref="L4:L14" si="6">K4*12</f>
        <v>1224000</v>
      </c>
      <c r="M4" s="4">
        <f t="shared" ref="M4:M14" si="7">C4*(0.522/100)</f>
        <v>4437</v>
      </c>
      <c r="N4" s="4">
        <f t="shared" ref="N4:N14" si="8">M4*12</f>
        <v>53244</v>
      </c>
      <c r="O4" s="4">
        <f t="shared" ref="O4:O14" si="9">C4/12</f>
        <v>70833.333333333328</v>
      </c>
      <c r="P4" s="4">
        <f t="shared" ref="P4:P14" si="10">O4*12</f>
        <v>850000</v>
      </c>
      <c r="Q4" s="4">
        <f t="shared" ref="Q4:Q14" si="11">C4/12</f>
        <v>70833.333333333328</v>
      </c>
      <c r="R4" s="4">
        <f t="shared" ref="R4:R14" si="12">Q4*12</f>
        <v>850000</v>
      </c>
      <c r="S4" s="4">
        <f t="shared" ref="S4:S14" si="13">Q4*(12/100)</f>
        <v>8500</v>
      </c>
      <c r="T4" s="4">
        <f t="shared" ref="T4:T14" si="14">S4*12</f>
        <v>102000</v>
      </c>
      <c r="U4" s="4">
        <f t="shared" ref="U4:U14" si="15">C4*0.04167</f>
        <v>35419.5</v>
      </c>
      <c r="V4" s="4">
        <f t="shared" ref="V4:V14" si="16">U4*12</f>
        <v>425034</v>
      </c>
      <c r="W4" s="4">
        <f t="shared" ref="W4:W14" si="17">C4*(9/100)</f>
        <v>76500</v>
      </c>
      <c r="X4" s="4">
        <f t="shared" ref="X4:X14" si="18">W4*12</f>
        <v>918000</v>
      </c>
      <c r="Y4" s="4">
        <f>((((((((C4+E4)+K4)+M4)+O4)+Q4)+S4)+U4)+W4)</f>
        <v>1295523.1666666665</v>
      </c>
      <c r="Z4" s="224">
        <f>Y4*12</f>
        <v>15546277.999999998</v>
      </c>
      <c r="AA4" s="3"/>
      <c r="AB4" s="3"/>
      <c r="AD4" s="1"/>
      <c r="AE4" s="1"/>
    </row>
    <row r="5" spans="1:31" ht="12.75" x14ac:dyDescent="0.2">
      <c r="A5" s="223">
        <v>2</v>
      </c>
      <c r="B5" s="234" t="s">
        <v>213</v>
      </c>
      <c r="C5" s="232">
        <v>850000</v>
      </c>
      <c r="D5" s="4">
        <f t="shared" si="0"/>
        <v>10200000</v>
      </c>
      <c r="E5" s="4">
        <v>77000</v>
      </c>
      <c r="F5" s="4">
        <f t="shared" ref="F5:F14" si="19">E5*12</f>
        <v>924000</v>
      </c>
      <c r="G5" s="4">
        <f t="shared" si="1"/>
        <v>34000</v>
      </c>
      <c r="H5" s="4">
        <f t="shared" si="2"/>
        <v>408000</v>
      </c>
      <c r="I5" s="4">
        <f t="shared" si="3"/>
        <v>34000</v>
      </c>
      <c r="J5" s="4">
        <f t="shared" si="4"/>
        <v>408000</v>
      </c>
      <c r="K5" s="4">
        <f t="shared" si="5"/>
        <v>102000</v>
      </c>
      <c r="L5" s="4">
        <f t="shared" si="6"/>
        <v>1224000</v>
      </c>
      <c r="M5" s="4">
        <f t="shared" si="7"/>
        <v>4437</v>
      </c>
      <c r="N5" s="4">
        <f t="shared" si="8"/>
        <v>53244</v>
      </c>
      <c r="O5" s="4">
        <f t="shared" si="9"/>
        <v>70833.333333333328</v>
      </c>
      <c r="P5" s="4">
        <f t="shared" si="10"/>
        <v>850000</v>
      </c>
      <c r="Q5" s="4">
        <f t="shared" si="11"/>
        <v>70833.333333333328</v>
      </c>
      <c r="R5" s="4">
        <f t="shared" si="12"/>
        <v>850000</v>
      </c>
      <c r="S5" s="4">
        <f t="shared" si="13"/>
        <v>8500</v>
      </c>
      <c r="T5" s="4">
        <f t="shared" si="14"/>
        <v>102000</v>
      </c>
      <c r="U5" s="4">
        <f t="shared" si="15"/>
        <v>35419.5</v>
      </c>
      <c r="V5" s="4">
        <f t="shared" si="16"/>
        <v>425034</v>
      </c>
      <c r="W5" s="4">
        <f t="shared" si="17"/>
        <v>76500</v>
      </c>
      <c r="X5" s="4">
        <f t="shared" si="18"/>
        <v>918000</v>
      </c>
      <c r="Y5" s="4">
        <f t="shared" ref="Y5:Y14" si="20">((((((((C5+E5)+K5)+M5)+O5)+Q5)+S5)+U5)+W5)</f>
        <v>1295523.1666666665</v>
      </c>
      <c r="Z5" s="224">
        <f t="shared" ref="Z5:Z12" si="21">Y5*12</f>
        <v>15546277.999999998</v>
      </c>
      <c r="AA5" s="3"/>
      <c r="AB5" s="3"/>
      <c r="AD5" s="1"/>
      <c r="AE5" s="1"/>
    </row>
    <row r="6" spans="1:31" ht="12.75" x14ac:dyDescent="0.2">
      <c r="A6" s="223">
        <v>3</v>
      </c>
      <c r="B6" s="234" t="s">
        <v>218</v>
      </c>
      <c r="C6" s="232">
        <v>900000</v>
      </c>
      <c r="D6" s="4">
        <f t="shared" si="0"/>
        <v>10800000</v>
      </c>
      <c r="E6" s="4">
        <v>77000</v>
      </c>
      <c r="F6" s="4">
        <f t="shared" si="19"/>
        <v>924000</v>
      </c>
      <c r="G6" s="4">
        <f t="shared" si="1"/>
        <v>36000</v>
      </c>
      <c r="H6" s="4">
        <f t="shared" si="2"/>
        <v>432000</v>
      </c>
      <c r="I6" s="4">
        <f t="shared" si="3"/>
        <v>36000</v>
      </c>
      <c r="J6" s="4">
        <f t="shared" si="4"/>
        <v>432000</v>
      </c>
      <c r="K6" s="4">
        <f t="shared" si="5"/>
        <v>108000</v>
      </c>
      <c r="L6" s="4">
        <f t="shared" si="6"/>
        <v>1296000</v>
      </c>
      <c r="M6" s="4">
        <f t="shared" si="7"/>
        <v>4698</v>
      </c>
      <c r="N6" s="4">
        <f t="shared" si="8"/>
        <v>56376</v>
      </c>
      <c r="O6" s="4">
        <f t="shared" si="9"/>
        <v>75000</v>
      </c>
      <c r="P6" s="4">
        <f t="shared" si="10"/>
        <v>900000</v>
      </c>
      <c r="Q6" s="4">
        <f t="shared" si="11"/>
        <v>75000</v>
      </c>
      <c r="R6" s="4">
        <f t="shared" si="12"/>
        <v>900000</v>
      </c>
      <c r="S6" s="4">
        <f t="shared" si="13"/>
        <v>9000</v>
      </c>
      <c r="T6" s="4">
        <f t="shared" si="14"/>
        <v>108000</v>
      </c>
      <c r="U6" s="4">
        <f t="shared" si="15"/>
        <v>37503</v>
      </c>
      <c r="V6" s="4">
        <f t="shared" si="16"/>
        <v>450036</v>
      </c>
      <c r="W6" s="4">
        <f t="shared" si="17"/>
        <v>81000</v>
      </c>
      <c r="X6" s="4">
        <f t="shared" si="18"/>
        <v>972000</v>
      </c>
      <c r="Y6" s="4">
        <f t="shared" si="20"/>
        <v>1367201</v>
      </c>
      <c r="Z6" s="224">
        <f t="shared" si="21"/>
        <v>16406412</v>
      </c>
      <c r="AA6" s="3"/>
      <c r="AB6" s="3"/>
      <c r="AD6" s="1"/>
      <c r="AE6" s="1"/>
    </row>
    <row r="7" spans="1:31" ht="12.75" x14ac:dyDescent="0.2">
      <c r="A7" s="223">
        <v>4</v>
      </c>
      <c r="B7" s="234" t="s">
        <v>225</v>
      </c>
      <c r="C7" s="232">
        <v>1500000</v>
      </c>
      <c r="D7" s="4">
        <f t="shared" si="0"/>
        <v>18000000</v>
      </c>
      <c r="E7" s="4">
        <v>0</v>
      </c>
      <c r="F7" s="4">
        <f t="shared" si="19"/>
        <v>0</v>
      </c>
      <c r="G7" s="4">
        <f t="shared" si="1"/>
        <v>60000</v>
      </c>
      <c r="H7" s="4">
        <f t="shared" si="2"/>
        <v>720000</v>
      </c>
      <c r="I7" s="4">
        <f t="shared" si="3"/>
        <v>60000</v>
      </c>
      <c r="J7" s="4">
        <f t="shared" si="4"/>
        <v>720000</v>
      </c>
      <c r="K7" s="4">
        <f t="shared" si="5"/>
        <v>180000</v>
      </c>
      <c r="L7" s="4">
        <f t="shared" si="6"/>
        <v>2160000</v>
      </c>
      <c r="M7" s="4">
        <f t="shared" si="7"/>
        <v>7830</v>
      </c>
      <c r="N7" s="4">
        <f t="shared" si="8"/>
        <v>93960</v>
      </c>
      <c r="O7" s="4">
        <f t="shared" si="9"/>
        <v>125000</v>
      </c>
      <c r="P7" s="4">
        <f t="shared" si="10"/>
        <v>1500000</v>
      </c>
      <c r="Q7" s="4">
        <f t="shared" si="11"/>
        <v>125000</v>
      </c>
      <c r="R7" s="4">
        <f t="shared" si="12"/>
        <v>1500000</v>
      </c>
      <c r="S7" s="4">
        <f t="shared" si="13"/>
        <v>15000</v>
      </c>
      <c r="T7" s="4">
        <f t="shared" si="14"/>
        <v>180000</v>
      </c>
      <c r="U7" s="4">
        <f t="shared" si="15"/>
        <v>62505</v>
      </c>
      <c r="V7" s="4">
        <f t="shared" si="16"/>
        <v>750060</v>
      </c>
      <c r="W7" s="4">
        <f t="shared" si="17"/>
        <v>135000</v>
      </c>
      <c r="X7" s="4">
        <f t="shared" si="18"/>
        <v>1620000</v>
      </c>
      <c r="Y7" s="4">
        <f t="shared" si="20"/>
        <v>2150335</v>
      </c>
      <c r="Z7" s="224">
        <f t="shared" si="21"/>
        <v>25804020</v>
      </c>
      <c r="AA7" s="3"/>
      <c r="AB7" s="3"/>
      <c r="AD7" s="1"/>
      <c r="AE7" s="1"/>
    </row>
    <row r="8" spans="1:31" ht="12.75" hidden="1" x14ac:dyDescent="0.2">
      <c r="A8" s="223">
        <v>5</v>
      </c>
      <c r="B8" s="234"/>
      <c r="C8" s="232"/>
      <c r="D8" s="4">
        <f t="shared" si="0"/>
        <v>0</v>
      </c>
      <c r="E8" s="4"/>
      <c r="F8" s="4">
        <f t="shared" si="19"/>
        <v>0</v>
      </c>
      <c r="G8" s="4">
        <f t="shared" si="1"/>
        <v>0</v>
      </c>
      <c r="H8" s="4">
        <f t="shared" si="2"/>
        <v>0</v>
      </c>
      <c r="I8" s="4">
        <f t="shared" si="3"/>
        <v>0</v>
      </c>
      <c r="J8" s="4">
        <f t="shared" si="4"/>
        <v>0</v>
      </c>
      <c r="K8" s="4">
        <f t="shared" si="5"/>
        <v>0</v>
      </c>
      <c r="L8" s="4">
        <f t="shared" si="6"/>
        <v>0</v>
      </c>
      <c r="M8" s="4">
        <f t="shared" si="7"/>
        <v>0</v>
      </c>
      <c r="N8" s="4">
        <f t="shared" si="8"/>
        <v>0</v>
      </c>
      <c r="O8" s="4">
        <f t="shared" si="9"/>
        <v>0</v>
      </c>
      <c r="P8" s="4">
        <f t="shared" si="10"/>
        <v>0</v>
      </c>
      <c r="Q8" s="4">
        <f t="shared" si="11"/>
        <v>0</v>
      </c>
      <c r="R8" s="4">
        <f t="shared" si="12"/>
        <v>0</v>
      </c>
      <c r="S8" s="4">
        <f t="shared" si="13"/>
        <v>0</v>
      </c>
      <c r="T8" s="4">
        <f t="shared" si="14"/>
        <v>0</v>
      </c>
      <c r="U8" s="4">
        <f t="shared" si="15"/>
        <v>0</v>
      </c>
      <c r="V8" s="4">
        <f t="shared" si="16"/>
        <v>0</v>
      </c>
      <c r="W8" s="4">
        <f t="shared" si="17"/>
        <v>0</v>
      </c>
      <c r="X8" s="4">
        <f t="shared" si="18"/>
        <v>0</v>
      </c>
      <c r="Y8" s="4">
        <f t="shared" si="20"/>
        <v>0</v>
      </c>
      <c r="Z8" s="224">
        <f t="shared" si="21"/>
        <v>0</v>
      </c>
      <c r="AA8" s="3"/>
      <c r="AB8" s="3"/>
      <c r="AD8" s="1"/>
      <c r="AE8" s="1"/>
    </row>
    <row r="9" spans="1:31" ht="12.75" hidden="1" x14ac:dyDescent="0.2">
      <c r="A9" s="223">
        <v>6</v>
      </c>
      <c r="B9" s="234"/>
      <c r="C9" s="232"/>
      <c r="D9" s="4">
        <f t="shared" si="0"/>
        <v>0</v>
      </c>
      <c r="E9" s="4"/>
      <c r="F9" s="4">
        <f t="shared" si="19"/>
        <v>0</v>
      </c>
      <c r="G9" s="4">
        <f t="shared" si="1"/>
        <v>0</v>
      </c>
      <c r="H9" s="4">
        <f t="shared" si="2"/>
        <v>0</v>
      </c>
      <c r="I9" s="4">
        <f t="shared" si="3"/>
        <v>0</v>
      </c>
      <c r="J9" s="4">
        <f t="shared" si="4"/>
        <v>0</v>
      </c>
      <c r="K9" s="4">
        <f t="shared" si="5"/>
        <v>0</v>
      </c>
      <c r="L9" s="4">
        <f t="shared" si="6"/>
        <v>0</v>
      </c>
      <c r="M9" s="4">
        <f t="shared" si="7"/>
        <v>0</v>
      </c>
      <c r="N9" s="4">
        <f t="shared" si="8"/>
        <v>0</v>
      </c>
      <c r="O9" s="4">
        <f t="shared" si="9"/>
        <v>0</v>
      </c>
      <c r="P9" s="4">
        <f t="shared" si="10"/>
        <v>0</v>
      </c>
      <c r="Q9" s="4">
        <f t="shared" si="11"/>
        <v>0</v>
      </c>
      <c r="R9" s="4">
        <f t="shared" si="12"/>
        <v>0</v>
      </c>
      <c r="S9" s="4">
        <f t="shared" si="13"/>
        <v>0</v>
      </c>
      <c r="T9" s="4">
        <f t="shared" si="14"/>
        <v>0</v>
      </c>
      <c r="U9" s="4">
        <f t="shared" si="15"/>
        <v>0</v>
      </c>
      <c r="V9" s="4">
        <f t="shared" si="16"/>
        <v>0</v>
      </c>
      <c r="W9" s="4">
        <f t="shared" si="17"/>
        <v>0</v>
      </c>
      <c r="X9" s="4">
        <f t="shared" si="18"/>
        <v>0</v>
      </c>
      <c r="Y9" s="4">
        <f t="shared" si="20"/>
        <v>0</v>
      </c>
      <c r="Z9" s="224">
        <f t="shared" si="21"/>
        <v>0</v>
      </c>
      <c r="AA9" s="3"/>
      <c r="AB9" s="3"/>
      <c r="AD9" s="1"/>
      <c r="AE9" s="1"/>
    </row>
    <row r="10" spans="1:31" ht="12.75" hidden="1" x14ac:dyDescent="0.2">
      <c r="A10" s="223">
        <v>7</v>
      </c>
      <c r="B10" s="234"/>
      <c r="C10" s="232"/>
      <c r="D10" s="4">
        <f t="shared" si="0"/>
        <v>0</v>
      </c>
      <c r="E10" s="4"/>
      <c r="F10" s="4">
        <f t="shared" si="19"/>
        <v>0</v>
      </c>
      <c r="G10" s="4">
        <f t="shared" si="1"/>
        <v>0</v>
      </c>
      <c r="H10" s="4">
        <f t="shared" si="2"/>
        <v>0</v>
      </c>
      <c r="I10" s="4">
        <f t="shared" si="3"/>
        <v>0</v>
      </c>
      <c r="J10" s="4">
        <f t="shared" si="4"/>
        <v>0</v>
      </c>
      <c r="K10" s="4">
        <f t="shared" si="5"/>
        <v>0</v>
      </c>
      <c r="L10" s="4">
        <f t="shared" si="6"/>
        <v>0</v>
      </c>
      <c r="M10" s="4">
        <f t="shared" si="7"/>
        <v>0</v>
      </c>
      <c r="N10" s="4">
        <f t="shared" si="8"/>
        <v>0</v>
      </c>
      <c r="O10" s="4">
        <f t="shared" si="9"/>
        <v>0</v>
      </c>
      <c r="P10" s="4">
        <f t="shared" si="10"/>
        <v>0</v>
      </c>
      <c r="Q10" s="4">
        <f t="shared" si="11"/>
        <v>0</v>
      </c>
      <c r="R10" s="4">
        <f t="shared" si="12"/>
        <v>0</v>
      </c>
      <c r="S10" s="4">
        <f t="shared" si="13"/>
        <v>0</v>
      </c>
      <c r="T10" s="4">
        <f t="shared" si="14"/>
        <v>0</v>
      </c>
      <c r="U10" s="4">
        <f t="shared" si="15"/>
        <v>0</v>
      </c>
      <c r="V10" s="4">
        <f t="shared" si="16"/>
        <v>0</v>
      </c>
      <c r="W10" s="4">
        <f t="shared" si="17"/>
        <v>0</v>
      </c>
      <c r="X10" s="4">
        <f t="shared" si="18"/>
        <v>0</v>
      </c>
      <c r="Y10" s="4">
        <f t="shared" si="20"/>
        <v>0</v>
      </c>
      <c r="Z10" s="224">
        <f t="shared" si="21"/>
        <v>0</v>
      </c>
      <c r="AA10" s="3"/>
      <c r="AB10" s="3"/>
      <c r="AD10" s="1"/>
      <c r="AE10" s="1"/>
    </row>
    <row r="11" spans="1:31" ht="12.75" hidden="1" x14ac:dyDescent="0.2">
      <c r="A11" s="223">
        <v>8</v>
      </c>
      <c r="B11" s="234"/>
      <c r="C11" s="232"/>
      <c r="D11" s="4">
        <f t="shared" si="0"/>
        <v>0</v>
      </c>
      <c r="E11" s="4"/>
      <c r="F11" s="4">
        <f t="shared" si="19"/>
        <v>0</v>
      </c>
      <c r="G11" s="4">
        <f t="shared" si="1"/>
        <v>0</v>
      </c>
      <c r="H11" s="4">
        <f t="shared" si="2"/>
        <v>0</v>
      </c>
      <c r="I11" s="4">
        <f t="shared" si="3"/>
        <v>0</v>
      </c>
      <c r="J11" s="4">
        <f t="shared" si="4"/>
        <v>0</v>
      </c>
      <c r="K11" s="4">
        <f t="shared" si="5"/>
        <v>0</v>
      </c>
      <c r="L11" s="4">
        <f t="shared" si="6"/>
        <v>0</v>
      </c>
      <c r="M11" s="4">
        <f t="shared" si="7"/>
        <v>0</v>
      </c>
      <c r="N11" s="4">
        <f t="shared" si="8"/>
        <v>0</v>
      </c>
      <c r="O11" s="4">
        <f t="shared" si="9"/>
        <v>0</v>
      </c>
      <c r="P11" s="4">
        <f t="shared" si="10"/>
        <v>0</v>
      </c>
      <c r="Q11" s="4">
        <f t="shared" si="11"/>
        <v>0</v>
      </c>
      <c r="R11" s="4">
        <f t="shared" si="12"/>
        <v>0</v>
      </c>
      <c r="S11" s="4">
        <f t="shared" si="13"/>
        <v>0</v>
      </c>
      <c r="T11" s="4">
        <f t="shared" si="14"/>
        <v>0</v>
      </c>
      <c r="U11" s="4">
        <f t="shared" si="15"/>
        <v>0</v>
      </c>
      <c r="V11" s="4">
        <f t="shared" si="16"/>
        <v>0</v>
      </c>
      <c r="W11" s="4">
        <f t="shared" si="17"/>
        <v>0</v>
      </c>
      <c r="X11" s="4">
        <f t="shared" si="18"/>
        <v>0</v>
      </c>
      <c r="Y11" s="4">
        <f t="shared" si="20"/>
        <v>0</v>
      </c>
      <c r="Z11" s="224">
        <f t="shared" si="21"/>
        <v>0</v>
      </c>
      <c r="AA11" s="3"/>
      <c r="AB11" s="3"/>
      <c r="AD11" s="1"/>
      <c r="AE11" s="1"/>
    </row>
    <row r="12" spans="1:31" ht="12.75" hidden="1" x14ac:dyDescent="0.2">
      <c r="A12" s="223">
        <v>9</v>
      </c>
      <c r="B12" s="234"/>
      <c r="C12" s="232"/>
      <c r="D12" s="4">
        <f t="shared" si="0"/>
        <v>0</v>
      </c>
      <c r="E12" s="4"/>
      <c r="F12" s="4">
        <f t="shared" si="19"/>
        <v>0</v>
      </c>
      <c r="G12" s="4">
        <f t="shared" si="1"/>
        <v>0</v>
      </c>
      <c r="H12" s="4">
        <f t="shared" si="2"/>
        <v>0</v>
      </c>
      <c r="I12" s="4">
        <f t="shared" si="3"/>
        <v>0</v>
      </c>
      <c r="J12" s="4">
        <f t="shared" si="4"/>
        <v>0</v>
      </c>
      <c r="K12" s="4">
        <f t="shared" si="5"/>
        <v>0</v>
      </c>
      <c r="L12" s="4">
        <f t="shared" si="6"/>
        <v>0</v>
      </c>
      <c r="M12" s="4">
        <f t="shared" si="7"/>
        <v>0</v>
      </c>
      <c r="N12" s="4">
        <f t="shared" si="8"/>
        <v>0</v>
      </c>
      <c r="O12" s="4">
        <f t="shared" si="9"/>
        <v>0</v>
      </c>
      <c r="P12" s="4">
        <f t="shared" si="10"/>
        <v>0</v>
      </c>
      <c r="Q12" s="4">
        <f t="shared" si="11"/>
        <v>0</v>
      </c>
      <c r="R12" s="4">
        <f t="shared" si="12"/>
        <v>0</v>
      </c>
      <c r="S12" s="4">
        <f t="shared" si="13"/>
        <v>0</v>
      </c>
      <c r="T12" s="4">
        <f t="shared" si="14"/>
        <v>0</v>
      </c>
      <c r="U12" s="4">
        <f t="shared" si="15"/>
        <v>0</v>
      </c>
      <c r="V12" s="4">
        <f t="shared" si="16"/>
        <v>0</v>
      </c>
      <c r="W12" s="4">
        <f t="shared" si="17"/>
        <v>0</v>
      </c>
      <c r="X12" s="4">
        <f t="shared" si="18"/>
        <v>0</v>
      </c>
      <c r="Y12" s="4">
        <f t="shared" si="20"/>
        <v>0</v>
      </c>
      <c r="Z12" s="224">
        <f t="shared" si="21"/>
        <v>0</v>
      </c>
      <c r="AA12" s="3"/>
      <c r="AB12" s="3"/>
      <c r="AD12" s="1"/>
      <c r="AE12" s="1"/>
    </row>
    <row r="13" spans="1:31" ht="12.75" hidden="1" x14ac:dyDescent="0.2">
      <c r="A13" s="223">
        <v>10</v>
      </c>
      <c r="B13" s="234"/>
      <c r="C13" s="232"/>
      <c r="D13" s="5">
        <f t="shared" si="0"/>
        <v>0</v>
      </c>
      <c r="E13" s="4"/>
      <c r="F13" s="4">
        <f t="shared" si="19"/>
        <v>0</v>
      </c>
      <c r="G13" s="4">
        <f t="shared" si="1"/>
        <v>0</v>
      </c>
      <c r="H13" s="4">
        <f t="shared" si="2"/>
        <v>0</v>
      </c>
      <c r="I13" s="4">
        <f t="shared" si="3"/>
        <v>0</v>
      </c>
      <c r="J13" s="4">
        <f t="shared" si="4"/>
        <v>0</v>
      </c>
      <c r="K13" s="4">
        <f t="shared" si="5"/>
        <v>0</v>
      </c>
      <c r="L13" s="4">
        <f t="shared" si="6"/>
        <v>0</v>
      </c>
      <c r="M13" s="4">
        <f t="shared" si="7"/>
        <v>0</v>
      </c>
      <c r="N13" s="4">
        <f t="shared" si="8"/>
        <v>0</v>
      </c>
      <c r="O13" s="4">
        <f t="shared" si="9"/>
        <v>0</v>
      </c>
      <c r="P13" s="4">
        <f t="shared" si="10"/>
        <v>0</v>
      </c>
      <c r="Q13" s="4">
        <f t="shared" si="11"/>
        <v>0</v>
      </c>
      <c r="R13" s="4">
        <f t="shared" si="12"/>
        <v>0</v>
      </c>
      <c r="S13" s="4">
        <f t="shared" si="13"/>
        <v>0</v>
      </c>
      <c r="T13" s="5">
        <f t="shared" si="14"/>
        <v>0</v>
      </c>
      <c r="U13" s="5">
        <f t="shared" si="15"/>
        <v>0</v>
      </c>
      <c r="V13" s="5">
        <f t="shared" si="16"/>
        <v>0</v>
      </c>
      <c r="W13" s="5">
        <f t="shared" si="17"/>
        <v>0</v>
      </c>
      <c r="X13" s="5">
        <f t="shared" si="18"/>
        <v>0</v>
      </c>
      <c r="Y13" s="4">
        <f t="shared" si="20"/>
        <v>0</v>
      </c>
      <c r="Z13" s="226">
        <f>Y13*12</f>
        <v>0</v>
      </c>
      <c r="AA13" s="3"/>
      <c r="AB13" s="3"/>
      <c r="AD13" s="1"/>
      <c r="AE13" s="1"/>
    </row>
    <row r="14" spans="1:31" ht="13.5" hidden="1" thickBot="1" x14ac:dyDescent="0.25">
      <c r="A14" s="223">
        <v>11</v>
      </c>
      <c r="B14" s="234"/>
      <c r="C14" s="232"/>
      <c r="D14" s="228">
        <f t="shared" si="0"/>
        <v>0</v>
      </c>
      <c r="E14" s="4"/>
      <c r="F14" s="4">
        <f t="shared" si="19"/>
        <v>0</v>
      </c>
      <c r="G14" s="4">
        <f t="shared" si="1"/>
        <v>0</v>
      </c>
      <c r="H14" s="4">
        <f t="shared" si="2"/>
        <v>0</v>
      </c>
      <c r="I14" s="4">
        <f t="shared" si="3"/>
        <v>0</v>
      </c>
      <c r="J14" s="4">
        <f t="shared" si="4"/>
        <v>0</v>
      </c>
      <c r="K14" s="4">
        <f t="shared" si="5"/>
        <v>0</v>
      </c>
      <c r="L14" s="4">
        <f t="shared" si="6"/>
        <v>0</v>
      </c>
      <c r="M14" s="4">
        <f t="shared" si="7"/>
        <v>0</v>
      </c>
      <c r="N14" s="4">
        <f t="shared" si="8"/>
        <v>0</v>
      </c>
      <c r="O14" s="4">
        <f t="shared" si="9"/>
        <v>0</v>
      </c>
      <c r="P14" s="4">
        <f t="shared" si="10"/>
        <v>0</v>
      </c>
      <c r="Q14" s="4">
        <f t="shared" si="11"/>
        <v>0</v>
      </c>
      <c r="R14" s="4">
        <f t="shared" si="12"/>
        <v>0</v>
      </c>
      <c r="S14" s="4">
        <f t="shared" si="13"/>
        <v>0</v>
      </c>
      <c r="T14" s="228">
        <f t="shared" si="14"/>
        <v>0</v>
      </c>
      <c r="U14" s="228">
        <f t="shared" si="15"/>
        <v>0</v>
      </c>
      <c r="V14" s="228">
        <f t="shared" si="16"/>
        <v>0</v>
      </c>
      <c r="W14" s="228">
        <f t="shared" si="17"/>
        <v>0</v>
      </c>
      <c r="X14" s="228">
        <f t="shared" si="18"/>
        <v>0</v>
      </c>
      <c r="Y14" s="4">
        <f t="shared" si="20"/>
        <v>0</v>
      </c>
      <c r="Z14" s="229">
        <f>Y14*12</f>
        <v>0</v>
      </c>
      <c r="AA14" s="3"/>
      <c r="AB14" s="3"/>
      <c r="AD14" s="1"/>
      <c r="AE14" s="1"/>
    </row>
    <row r="15" spans="1:31" ht="13.5" thickBot="1" x14ac:dyDescent="0.25">
      <c r="A15" s="444" t="s">
        <v>1</v>
      </c>
      <c r="B15" s="445"/>
      <c r="C15" s="233">
        <f t="shared" ref="C15:Y15" si="22">SUM(C4:C14)</f>
        <v>4100000</v>
      </c>
      <c r="D15" s="230">
        <f t="shared" si="22"/>
        <v>49200000</v>
      </c>
      <c r="E15" s="230">
        <f>SUM(E4:E14)</f>
        <v>231000</v>
      </c>
      <c r="F15" s="230">
        <f t="shared" si="22"/>
        <v>2772000</v>
      </c>
      <c r="G15" s="230">
        <f t="shared" si="22"/>
        <v>164000</v>
      </c>
      <c r="H15" s="230">
        <f t="shared" si="22"/>
        <v>1968000</v>
      </c>
      <c r="I15" s="230">
        <f t="shared" si="22"/>
        <v>164000</v>
      </c>
      <c r="J15" s="230">
        <f t="shared" si="22"/>
        <v>1968000</v>
      </c>
      <c r="K15" s="230">
        <f t="shared" si="22"/>
        <v>492000</v>
      </c>
      <c r="L15" s="230">
        <f t="shared" si="22"/>
        <v>5904000</v>
      </c>
      <c r="M15" s="230">
        <f t="shared" si="22"/>
        <v>21402</v>
      </c>
      <c r="N15" s="230">
        <f t="shared" si="22"/>
        <v>256824</v>
      </c>
      <c r="O15" s="230">
        <f t="shared" si="22"/>
        <v>341666.66666666663</v>
      </c>
      <c r="P15" s="230">
        <f t="shared" si="22"/>
        <v>4100000</v>
      </c>
      <c r="Q15" s="230">
        <f t="shared" si="22"/>
        <v>341666.66666666663</v>
      </c>
      <c r="R15" s="230">
        <f t="shared" si="22"/>
        <v>4100000</v>
      </c>
      <c r="S15" s="230">
        <f t="shared" si="22"/>
        <v>41000</v>
      </c>
      <c r="T15" s="230">
        <f t="shared" si="22"/>
        <v>492000</v>
      </c>
      <c r="U15" s="230">
        <f t="shared" si="22"/>
        <v>170847</v>
      </c>
      <c r="V15" s="230">
        <f t="shared" si="22"/>
        <v>2050164</v>
      </c>
      <c r="W15" s="230">
        <f t="shared" si="22"/>
        <v>369000</v>
      </c>
      <c r="X15" s="230">
        <f t="shared" si="22"/>
        <v>4428000</v>
      </c>
      <c r="Y15" s="230">
        <f t="shared" si="22"/>
        <v>6108582.333333333</v>
      </c>
      <c r="Z15" s="231">
        <f>SUM(Z4:Z14)</f>
        <v>73302988</v>
      </c>
      <c r="AA15" s="3"/>
      <c r="AB15" s="3"/>
      <c r="AD15" s="1"/>
      <c r="AE15" s="1"/>
    </row>
    <row r="17" spans="1:10" ht="15" customHeight="1" thickBot="1" x14ac:dyDescent="0.25">
      <c r="B17" s="454" t="s">
        <v>25</v>
      </c>
      <c r="C17" s="454"/>
      <c r="D17" s="454"/>
      <c r="E17" s="454"/>
    </row>
    <row r="18" spans="1:10" ht="17.25" customHeight="1" x14ac:dyDescent="0.2">
      <c r="A18" s="448" t="s">
        <v>24</v>
      </c>
      <c r="B18" s="450" t="s">
        <v>0</v>
      </c>
      <c r="C18" s="452" t="s">
        <v>22</v>
      </c>
      <c r="D18" s="440" t="s">
        <v>117</v>
      </c>
      <c r="E18" s="440" t="s">
        <v>118</v>
      </c>
      <c r="F18" s="440" t="s">
        <v>119</v>
      </c>
      <c r="G18" s="440" t="s">
        <v>120</v>
      </c>
      <c r="H18" s="442" t="s">
        <v>121</v>
      </c>
    </row>
    <row r="19" spans="1:10" ht="17.25" customHeight="1" thickBot="1" x14ac:dyDescent="0.25">
      <c r="A19" s="449"/>
      <c r="B19" s="451"/>
      <c r="C19" s="453"/>
      <c r="D19" s="446"/>
      <c r="E19" s="446"/>
      <c r="F19" s="446"/>
      <c r="G19" s="446"/>
      <c r="H19" s="447"/>
    </row>
    <row r="20" spans="1:10" ht="15" customHeight="1" x14ac:dyDescent="0.2">
      <c r="A20" s="223">
        <v>1</v>
      </c>
      <c r="B20" s="354" t="str">
        <f>+B4</f>
        <v>OPERARIO 1</v>
      </c>
      <c r="C20" s="359">
        <f>+Y4</f>
        <v>1295523.1666666665</v>
      </c>
      <c r="D20" s="356">
        <f>+Z4</f>
        <v>15546277.999999998</v>
      </c>
      <c r="E20" s="356">
        <f>D20*1.04</f>
        <v>16168129.119999999</v>
      </c>
      <c r="F20" s="356">
        <f>E20*1.04</f>
        <v>16814854.2848</v>
      </c>
      <c r="G20" s="356">
        <f>F20*1.04</f>
        <v>17487448.456192002</v>
      </c>
      <c r="H20" s="356">
        <f>G20*1.04</f>
        <v>18186946.394439682</v>
      </c>
    </row>
    <row r="21" spans="1:10" ht="15" customHeight="1" x14ac:dyDescent="0.2">
      <c r="A21" s="357">
        <v>2</v>
      </c>
      <c r="B21" s="355" t="str">
        <f>+B5</f>
        <v>OPERARIO 2</v>
      </c>
      <c r="C21" s="359">
        <f t="shared" ref="C21:C23" si="23">+Y5</f>
        <v>1295523.1666666665</v>
      </c>
      <c r="D21" s="356">
        <f t="shared" ref="D21:D23" si="24">C21*12</f>
        <v>15546277.999999998</v>
      </c>
      <c r="E21" s="356">
        <f t="shared" ref="E21:H23" si="25">D21*1.04</f>
        <v>16168129.119999999</v>
      </c>
      <c r="F21" s="356">
        <f t="shared" si="25"/>
        <v>16814854.2848</v>
      </c>
      <c r="G21" s="356">
        <f t="shared" si="25"/>
        <v>17487448.456192002</v>
      </c>
      <c r="H21" s="356">
        <f t="shared" si="25"/>
        <v>18186946.394439682</v>
      </c>
    </row>
    <row r="22" spans="1:10" ht="15" customHeight="1" x14ac:dyDescent="0.2">
      <c r="A22" s="358">
        <v>3</v>
      </c>
      <c r="B22" s="355" t="str">
        <f t="shared" ref="B22:B23" si="26">+B6</f>
        <v>Administrativo</v>
      </c>
      <c r="C22" s="359">
        <f t="shared" si="23"/>
        <v>1367201</v>
      </c>
      <c r="D22" s="356">
        <f t="shared" si="24"/>
        <v>16406412</v>
      </c>
      <c r="E22" s="356">
        <f t="shared" si="25"/>
        <v>17062668.48</v>
      </c>
      <c r="F22" s="356">
        <f t="shared" si="25"/>
        <v>17745175.2192</v>
      </c>
      <c r="G22" s="356">
        <f t="shared" si="25"/>
        <v>18454982.227968</v>
      </c>
      <c r="H22" s="356">
        <f t="shared" si="25"/>
        <v>19193181.517086722</v>
      </c>
    </row>
    <row r="23" spans="1:10" ht="15" customHeight="1" x14ac:dyDescent="0.2">
      <c r="A23" s="357">
        <v>4</v>
      </c>
      <c r="B23" s="355" t="str">
        <f t="shared" si="26"/>
        <v>Diseñador</v>
      </c>
      <c r="C23" s="359">
        <f t="shared" si="23"/>
        <v>2150335</v>
      </c>
      <c r="D23" s="356">
        <f t="shared" si="24"/>
        <v>25804020</v>
      </c>
      <c r="E23" s="356">
        <f t="shared" si="25"/>
        <v>26836180.800000001</v>
      </c>
      <c r="F23" s="356">
        <f t="shared" si="25"/>
        <v>27909628.032000002</v>
      </c>
      <c r="G23" s="356">
        <f t="shared" si="25"/>
        <v>29026013.153280001</v>
      </c>
      <c r="H23" s="356">
        <f t="shared" si="25"/>
        <v>30187053.679411203</v>
      </c>
    </row>
    <row r="24" spans="1:10" ht="15" customHeight="1" thickBot="1" x14ac:dyDescent="0.25">
      <c r="A24" s="413" t="s">
        <v>27</v>
      </c>
      <c r="B24" s="414"/>
      <c r="C24" s="233">
        <f t="shared" ref="C24:H24" si="27">SUM(C20:C23)</f>
        <v>6108582.333333333</v>
      </c>
      <c r="D24" s="233">
        <f t="shared" si="27"/>
        <v>73302988</v>
      </c>
      <c r="E24" s="233">
        <f t="shared" si="27"/>
        <v>76235107.519999996</v>
      </c>
      <c r="F24" s="233">
        <f t="shared" si="27"/>
        <v>79284511.820800006</v>
      </c>
      <c r="G24" s="233">
        <f t="shared" si="27"/>
        <v>82455892.293632001</v>
      </c>
      <c r="H24" s="233">
        <f t="shared" si="27"/>
        <v>85754127.985377282</v>
      </c>
    </row>
    <row r="26" spans="1:10" ht="15" customHeight="1" thickBot="1" x14ac:dyDescent="0.25">
      <c r="B26" s="439" t="s">
        <v>182</v>
      </c>
      <c r="C26" s="439"/>
    </row>
    <row r="27" spans="1:10" ht="15" customHeight="1" x14ac:dyDescent="0.2">
      <c r="A27" s="433" t="s">
        <v>24</v>
      </c>
      <c r="B27" s="435" t="s">
        <v>0</v>
      </c>
      <c r="C27" s="437" t="s">
        <v>73</v>
      </c>
      <c r="D27" s="419" t="s">
        <v>29</v>
      </c>
      <c r="E27" s="419" t="s">
        <v>51</v>
      </c>
      <c r="F27" s="421" t="s">
        <v>169</v>
      </c>
      <c r="G27" s="421" t="s">
        <v>170</v>
      </c>
      <c r="H27" s="421" t="s">
        <v>171</v>
      </c>
      <c r="I27" s="421" t="s">
        <v>172</v>
      </c>
      <c r="J27" s="421" t="s">
        <v>173</v>
      </c>
    </row>
    <row r="28" spans="1:10" ht="15" customHeight="1" thickBot="1" x14ac:dyDescent="0.25">
      <c r="A28" s="434"/>
      <c r="B28" s="436"/>
      <c r="C28" s="438"/>
      <c r="D28" s="420"/>
      <c r="E28" s="420"/>
      <c r="F28" s="422"/>
      <c r="G28" s="422"/>
      <c r="H28" s="422"/>
      <c r="I28" s="422"/>
      <c r="J28" s="422"/>
    </row>
    <row r="29" spans="1:10" ht="15" customHeight="1" thickBot="1" x14ac:dyDescent="0.25">
      <c r="A29" s="227">
        <v>1</v>
      </c>
      <c r="B29" s="244" t="s">
        <v>210</v>
      </c>
      <c r="C29" s="236"/>
      <c r="D29" s="285">
        <v>1</v>
      </c>
      <c r="E29" s="238">
        <f>+C29*12</f>
        <v>0</v>
      </c>
      <c r="F29" s="239">
        <f>+E29*D29</f>
        <v>0</v>
      </c>
      <c r="G29" s="239">
        <f t="shared" ref="G29:J30" si="28">F29*1.04</f>
        <v>0</v>
      </c>
      <c r="H29" s="239">
        <f t="shared" si="28"/>
        <v>0</v>
      </c>
      <c r="I29" s="239">
        <f>H29*1.04</f>
        <v>0</v>
      </c>
      <c r="J29" s="239">
        <f t="shared" si="28"/>
        <v>0</v>
      </c>
    </row>
    <row r="30" spans="1:10" ht="15" customHeight="1" thickBot="1" x14ac:dyDescent="0.25">
      <c r="A30" s="227">
        <v>2</v>
      </c>
      <c r="B30" s="244" t="s">
        <v>214</v>
      </c>
      <c r="C30" s="236"/>
      <c r="D30" s="285">
        <v>1</v>
      </c>
      <c r="E30" s="238">
        <f>+C30*12</f>
        <v>0</v>
      </c>
      <c r="F30" s="239">
        <f>+E30*D30</f>
        <v>0</v>
      </c>
      <c r="G30" s="239">
        <f t="shared" si="28"/>
        <v>0</v>
      </c>
      <c r="H30" s="239">
        <f t="shared" si="28"/>
        <v>0</v>
      </c>
      <c r="I30" s="239">
        <f>H30*1.04</f>
        <v>0</v>
      </c>
      <c r="J30" s="239">
        <f t="shared" si="28"/>
        <v>0</v>
      </c>
    </row>
    <row r="31" spans="1:10" ht="15" customHeight="1" thickBot="1" x14ac:dyDescent="0.25">
      <c r="A31" s="227"/>
      <c r="B31" s="244"/>
      <c r="C31" s="236"/>
      <c r="D31" s="285"/>
      <c r="E31" s="238"/>
      <c r="F31" s="239"/>
      <c r="G31" s="239"/>
      <c r="H31" s="239"/>
      <c r="I31" s="239"/>
      <c r="J31" s="239"/>
    </row>
    <row r="32" spans="1:10" ht="15" customHeight="1" thickBot="1" x14ac:dyDescent="0.25">
      <c r="A32" s="417" t="s">
        <v>27</v>
      </c>
      <c r="B32" s="418"/>
      <c r="C32" s="243"/>
      <c r="D32" s="240"/>
      <c r="E32" s="241">
        <f t="shared" ref="E32:J32" si="29">+E29</f>
        <v>0</v>
      </c>
      <c r="F32" s="242">
        <f t="shared" si="29"/>
        <v>0</v>
      </c>
      <c r="G32" s="242">
        <f t="shared" si="29"/>
        <v>0</v>
      </c>
      <c r="H32" s="242">
        <f t="shared" si="29"/>
        <v>0</v>
      </c>
      <c r="I32" s="242">
        <f t="shared" si="29"/>
        <v>0</v>
      </c>
      <c r="J32" s="242">
        <f t="shared" si="29"/>
        <v>0</v>
      </c>
    </row>
    <row r="34" spans="1:5" ht="15" hidden="1" customHeight="1" thickBot="1" x14ac:dyDescent="0.25">
      <c r="B34" s="20" t="s">
        <v>75</v>
      </c>
    </row>
    <row r="35" spans="1:5" ht="15" hidden="1" customHeight="1" x14ac:dyDescent="0.2">
      <c r="A35" s="423" t="s">
        <v>24</v>
      </c>
      <c r="B35" s="425" t="s">
        <v>0</v>
      </c>
      <c r="C35" s="427" t="s">
        <v>43</v>
      </c>
      <c r="D35" s="429" t="s">
        <v>74</v>
      </c>
      <c r="E35" s="431" t="s">
        <v>51</v>
      </c>
    </row>
    <row r="36" spans="1:5" ht="15" hidden="1" customHeight="1" thickBot="1" x14ac:dyDescent="0.25">
      <c r="A36" s="424"/>
      <c r="B36" s="426"/>
      <c r="C36" s="428"/>
      <c r="D36" s="430"/>
      <c r="E36" s="432"/>
    </row>
    <row r="37" spans="1:5" ht="15" hidden="1" customHeight="1" x14ac:dyDescent="0.2">
      <c r="A37" s="223"/>
      <c r="B37" s="234"/>
      <c r="C37" s="251">
        <f>C20</f>
        <v>1295523.1666666665</v>
      </c>
      <c r="D37" s="237">
        <f>C37*6</f>
        <v>7773138.9999999991</v>
      </c>
      <c r="E37" s="245">
        <f>D37*2</f>
        <v>15546277.999999998</v>
      </c>
    </row>
    <row r="38" spans="1:5" ht="15" hidden="1" customHeight="1" x14ac:dyDescent="0.2">
      <c r="A38" s="225"/>
      <c r="B38" s="235"/>
      <c r="C38" s="251">
        <f t="shared" ref="C38:C39" si="30">C21</f>
        <v>1295523.1666666665</v>
      </c>
      <c r="D38" s="21">
        <f>C38*6</f>
        <v>7773138.9999999991</v>
      </c>
      <c r="E38" s="246">
        <f>D38*2</f>
        <v>15546277.999999998</v>
      </c>
    </row>
    <row r="39" spans="1:5" ht="15" hidden="1" customHeight="1" x14ac:dyDescent="0.2">
      <c r="A39" s="223"/>
      <c r="B39" s="235"/>
      <c r="C39" s="251">
        <f t="shared" si="30"/>
        <v>1367201</v>
      </c>
      <c r="D39" s="21">
        <f>C39*6</f>
        <v>8203206</v>
      </c>
      <c r="E39" s="246">
        <f>D39*2</f>
        <v>16406412</v>
      </c>
    </row>
    <row r="40" spans="1:5" ht="15" hidden="1" customHeight="1" thickBot="1" x14ac:dyDescent="0.25">
      <c r="A40" s="227"/>
      <c r="B40" s="244"/>
      <c r="C40" s="252"/>
      <c r="D40" s="247">
        <f>E29</f>
        <v>0</v>
      </c>
      <c r="E40" s="248">
        <f>D40*2</f>
        <v>0</v>
      </c>
    </row>
    <row r="41" spans="1:5" ht="15" hidden="1" customHeight="1" thickBot="1" x14ac:dyDescent="0.25">
      <c r="A41" s="415" t="s">
        <v>1</v>
      </c>
      <c r="B41" s="416"/>
      <c r="C41" s="416"/>
      <c r="D41" s="249">
        <f>SUM(D37:D40)</f>
        <v>23749484</v>
      </c>
      <c r="E41" s="250">
        <f>SUM(E37:E40)</f>
        <v>47498968</v>
      </c>
    </row>
    <row r="42" spans="1:5" ht="15" hidden="1" customHeight="1" x14ac:dyDescent="0.2"/>
  </sheetData>
  <mergeCells count="55">
    <mergeCell ref="G27:G28"/>
    <mergeCell ref="H27:H28"/>
    <mergeCell ref="I27:I28"/>
    <mergeCell ref="J27:J28"/>
    <mergeCell ref="F2:F3"/>
    <mergeCell ref="E18:E19"/>
    <mergeCell ref="F18:F19"/>
    <mergeCell ref="G18:G19"/>
    <mergeCell ref="H18:H19"/>
    <mergeCell ref="A2:A3"/>
    <mergeCell ref="B2:B3"/>
    <mergeCell ref="C2:C3"/>
    <mergeCell ref="D2:D3"/>
    <mergeCell ref="E2:E3"/>
    <mergeCell ref="A18:A19"/>
    <mergeCell ref="B18:B19"/>
    <mergeCell ref="C18:C19"/>
    <mergeCell ref="D18:D19"/>
    <mergeCell ref="B17:E17"/>
    <mergeCell ref="P2:P3"/>
    <mergeCell ref="G2:G3"/>
    <mergeCell ref="H2:H3"/>
    <mergeCell ref="I2:I3"/>
    <mergeCell ref="J2:J3"/>
    <mergeCell ref="W2:W3"/>
    <mergeCell ref="X2:X3"/>
    <mergeCell ref="Y2:Y3"/>
    <mergeCell ref="Z2:Z3"/>
    <mergeCell ref="A15:B15"/>
    <mergeCell ref="Q2:Q3"/>
    <mergeCell ref="R2:R3"/>
    <mergeCell ref="S2:S3"/>
    <mergeCell ref="T2:T3"/>
    <mergeCell ref="U2:U3"/>
    <mergeCell ref="V2:V3"/>
    <mergeCell ref="K2:K3"/>
    <mergeCell ref="L2:L3"/>
    <mergeCell ref="M2:M3"/>
    <mergeCell ref="N2:N3"/>
    <mergeCell ref="O2:O3"/>
    <mergeCell ref="A24:B24"/>
    <mergeCell ref="A41:C41"/>
    <mergeCell ref="A32:B32"/>
    <mergeCell ref="E27:E28"/>
    <mergeCell ref="F27:F28"/>
    <mergeCell ref="A35:A36"/>
    <mergeCell ref="B35:B36"/>
    <mergeCell ref="C35:C36"/>
    <mergeCell ref="D35:D36"/>
    <mergeCell ref="E35:E36"/>
    <mergeCell ref="A27:A28"/>
    <mergeCell ref="B27:B28"/>
    <mergeCell ref="C27:C28"/>
    <mergeCell ref="D27:D28"/>
    <mergeCell ref="B26:C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A16" sqref="A16"/>
    </sheetView>
  </sheetViews>
  <sheetFormatPr baseColWidth="10" defaultRowHeight="15" x14ac:dyDescent="0.25"/>
  <cols>
    <col min="1" max="1" width="19.42578125" style="22" bestFit="1" customWidth="1"/>
    <col min="2" max="2" width="16.85546875" style="22" customWidth="1"/>
    <col min="3" max="3" width="19.28515625" style="22" customWidth="1"/>
    <col min="4" max="4" width="14.7109375" style="22" customWidth="1"/>
    <col min="5" max="5" width="13.85546875" style="22" customWidth="1"/>
    <col min="6" max="6" width="15.140625" style="22" customWidth="1"/>
    <col min="7" max="16384" width="11.42578125" style="22"/>
  </cols>
  <sheetData>
    <row r="1" spans="1:6" ht="19.5" thickBot="1" x14ac:dyDescent="0.3">
      <c r="A1" s="458" t="s">
        <v>100</v>
      </c>
      <c r="B1" s="459"/>
      <c r="C1" s="459"/>
      <c r="D1" s="459"/>
      <c r="E1" s="459"/>
      <c r="F1" s="460"/>
    </row>
    <row r="2" spans="1:6" ht="15.75" thickBot="1" x14ac:dyDescent="0.3"/>
    <row r="3" spans="1:6" ht="19.5" thickBot="1" x14ac:dyDescent="0.35">
      <c r="A3" s="455" t="s">
        <v>99</v>
      </c>
      <c r="B3" s="456"/>
      <c r="C3" s="456"/>
      <c r="D3" s="456"/>
      <c r="E3" s="456"/>
      <c r="F3" s="457"/>
    </row>
    <row r="4" spans="1:6" ht="30.75" thickBot="1" x14ac:dyDescent="0.3">
      <c r="A4" s="47" t="s">
        <v>101</v>
      </c>
      <c r="B4" s="42" t="s">
        <v>102</v>
      </c>
      <c r="C4" s="40" t="s">
        <v>114</v>
      </c>
      <c r="D4" s="40" t="s">
        <v>103</v>
      </c>
      <c r="E4" s="40" t="s">
        <v>104</v>
      </c>
      <c r="F4" s="41" t="s">
        <v>105</v>
      </c>
    </row>
    <row r="5" spans="1:6" x14ac:dyDescent="0.25">
      <c r="A5" s="48" t="s">
        <v>111</v>
      </c>
      <c r="B5" s="43">
        <f>SUM(Inversión!E23:E26)</f>
        <v>740000</v>
      </c>
      <c r="C5" s="37">
        <v>10</v>
      </c>
      <c r="D5" s="38">
        <f>+B5/C5</f>
        <v>74000</v>
      </c>
      <c r="E5" s="38">
        <f>+D5/12</f>
        <v>6166.666666666667</v>
      </c>
      <c r="F5" s="39">
        <f>+E5/30</f>
        <v>205.55555555555557</v>
      </c>
    </row>
    <row r="6" spans="1:6" x14ac:dyDescent="0.25">
      <c r="A6" s="49" t="s">
        <v>112</v>
      </c>
      <c r="B6" s="44">
        <f>SUM(Inversión!E27:E33)</f>
        <v>5535000</v>
      </c>
      <c r="C6" s="29">
        <v>10</v>
      </c>
      <c r="D6" s="30">
        <f>+B6/C6</f>
        <v>553500</v>
      </c>
      <c r="E6" s="30">
        <f t="shared" ref="E6:E7" si="0">+D6/12</f>
        <v>46125</v>
      </c>
      <c r="F6" s="31">
        <f t="shared" ref="F6:F7" si="1">+E6/30</f>
        <v>1537.5</v>
      </c>
    </row>
    <row r="7" spans="1:6" ht="15.75" thickBot="1" x14ac:dyDescent="0.3">
      <c r="A7" s="50" t="s">
        <v>113</v>
      </c>
      <c r="B7" s="45">
        <f>SUM(Inversión!E21:E22)</f>
        <v>1600000</v>
      </c>
      <c r="C7" s="32">
        <v>5</v>
      </c>
      <c r="D7" s="36">
        <f>+B7/C7</f>
        <v>320000</v>
      </c>
      <c r="E7" s="36">
        <f t="shared" si="0"/>
        <v>26666.666666666668</v>
      </c>
      <c r="F7" s="33">
        <f t="shared" si="1"/>
        <v>888.88888888888891</v>
      </c>
    </row>
    <row r="8" spans="1:6" ht="15.75" thickBot="1" x14ac:dyDescent="0.3">
      <c r="A8" s="51" t="s">
        <v>83</v>
      </c>
      <c r="B8" s="46">
        <f>SUM(B5:B7)</f>
        <v>7875000</v>
      </c>
      <c r="C8" s="34"/>
      <c r="D8" s="35">
        <f>SUM(D5:D7)</f>
        <v>947500</v>
      </c>
      <c r="E8" s="35">
        <f t="shared" ref="E8:F8" si="2">SUM(E5:E7)</f>
        <v>78958.333333333328</v>
      </c>
      <c r="F8" s="35">
        <f t="shared" si="2"/>
        <v>2631.9444444444443</v>
      </c>
    </row>
    <row r="10" spans="1:6" ht="15.75" thickBot="1" x14ac:dyDescent="0.3"/>
    <row r="11" spans="1:6" ht="30.75" thickBot="1" x14ac:dyDescent="0.3">
      <c r="A11" s="55" t="s">
        <v>116</v>
      </c>
      <c r="B11" s="59" t="s">
        <v>115</v>
      </c>
    </row>
    <row r="12" spans="1:6" x14ac:dyDescent="0.25">
      <c r="A12" s="56">
        <v>1</v>
      </c>
      <c r="B12" s="52">
        <f>+$D$8</f>
        <v>947500</v>
      </c>
    </row>
    <row r="13" spans="1:6" x14ac:dyDescent="0.25">
      <c r="A13" s="57">
        <v>2</v>
      </c>
      <c r="B13" s="53">
        <f>+$D$8</f>
        <v>947500</v>
      </c>
    </row>
    <row r="14" spans="1:6" x14ac:dyDescent="0.25">
      <c r="A14" s="57">
        <v>3</v>
      </c>
      <c r="B14" s="53">
        <f>+$D$8</f>
        <v>947500</v>
      </c>
    </row>
    <row r="15" spans="1:6" x14ac:dyDescent="0.25">
      <c r="A15" s="57">
        <v>4</v>
      </c>
      <c r="B15" s="53">
        <f>+$D$8</f>
        <v>947500</v>
      </c>
    </row>
    <row r="16" spans="1:6" ht="15.75" thickBot="1" x14ac:dyDescent="0.3">
      <c r="A16" s="58">
        <v>5</v>
      </c>
      <c r="B16" s="54">
        <f>+$D$8</f>
        <v>947500</v>
      </c>
    </row>
  </sheetData>
  <mergeCells count="2">
    <mergeCell ref="A3:F3"/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activeCell="G13" sqref="G13"/>
    </sheetView>
  </sheetViews>
  <sheetFormatPr baseColWidth="10" defaultRowHeight="15" x14ac:dyDescent="0.25"/>
  <cols>
    <col min="1" max="1" width="21.42578125" style="22" bestFit="1" customWidth="1"/>
    <col min="2" max="2" width="17.28515625" style="22" bestFit="1" customWidth="1"/>
    <col min="3" max="6" width="14.5703125" style="22" bestFit="1" customWidth="1"/>
    <col min="7" max="7" width="18.28515625" style="22" bestFit="1" customWidth="1"/>
    <col min="8" max="8" width="14" style="22" bestFit="1" customWidth="1"/>
    <col min="9" max="16384" width="11.42578125" style="22"/>
  </cols>
  <sheetData>
    <row r="1" spans="1:8" ht="15.75" thickBot="1" x14ac:dyDescent="0.3"/>
    <row r="2" spans="1:8" ht="19.5" thickBot="1" x14ac:dyDescent="0.3">
      <c r="A2" s="461" t="s">
        <v>156</v>
      </c>
      <c r="B2" s="462"/>
      <c r="C2" s="462"/>
      <c r="D2" s="462"/>
      <c r="E2" s="462"/>
      <c r="F2" s="463"/>
    </row>
    <row r="3" spans="1:8" ht="19.5" thickBot="1" x14ac:dyDescent="0.3">
      <c r="A3" s="271"/>
      <c r="B3" s="271"/>
      <c r="C3" s="271"/>
      <c r="D3" s="271"/>
      <c r="E3" s="271"/>
      <c r="F3" s="271"/>
    </row>
    <row r="4" spans="1:8" ht="19.5" thickBot="1" x14ac:dyDescent="0.3">
      <c r="A4" s="277"/>
      <c r="B4" s="267" t="s">
        <v>148</v>
      </c>
      <c r="C4" s="268" t="s">
        <v>149</v>
      </c>
      <c r="D4" s="268" t="s">
        <v>150</v>
      </c>
      <c r="E4" s="268" t="s">
        <v>151</v>
      </c>
      <c r="F4" s="269" t="s">
        <v>152</v>
      </c>
    </row>
    <row r="5" spans="1:8" x14ac:dyDescent="0.25">
      <c r="A5" s="278" t="s">
        <v>101</v>
      </c>
      <c r="B5" s="274">
        <f>Inversión!E34</f>
        <v>7875000</v>
      </c>
      <c r="C5" s="274">
        <f>Inversión!F34</f>
        <v>0</v>
      </c>
      <c r="D5" s="274">
        <f>Inversión!G34</f>
        <v>0</v>
      </c>
      <c r="E5" s="274">
        <f>Inversión!H34</f>
        <v>0</v>
      </c>
      <c r="F5" s="281">
        <f>Inversión!I34</f>
        <v>0</v>
      </c>
    </row>
    <row r="6" spans="1:8" x14ac:dyDescent="0.25">
      <c r="A6" s="49" t="s">
        <v>154</v>
      </c>
      <c r="B6" s="275">
        <f>Inversión!E7</f>
        <v>330000</v>
      </c>
      <c r="C6" s="26"/>
      <c r="D6" s="26"/>
      <c r="E6" s="26"/>
      <c r="F6" s="270"/>
    </row>
    <row r="7" spans="1:8" ht="15.75" thickBot="1" x14ac:dyDescent="0.3">
      <c r="A7" s="49" t="s">
        <v>155</v>
      </c>
      <c r="B7" s="275">
        <f>'Capital de Trabajo'!B10</f>
        <v>424518382.83333331</v>
      </c>
      <c r="C7" s="275">
        <f>'Capital de Trabajo'!C10</f>
        <v>441499118.14666665</v>
      </c>
      <c r="D7" s="275">
        <f>'Capital de Trabajo'!D10</f>
        <v>460159082.87253338</v>
      </c>
      <c r="E7" s="275">
        <f>'Capital de Trabajo'!E10</f>
        <v>478565446.18743473</v>
      </c>
      <c r="F7" s="282">
        <f>'Capital de Trabajo'!F10</f>
        <v>497708064.03493208</v>
      </c>
    </row>
    <row r="8" spans="1:8" ht="15.75" thickBot="1" x14ac:dyDescent="0.3">
      <c r="A8" s="279" t="s">
        <v>157</v>
      </c>
      <c r="B8" s="276">
        <f>SUM(B5:B7)</f>
        <v>432723382.83333331</v>
      </c>
      <c r="C8" s="272">
        <f>SUM(C5:C7)</f>
        <v>441499118.14666665</v>
      </c>
      <c r="D8" s="272">
        <f t="shared" ref="D8:F8" si="0">SUM(D5:D7)</f>
        <v>460159082.87253338</v>
      </c>
      <c r="E8" s="272">
        <f t="shared" si="0"/>
        <v>478565446.18743473</v>
      </c>
      <c r="F8" s="273">
        <f t="shared" si="0"/>
        <v>497708064.03493208</v>
      </c>
      <c r="G8" s="280">
        <f>SUM(B8:F8)</f>
        <v>2310655094.0749002</v>
      </c>
    </row>
    <row r="9" spans="1:8" x14ac:dyDescent="0.25">
      <c r="B9" s="374">
        <f>(C8/B8)</f>
        <v>1.0202802429022269</v>
      </c>
      <c r="C9" s="373">
        <f>D8/C8</f>
        <v>1.042265010186652</v>
      </c>
      <c r="D9" s="373">
        <f t="shared" ref="D9:F9" si="1">E8/D8</f>
        <v>1.04</v>
      </c>
      <c r="E9" s="373">
        <f t="shared" si="1"/>
        <v>1.0399999999999998</v>
      </c>
      <c r="F9" s="373">
        <f t="shared" si="1"/>
        <v>4.6425912317802522</v>
      </c>
    </row>
    <row r="13" spans="1:8" x14ac:dyDescent="0.25">
      <c r="H13" s="307"/>
    </row>
    <row r="14" spans="1:8" x14ac:dyDescent="0.25">
      <c r="H14" s="307"/>
    </row>
    <row r="15" spans="1:8" x14ac:dyDescent="0.25">
      <c r="H15" s="307"/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B5" sqref="B5"/>
    </sheetView>
  </sheetViews>
  <sheetFormatPr baseColWidth="10" defaultRowHeight="15" x14ac:dyDescent="0.25"/>
  <cols>
    <col min="1" max="1" width="34.85546875" style="22" bestFit="1" customWidth="1"/>
    <col min="2" max="6" width="17.7109375" style="22" bestFit="1" customWidth="1"/>
    <col min="7" max="16384" width="11.42578125" style="22"/>
  </cols>
  <sheetData>
    <row r="1" spans="1:6" ht="19.5" thickBot="1" x14ac:dyDescent="0.3">
      <c r="A1" s="461" t="s">
        <v>147</v>
      </c>
      <c r="B1" s="462"/>
      <c r="C1" s="462"/>
      <c r="D1" s="462"/>
      <c r="E1" s="462"/>
      <c r="F1" s="463"/>
    </row>
    <row r="2" spans="1:6" ht="19.5" thickBot="1" x14ac:dyDescent="0.3">
      <c r="A2" s="25"/>
      <c r="B2" s="25"/>
      <c r="C2" s="25"/>
      <c r="D2" s="25"/>
      <c r="E2" s="25"/>
      <c r="F2" s="25"/>
    </row>
    <row r="3" spans="1:6" ht="19.5" thickBot="1" x14ac:dyDescent="0.3">
      <c r="A3" s="266" t="s">
        <v>153</v>
      </c>
      <c r="B3" s="267" t="s">
        <v>148</v>
      </c>
      <c r="C3" s="268" t="s">
        <v>149</v>
      </c>
      <c r="D3" s="268" t="s">
        <v>150</v>
      </c>
      <c r="E3" s="268" t="s">
        <v>151</v>
      </c>
      <c r="F3" s="269" t="s">
        <v>152</v>
      </c>
    </row>
    <row r="4" spans="1:6" x14ac:dyDescent="0.25">
      <c r="A4" s="259" t="s">
        <v>144</v>
      </c>
      <c r="B4" s="256">
        <f>'Costos Totales por Año'!B16</f>
        <v>392737738</v>
      </c>
      <c r="C4" s="62">
        <f>'Costos Totales por Año'!C16</f>
        <v>408409347.51999998</v>
      </c>
      <c r="D4" s="62">
        <f>'Costos Totales por Año'!D16</f>
        <v>425707821.42080003</v>
      </c>
      <c r="E4" s="62">
        <f>'Costos Totales por Año'!E16</f>
        <v>442698234.27763206</v>
      </c>
      <c r="F4" s="98">
        <f>'Costos Totales por Año'!F16</f>
        <v>460368263.64873731</v>
      </c>
    </row>
    <row r="5" spans="1:6" x14ac:dyDescent="0.25">
      <c r="A5" s="109" t="s">
        <v>183</v>
      </c>
      <c r="B5" s="257">
        <f>'Costos Totales por Año'!B12</f>
        <v>74000</v>
      </c>
      <c r="C5" s="63">
        <f>'Costos Totales por Año'!C12</f>
        <v>74000</v>
      </c>
      <c r="D5" s="63">
        <f>'Costos Totales por Año'!D12</f>
        <v>74000</v>
      </c>
      <c r="E5" s="63">
        <f>'Costos Totales por Año'!E12</f>
        <v>74000</v>
      </c>
      <c r="F5" s="99">
        <f>'Costos Totales por Año'!F12</f>
        <v>74000</v>
      </c>
    </row>
    <row r="6" spans="1:6" x14ac:dyDescent="0.25">
      <c r="A6" s="109" t="s">
        <v>122</v>
      </c>
      <c r="B6" s="257">
        <f>'Costos Totales por Año'!B13</f>
        <v>553500</v>
      </c>
      <c r="C6" s="63">
        <f>'Costos Totales por Año'!C13</f>
        <v>553500</v>
      </c>
      <c r="D6" s="63">
        <f>'Costos Totales por Año'!D13</f>
        <v>553500</v>
      </c>
      <c r="E6" s="63">
        <f>'Costos Totales por Año'!E13</f>
        <v>553500</v>
      </c>
      <c r="F6" s="99">
        <f>'Costos Totales por Año'!F13</f>
        <v>553500</v>
      </c>
    </row>
    <row r="7" spans="1:6" x14ac:dyDescent="0.25">
      <c r="A7" s="109" t="s">
        <v>123</v>
      </c>
      <c r="B7" s="257">
        <f>'Costos Totales por Año'!B14</f>
        <v>320000</v>
      </c>
      <c r="C7" s="63">
        <f>'Costos Totales por Año'!C14</f>
        <v>320000</v>
      </c>
      <c r="D7" s="63">
        <f>'Costos Totales por Año'!D14</f>
        <v>320000</v>
      </c>
      <c r="E7" s="63">
        <f>'Costos Totales por Año'!E14</f>
        <v>320000</v>
      </c>
      <c r="F7" s="99">
        <f>'Costos Totales por Año'!F14</f>
        <v>320000</v>
      </c>
    </row>
    <row r="8" spans="1:6" x14ac:dyDescent="0.25">
      <c r="A8" s="260" t="s">
        <v>145</v>
      </c>
      <c r="B8" s="65">
        <f>+SUM(B5:B7)</f>
        <v>947500</v>
      </c>
      <c r="C8" s="64">
        <f t="shared" ref="C8:F8" si="0">+SUM(C5:C7)</f>
        <v>947500</v>
      </c>
      <c r="D8" s="64">
        <f t="shared" si="0"/>
        <v>947500</v>
      </c>
      <c r="E8" s="64">
        <f t="shared" si="0"/>
        <v>947500</v>
      </c>
      <c r="F8" s="254">
        <f t="shared" si="0"/>
        <v>947500</v>
      </c>
    </row>
    <row r="9" spans="1:6" ht="15.75" thickBot="1" x14ac:dyDescent="0.3">
      <c r="A9" s="261" t="s">
        <v>146</v>
      </c>
      <c r="B9" s="258">
        <f>Inversión!E40</f>
        <v>32728144.833333332</v>
      </c>
      <c r="C9" s="91">
        <f>B9*1.04</f>
        <v>34037270.626666665</v>
      </c>
      <c r="D9" s="91">
        <f>C9*1.04</f>
        <v>35398761.451733336</v>
      </c>
      <c r="E9" s="91">
        <f>D9*1.04</f>
        <v>36814711.909802668</v>
      </c>
      <c r="F9" s="255">
        <f>E9*1.04</f>
        <v>38287300.386194773</v>
      </c>
    </row>
    <row r="10" spans="1:6" ht="15.75" thickBot="1" x14ac:dyDescent="0.3">
      <c r="A10" s="262" t="s">
        <v>143</v>
      </c>
      <c r="B10" s="263">
        <f>+B4-B8+B9</f>
        <v>424518382.83333331</v>
      </c>
      <c r="C10" s="264">
        <f>+C4-C8+C9</f>
        <v>441499118.14666665</v>
      </c>
      <c r="D10" s="264">
        <f>+D4-D8+D9</f>
        <v>460159082.87253338</v>
      </c>
      <c r="E10" s="264">
        <f>+E4-E8+E9</f>
        <v>478565446.18743473</v>
      </c>
      <c r="F10" s="265">
        <f>+F4-F8+F9</f>
        <v>497708064.03493208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>
      <selection activeCell="D12" sqref="D12"/>
    </sheetView>
  </sheetViews>
  <sheetFormatPr baseColWidth="10" defaultRowHeight="15" x14ac:dyDescent="0.25"/>
  <cols>
    <col min="1" max="1" width="25.28515625" style="22" bestFit="1" customWidth="1"/>
    <col min="2" max="2" width="17.42578125" style="22" customWidth="1"/>
    <col min="3" max="3" width="17.5703125" style="22" customWidth="1"/>
    <col min="4" max="4" width="21.5703125" style="22" customWidth="1"/>
    <col min="5" max="5" width="17.42578125" style="22" customWidth="1"/>
    <col min="6" max="6" width="19.42578125" style="22" customWidth="1"/>
    <col min="7" max="7" width="16.42578125" style="22" customWidth="1"/>
    <col min="8" max="9" width="15.140625" style="22" bestFit="1" customWidth="1"/>
    <col min="10" max="16384" width="11.42578125" style="22"/>
  </cols>
  <sheetData>
    <row r="1" spans="1:9" ht="15.75" thickBot="1" x14ac:dyDescent="0.3">
      <c r="A1" s="470"/>
      <c r="B1" s="470"/>
      <c r="C1" s="470"/>
      <c r="D1" s="470"/>
      <c r="E1" s="470"/>
      <c r="F1" s="470"/>
      <c r="G1" s="471"/>
    </row>
    <row r="2" spans="1:9" x14ac:dyDescent="0.25">
      <c r="A2" s="292" t="s">
        <v>158</v>
      </c>
      <c r="B2" s="293">
        <v>1221229</v>
      </c>
      <c r="C2"/>
      <c r="D2"/>
      <c r="E2"/>
      <c r="F2"/>
      <c r="G2"/>
      <c r="H2"/>
    </row>
    <row r="3" spans="1:9" x14ac:dyDescent="0.25">
      <c r="A3" s="253" t="s">
        <v>223</v>
      </c>
      <c r="B3" s="294">
        <f>B2*0.01</f>
        <v>12212.29</v>
      </c>
      <c r="C3"/>
      <c r="D3"/>
      <c r="E3"/>
      <c r="F3"/>
      <c r="G3"/>
      <c r="H3"/>
    </row>
    <row r="4" spans="1:9" x14ac:dyDescent="0.25">
      <c r="A4" s="253" t="s">
        <v>159</v>
      </c>
      <c r="B4" s="294">
        <f>+B3/12</f>
        <v>1017.6908333333334</v>
      </c>
      <c r="C4"/>
      <c r="D4"/>
      <c r="E4"/>
      <c r="F4"/>
      <c r="G4"/>
      <c r="H4"/>
    </row>
    <row r="5" spans="1:9" ht="15.75" thickBot="1" x14ac:dyDescent="0.3">
      <c r="A5" s="295" t="s">
        <v>160</v>
      </c>
      <c r="B5" s="296">
        <f>+B4/30</f>
        <v>33.923027777777783</v>
      </c>
      <c r="D5" s="385" t="s">
        <v>224</v>
      </c>
      <c r="E5" s="386">
        <v>0.95</v>
      </c>
    </row>
    <row r="6" spans="1:9" x14ac:dyDescent="0.25">
      <c r="A6" s="23"/>
      <c r="D6" s="301" t="s">
        <v>174</v>
      </c>
      <c r="E6" s="303">
        <f>'Costos Totales por Año'!B20</f>
        <v>1090938.1611111111</v>
      </c>
      <c r="F6" s="23"/>
      <c r="G6" s="307"/>
    </row>
    <row r="7" spans="1:9" ht="15.75" thickBot="1" x14ac:dyDescent="0.3">
      <c r="D7" s="302" t="s">
        <v>138</v>
      </c>
      <c r="E7" s="304">
        <f>+E6/B5</f>
        <v>32159.221407287241</v>
      </c>
      <c r="F7" s="283"/>
    </row>
    <row r="8" spans="1:9" ht="15.75" thickBot="1" x14ac:dyDescent="0.3">
      <c r="A8" s="297" t="s">
        <v>161</v>
      </c>
      <c r="B8" s="337">
        <f>+B5*G9</f>
        <v>2127329.4141666666</v>
      </c>
      <c r="D8" s="283"/>
      <c r="E8" s="283"/>
      <c r="F8" s="283"/>
    </row>
    <row r="9" spans="1:9" x14ac:dyDescent="0.25">
      <c r="A9" s="298" t="s">
        <v>162</v>
      </c>
      <c r="B9" s="338">
        <f>+B8*30</f>
        <v>63819882.424999997</v>
      </c>
      <c r="D9" s="466" t="s">
        <v>219</v>
      </c>
      <c r="E9" s="464">
        <f>(+Inversión!D38*1.95)</f>
        <v>62710.481744210127</v>
      </c>
      <c r="F9" s="464"/>
      <c r="G9" s="468">
        <f>+E9</f>
        <v>62710.481744210127</v>
      </c>
      <c r="I9" s="307"/>
    </row>
    <row r="10" spans="1:9" ht="15.75" thickBot="1" x14ac:dyDescent="0.3">
      <c r="A10" s="299" t="s">
        <v>163</v>
      </c>
      <c r="B10" s="71">
        <f>+B9*12</f>
        <v>765838589.0999999</v>
      </c>
      <c r="D10" s="467"/>
      <c r="E10" s="465"/>
      <c r="F10" s="465"/>
      <c r="G10" s="469"/>
      <c r="I10" s="307"/>
    </row>
    <row r="11" spans="1:9" x14ac:dyDescent="0.25">
      <c r="A11" s="28"/>
      <c r="B11" s="28"/>
      <c r="G11" s="283"/>
    </row>
    <row r="12" spans="1:9" ht="15.75" thickBot="1" x14ac:dyDescent="0.3">
      <c r="A12" s="284"/>
      <c r="B12" s="284"/>
      <c r="C12" s="23"/>
      <c r="D12" s="283"/>
      <c r="E12" s="283"/>
      <c r="F12" s="283"/>
      <c r="G12" s="283"/>
    </row>
    <row r="13" spans="1:9" ht="15.75" thickBot="1" x14ac:dyDescent="0.3">
      <c r="A13" s="286" t="s">
        <v>164</v>
      </c>
      <c r="B13" s="287" t="s">
        <v>78</v>
      </c>
      <c r="C13" s="287" t="s">
        <v>79</v>
      </c>
      <c r="D13" s="287" t="s">
        <v>80</v>
      </c>
      <c r="E13" s="287" t="s">
        <v>81</v>
      </c>
      <c r="F13" s="288" t="s">
        <v>82</v>
      </c>
      <c r="G13" s="306" t="s">
        <v>175</v>
      </c>
    </row>
    <row r="14" spans="1:9" ht="15.75" thickBot="1" x14ac:dyDescent="0.3">
      <c r="A14" s="295" t="s">
        <v>165</v>
      </c>
      <c r="B14" s="68">
        <f>+B4*12*(G9)</f>
        <v>765838589.0999999</v>
      </c>
      <c r="C14" s="68">
        <f>+B14*1.04</f>
        <v>796472132.66399992</v>
      </c>
      <c r="D14" s="68">
        <f t="shared" ref="D14:F14" si="0">+C14*1.04</f>
        <v>828331017.97055995</v>
      </c>
      <c r="E14" s="68">
        <f t="shared" si="0"/>
        <v>861464258.68938243</v>
      </c>
      <c r="F14" s="68">
        <f t="shared" si="0"/>
        <v>895922829.03695774</v>
      </c>
      <c r="G14" s="336">
        <f>B14/12</f>
        <v>63819882.42499999</v>
      </c>
    </row>
    <row r="15" spans="1:9" ht="15.75" thickBot="1" x14ac:dyDescent="0.3">
      <c r="F15" s="283"/>
      <c r="G15" s="283"/>
    </row>
    <row r="16" spans="1:9" x14ac:dyDescent="0.25">
      <c r="A16" s="289" t="s">
        <v>166</v>
      </c>
      <c r="B16" s="290" t="s">
        <v>78</v>
      </c>
      <c r="C16" s="290" t="s">
        <v>79</v>
      </c>
      <c r="D16" s="290" t="s">
        <v>80</v>
      </c>
      <c r="E16" s="290" t="s">
        <v>81</v>
      </c>
      <c r="F16" s="291" t="s">
        <v>82</v>
      </c>
      <c r="G16" s="283"/>
    </row>
    <row r="17" spans="1:9" ht="15.75" thickBot="1" x14ac:dyDescent="0.3">
      <c r="A17" s="295"/>
      <c r="B17" s="305">
        <f>+G9</f>
        <v>62710.481744210127</v>
      </c>
      <c r="C17" s="305">
        <f>+B17*1.04</f>
        <v>65218.901013978531</v>
      </c>
      <c r="D17" s="305">
        <f t="shared" ref="D17:F17" si="1">+C17*1.04</f>
        <v>67827.657054537674</v>
      </c>
      <c r="E17" s="305">
        <f t="shared" si="1"/>
        <v>70540.763336719188</v>
      </c>
      <c r="F17" s="300">
        <f t="shared" si="1"/>
        <v>73362.393870187952</v>
      </c>
      <c r="G17" s="283"/>
    </row>
    <row r="18" spans="1:9" x14ac:dyDescent="0.25">
      <c r="F18" s="283"/>
      <c r="G18" s="283"/>
      <c r="I18" s="320"/>
    </row>
    <row r="19" spans="1:9" x14ac:dyDescent="0.25">
      <c r="I19" s="320"/>
    </row>
    <row r="21" spans="1:9" x14ac:dyDescent="0.25">
      <c r="B21" s="361"/>
      <c r="H21" s="320"/>
      <c r="I21" s="360"/>
    </row>
    <row r="23" spans="1:9" x14ac:dyDescent="0.25">
      <c r="A23" s="23"/>
      <c r="B23" s="23"/>
      <c r="C23" s="320"/>
      <c r="D23" s="320"/>
      <c r="H23" s="320"/>
    </row>
    <row r="24" spans="1:9" x14ac:dyDescent="0.25">
      <c r="B24" s="319"/>
      <c r="C24" s="307"/>
      <c r="D24" s="307"/>
    </row>
    <row r="25" spans="1:9" x14ac:dyDescent="0.25">
      <c r="B25" s="23"/>
    </row>
    <row r="26" spans="1:9" x14ac:dyDescent="0.25">
      <c r="B26" s="23"/>
    </row>
    <row r="27" spans="1:9" x14ac:dyDescent="0.25">
      <c r="H27" s="320"/>
    </row>
    <row r="29" spans="1:9" x14ac:dyDescent="0.25">
      <c r="H29" s="320"/>
    </row>
  </sheetData>
  <mergeCells count="5">
    <mergeCell ref="E9:F9"/>
    <mergeCell ref="E10:F10"/>
    <mergeCell ref="D9:D10"/>
    <mergeCell ref="G9:G10"/>
    <mergeCell ref="A1:G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workbookViewId="0">
      <pane ySplit="3" topLeftCell="A4" activePane="bottomLeft" state="frozenSplit"/>
      <selection pane="bottomLeft" activeCell="C9" sqref="C9"/>
    </sheetView>
  </sheetViews>
  <sheetFormatPr baseColWidth="10" defaultRowHeight="15" x14ac:dyDescent="0.25"/>
  <cols>
    <col min="1" max="1" width="30" style="22" customWidth="1"/>
    <col min="2" max="2" width="19.42578125" style="22" customWidth="1"/>
    <col min="3" max="6" width="17.7109375" style="22" customWidth="1"/>
    <col min="7" max="7" width="22.85546875" style="22" customWidth="1"/>
    <col min="8" max="8" width="18.42578125" style="22" customWidth="1"/>
    <col min="9" max="11" width="15.7109375" style="22" customWidth="1"/>
    <col min="12" max="14" width="14.28515625" style="22" bestFit="1" customWidth="1"/>
    <col min="15" max="15" width="14.85546875" style="22" bestFit="1" customWidth="1"/>
    <col min="16" max="16384" width="11.42578125" style="22"/>
  </cols>
  <sheetData>
    <row r="1" spans="1:15" ht="19.5" thickBot="1" x14ac:dyDescent="0.3">
      <c r="A1" s="472" t="s">
        <v>77</v>
      </c>
      <c r="B1" s="473"/>
      <c r="C1" s="473"/>
      <c r="D1" s="473"/>
      <c r="E1" s="473"/>
      <c r="F1" s="473"/>
      <c r="G1" s="473"/>
      <c r="H1" s="473"/>
      <c r="I1" s="473"/>
      <c r="J1" s="473"/>
      <c r="K1" s="474"/>
    </row>
    <row r="2" spans="1:15" ht="15.75" thickBot="1" x14ac:dyDescent="0.3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5" ht="15.75" thickBot="1" x14ac:dyDescent="0.3">
      <c r="A3" s="47" t="s">
        <v>137</v>
      </c>
      <c r="B3" s="104" t="s">
        <v>125</v>
      </c>
      <c r="C3" s="96" t="s">
        <v>126</v>
      </c>
      <c r="D3" s="96" t="s">
        <v>127</v>
      </c>
      <c r="E3" s="96" t="s">
        <v>128</v>
      </c>
      <c r="F3" s="96" t="s">
        <v>129</v>
      </c>
      <c r="G3" s="96" t="s">
        <v>130</v>
      </c>
      <c r="H3" s="96" t="s">
        <v>131</v>
      </c>
      <c r="I3" s="96" t="s">
        <v>132</v>
      </c>
      <c r="J3" s="96" t="s">
        <v>133</v>
      </c>
      <c r="K3" s="97" t="s">
        <v>134</v>
      </c>
    </row>
    <row r="4" spans="1:15" x14ac:dyDescent="0.25">
      <c r="A4" s="108" t="s">
        <v>90</v>
      </c>
      <c r="B4" s="105">
        <f>'Gastos admin-pub-vent'!E7</f>
        <v>600000</v>
      </c>
      <c r="C4" s="95">
        <f>'Gastos admin-pub-vent'!F7</f>
        <v>624000</v>
      </c>
      <c r="D4" s="95">
        <f>'Gastos admin-pub-vent'!G7</f>
        <v>648960</v>
      </c>
      <c r="E4" s="95">
        <f>'Gastos admin-pub-vent'!H7</f>
        <v>674918.40000000002</v>
      </c>
      <c r="F4" s="95">
        <f>'Gastos admin-pub-vent'!I7</f>
        <v>701915.13600000006</v>
      </c>
      <c r="G4" s="62">
        <f>+B4/12</f>
        <v>50000</v>
      </c>
      <c r="H4" s="62">
        <f t="shared" ref="H4:K4" si="0">+G4*1.04</f>
        <v>52000</v>
      </c>
      <c r="I4" s="62">
        <f t="shared" si="0"/>
        <v>54080</v>
      </c>
      <c r="J4" s="62">
        <f t="shared" si="0"/>
        <v>56243.200000000004</v>
      </c>
      <c r="K4" s="98">
        <f t="shared" si="0"/>
        <v>58492.928000000007</v>
      </c>
      <c r="O4" s="23"/>
    </row>
    <row r="5" spans="1:15" x14ac:dyDescent="0.25">
      <c r="A5" s="109" t="s">
        <v>167</v>
      </c>
      <c r="B5" s="106">
        <f>Nomina!D24</f>
        <v>73302988</v>
      </c>
      <c r="C5" s="61">
        <f>Nomina!E24</f>
        <v>76235107.519999996</v>
      </c>
      <c r="D5" s="61">
        <f>Nomina!F24</f>
        <v>79284511.820800006</v>
      </c>
      <c r="E5" s="61">
        <f>Nomina!G24</f>
        <v>82455892.293632001</v>
      </c>
      <c r="F5" s="61">
        <f>Nomina!H24</f>
        <v>85754127.985377282</v>
      </c>
      <c r="G5" s="63">
        <f>Nomina!C24</f>
        <v>6108582.333333333</v>
      </c>
      <c r="H5" s="63">
        <f>+G5</f>
        <v>6108582.333333333</v>
      </c>
      <c r="I5" s="63">
        <f t="shared" ref="I5:K5" si="1">+H5</f>
        <v>6108582.333333333</v>
      </c>
      <c r="J5" s="63">
        <f t="shared" si="1"/>
        <v>6108582.333333333</v>
      </c>
      <c r="K5" s="63">
        <f t="shared" si="1"/>
        <v>6108582.333333333</v>
      </c>
      <c r="O5" s="23"/>
    </row>
    <row r="6" spans="1:15" x14ac:dyDescent="0.25">
      <c r="A6" s="109" t="s">
        <v>168</v>
      </c>
      <c r="B6" s="106">
        <f>Nomina!F32</f>
        <v>0</v>
      </c>
      <c r="C6" s="106">
        <f>Nomina!G32</f>
        <v>0</v>
      </c>
      <c r="D6" s="106">
        <f>Nomina!H32</f>
        <v>0</v>
      </c>
      <c r="E6" s="106">
        <f>Nomina!I32</f>
        <v>0</v>
      </c>
      <c r="F6" s="106">
        <f>Nomina!J32</f>
        <v>0</v>
      </c>
      <c r="G6" s="63">
        <f>B6/12</f>
        <v>0</v>
      </c>
      <c r="H6" s="63">
        <f t="shared" ref="H6:K6" si="2">C6/12</f>
        <v>0</v>
      </c>
      <c r="I6" s="63">
        <f t="shared" si="2"/>
        <v>0</v>
      </c>
      <c r="J6" s="63">
        <f t="shared" si="2"/>
        <v>0</v>
      </c>
      <c r="K6" s="99">
        <f t="shared" si="2"/>
        <v>0</v>
      </c>
      <c r="O6" s="23"/>
    </row>
    <row r="7" spans="1:15" x14ac:dyDescent="0.25">
      <c r="A7" s="109" t="s">
        <v>91</v>
      </c>
      <c r="B7" s="106">
        <f>'Gastos admin-pub-vent'!E3</f>
        <v>7200000</v>
      </c>
      <c r="C7" s="61">
        <f>'Gastos admin-pub-vent'!F3</f>
        <v>7488000</v>
      </c>
      <c r="D7" s="61">
        <f>'Gastos admin-pub-vent'!G3</f>
        <v>7787520</v>
      </c>
      <c r="E7" s="61">
        <f>'Gastos admin-pub-vent'!H3</f>
        <v>8099020.7999999998</v>
      </c>
      <c r="F7" s="61">
        <f>'Gastos admin-pub-vent'!I3</f>
        <v>8422981.6319999993</v>
      </c>
      <c r="G7" s="63">
        <f>+B7/12</f>
        <v>600000</v>
      </c>
      <c r="H7" s="63">
        <f>+G7</f>
        <v>600000</v>
      </c>
      <c r="I7" s="63">
        <f t="shared" ref="I7:K7" si="3">+H7</f>
        <v>600000</v>
      </c>
      <c r="J7" s="63">
        <f t="shared" si="3"/>
        <v>600000</v>
      </c>
      <c r="K7" s="63">
        <f t="shared" si="3"/>
        <v>600000</v>
      </c>
      <c r="O7" s="23"/>
    </row>
    <row r="8" spans="1:15" x14ac:dyDescent="0.25">
      <c r="A8" s="109" t="s">
        <v>177</v>
      </c>
      <c r="B8" s="106">
        <f>SUM('Gastos admin-pub-vent'!E4:E6)</f>
        <v>4200000</v>
      </c>
      <c r="C8" s="61">
        <f>SUM('Gastos admin-pub-vent'!F4:F6)</f>
        <v>4368000</v>
      </c>
      <c r="D8" s="61">
        <f>SUM('Gastos admin-pub-vent'!G4:G6)</f>
        <v>4542720</v>
      </c>
      <c r="E8" s="61">
        <f>SUM('Gastos admin-pub-vent'!H4:H6)</f>
        <v>4724428.7999999998</v>
      </c>
      <c r="F8" s="61">
        <f>SUM('Gastos admin-pub-vent'!I4:I6)</f>
        <v>4913405.9519999996</v>
      </c>
      <c r="G8" s="63">
        <f t="shared" ref="G8:G15" si="4">+B8/12</f>
        <v>350000</v>
      </c>
      <c r="H8" s="63">
        <f>+G8</f>
        <v>350000</v>
      </c>
      <c r="I8" s="63">
        <f t="shared" ref="I8:K8" si="5">+H8</f>
        <v>350000</v>
      </c>
      <c r="J8" s="63">
        <f t="shared" si="5"/>
        <v>350000</v>
      </c>
      <c r="K8" s="63">
        <f t="shared" si="5"/>
        <v>350000</v>
      </c>
      <c r="O8" s="23"/>
    </row>
    <row r="9" spans="1:15" x14ac:dyDescent="0.25">
      <c r="A9" s="109" t="s">
        <v>93</v>
      </c>
      <c r="B9" s="106">
        <f>'Gastos admin-pub-vent'!E8</f>
        <v>960000</v>
      </c>
      <c r="C9" s="61">
        <f>'Gastos admin-pub-vent'!F8</f>
        <v>998400</v>
      </c>
      <c r="D9" s="61">
        <f>'Gastos admin-pub-vent'!G8</f>
        <v>1038336</v>
      </c>
      <c r="E9" s="61">
        <f>'Gastos admin-pub-vent'!H8</f>
        <v>1079869.4399999999</v>
      </c>
      <c r="F9" s="61">
        <f>'Gastos admin-pub-vent'!I8</f>
        <v>1123064.2176000001</v>
      </c>
      <c r="G9" s="63">
        <f t="shared" ref="G9:G11" si="6">+B9/12</f>
        <v>80000</v>
      </c>
      <c r="H9" s="63">
        <v>0</v>
      </c>
      <c r="I9" s="63">
        <v>0</v>
      </c>
      <c r="J9" s="63">
        <v>0</v>
      </c>
      <c r="K9" s="99">
        <v>0</v>
      </c>
      <c r="O9" s="23"/>
    </row>
    <row r="10" spans="1:15" x14ac:dyDescent="0.25">
      <c r="A10" s="109" t="s">
        <v>215</v>
      </c>
      <c r="B10" s="106">
        <f>+B26*Ingresos!$B$4*12</f>
        <v>305307250</v>
      </c>
      <c r="C10" s="106">
        <f>+C26*Ingresos!$B$4*12</f>
        <v>317519540</v>
      </c>
      <c r="D10" s="106">
        <f>+D26*Ingresos!$B$4*12</f>
        <v>330220321.60000002</v>
      </c>
      <c r="E10" s="106">
        <f>+E26*Ingresos!$B$4*12</f>
        <v>343429134.46400011</v>
      </c>
      <c r="F10" s="106">
        <f>+F26*Ingresos!$B$4*12</f>
        <v>357166299.84256005</v>
      </c>
      <c r="G10" s="63">
        <f>+B10/12</f>
        <v>25442270.833333332</v>
      </c>
      <c r="H10" s="63">
        <v>20833333.333333336</v>
      </c>
      <c r="I10" s="63">
        <v>20833333.333333336</v>
      </c>
      <c r="J10" s="63">
        <v>20833333.333333336</v>
      </c>
      <c r="K10" s="63">
        <v>20833333.333333336</v>
      </c>
      <c r="O10" s="23"/>
    </row>
    <row r="11" spans="1:15" x14ac:dyDescent="0.25">
      <c r="A11" s="109" t="s">
        <v>34</v>
      </c>
      <c r="B11" s="106">
        <f>'Gastos admin-pub-vent'!E9</f>
        <v>120000</v>
      </c>
      <c r="C11" s="61">
        <f>'Gastos admin-pub-vent'!F9</f>
        <v>124800</v>
      </c>
      <c r="D11" s="61">
        <f>'Gastos admin-pub-vent'!G9</f>
        <v>129792</v>
      </c>
      <c r="E11" s="61">
        <f>'Gastos admin-pub-vent'!H9</f>
        <v>134983.67999999999</v>
      </c>
      <c r="F11" s="61">
        <f>'Gastos admin-pub-vent'!I9</f>
        <v>140383.02720000001</v>
      </c>
      <c r="G11" s="63">
        <f t="shared" si="6"/>
        <v>10000</v>
      </c>
      <c r="H11" s="63">
        <f t="shared" ref="H11" si="7">+G11*1.04</f>
        <v>10400</v>
      </c>
      <c r="I11" s="63">
        <f t="shared" ref="I11" si="8">+H11*1.04</f>
        <v>10816</v>
      </c>
      <c r="J11" s="63">
        <f t="shared" ref="J11" si="9">+I11*1.04</f>
        <v>11248.640000000001</v>
      </c>
      <c r="K11" s="99">
        <f t="shared" ref="K11" si="10">+J11*1.04</f>
        <v>11698.585600000002</v>
      </c>
      <c r="O11" s="23"/>
    </row>
    <row r="12" spans="1:15" x14ac:dyDescent="0.25">
      <c r="A12" s="109" t="s">
        <v>178</v>
      </c>
      <c r="B12" s="106">
        <f>Depreciación!D5</f>
        <v>74000</v>
      </c>
      <c r="C12" s="61">
        <f>+$B$12</f>
        <v>74000</v>
      </c>
      <c r="D12" s="61">
        <f>+$B$12</f>
        <v>74000</v>
      </c>
      <c r="E12" s="61">
        <f t="shared" ref="E12:F12" si="11">+$B$12</f>
        <v>74000</v>
      </c>
      <c r="F12" s="61">
        <f t="shared" si="11"/>
        <v>74000</v>
      </c>
      <c r="G12" s="63">
        <f t="shared" si="4"/>
        <v>6166.666666666667</v>
      </c>
      <c r="H12" s="63">
        <f>+G12</f>
        <v>6166.666666666667</v>
      </c>
      <c r="I12" s="63">
        <f t="shared" ref="I12:K12" si="12">+H12</f>
        <v>6166.666666666667</v>
      </c>
      <c r="J12" s="63">
        <f t="shared" si="12"/>
        <v>6166.666666666667</v>
      </c>
      <c r="K12" s="63">
        <f t="shared" si="12"/>
        <v>6166.666666666667</v>
      </c>
      <c r="O12" s="23"/>
    </row>
    <row r="13" spans="1:15" x14ac:dyDescent="0.25">
      <c r="A13" s="109" t="s">
        <v>122</v>
      </c>
      <c r="B13" s="106">
        <f>Depreciación!D6</f>
        <v>553500</v>
      </c>
      <c r="C13" s="61">
        <f>+$B$13</f>
        <v>553500</v>
      </c>
      <c r="D13" s="61">
        <f t="shared" ref="D13:F13" si="13">+$B$13</f>
        <v>553500</v>
      </c>
      <c r="E13" s="61">
        <f t="shared" si="13"/>
        <v>553500</v>
      </c>
      <c r="F13" s="61">
        <f t="shared" si="13"/>
        <v>553500</v>
      </c>
      <c r="G13" s="63">
        <f t="shared" si="4"/>
        <v>46125</v>
      </c>
      <c r="H13" s="63">
        <f t="shared" ref="H13:K13" si="14">+G13</f>
        <v>46125</v>
      </c>
      <c r="I13" s="63">
        <f t="shared" si="14"/>
        <v>46125</v>
      </c>
      <c r="J13" s="63">
        <f t="shared" si="14"/>
        <v>46125</v>
      </c>
      <c r="K13" s="63">
        <f t="shared" si="14"/>
        <v>46125</v>
      </c>
      <c r="O13" s="23"/>
    </row>
    <row r="14" spans="1:15" x14ac:dyDescent="0.25">
      <c r="A14" s="109" t="s">
        <v>123</v>
      </c>
      <c r="B14" s="106">
        <f>Depreciación!D7</f>
        <v>320000</v>
      </c>
      <c r="C14" s="61">
        <f>$B$14</f>
        <v>320000</v>
      </c>
      <c r="D14" s="61">
        <f t="shared" ref="D14:F14" si="15">$B$14</f>
        <v>320000</v>
      </c>
      <c r="E14" s="61">
        <f t="shared" si="15"/>
        <v>320000</v>
      </c>
      <c r="F14" s="61">
        <f t="shared" si="15"/>
        <v>320000</v>
      </c>
      <c r="G14" s="63">
        <f>+B14/12</f>
        <v>26666.666666666668</v>
      </c>
      <c r="H14" s="63">
        <f t="shared" ref="H14:K14" si="16">+G14</f>
        <v>26666.666666666668</v>
      </c>
      <c r="I14" s="63">
        <f t="shared" si="16"/>
        <v>26666.666666666668</v>
      </c>
      <c r="J14" s="63">
        <f t="shared" si="16"/>
        <v>26666.666666666668</v>
      </c>
      <c r="K14" s="63">
        <f t="shared" si="16"/>
        <v>26666.666666666668</v>
      </c>
      <c r="O14" s="23"/>
    </row>
    <row r="15" spans="1:15" ht="15.75" thickBot="1" x14ac:dyDescent="0.3">
      <c r="A15" s="110" t="s">
        <v>124</v>
      </c>
      <c r="B15" s="107">
        <f>'Gastos admin-pub-vent'!E17</f>
        <v>100000</v>
      </c>
      <c r="C15" s="68">
        <f>'Gastos admin-pub-vent'!F17</f>
        <v>104000</v>
      </c>
      <c r="D15" s="68">
        <f>'Gastos admin-pub-vent'!G17</f>
        <v>1108160</v>
      </c>
      <c r="E15" s="68">
        <f>'Gastos admin-pub-vent'!H17</f>
        <v>1152486.3999999999</v>
      </c>
      <c r="F15" s="68">
        <f>'Gastos admin-pub-vent'!I17</f>
        <v>1198585.8559999999</v>
      </c>
      <c r="G15" s="100">
        <f t="shared" si="4"/>
        <v>8333.3333333333339</v>
      </c>
      <c r="H15" s="63">
        <f t="shared" ref="H15:K15" si="17">+G15</f>
        <v>8333.3333333333339</v>
      </c>
      <c r="I15" s="63">
        <f t="shared" si="17"/>
        <v>8333.3333333333339</v>
      </c>
      <c r="J15" s="63">
        <f t="shared" si="17"/>
        <v>8333.3333333333339</v>
      </c>
      <c r="K15" s="63">
        <f t="shared" si="17"/>
        <v>8333.3333333333339</v>
      </c>
      <c r="O15" s="23"/>
    </row>
    <row r="16" spans="1:15" ht="15.75" thickBot="1" x14ac:dyDescent="0.3">
      <c r="A16" s="111" t="s">
        <v>83</v>
      </c>
      <c r="B16" s="93">
        <f>SUM(B4:B15)</f>
        <v>392737738</v>
      </c>
      <c r="C16" s="92">
        <f t="shared" ref="C16:K16" si="18">SUM(C4:C15)</f>
        <v>408409347.51999998</v>
      </c>
      <c r="D16" s="92">
        <f t="shared" si="18"/>
        <v>425707821.42080003</v>
      </c>
      <c r="E16" s="92">
        <f t="shared" si="18"/>
        <v>442698234.27763206</v>
      </c>
      <c r="F16" s="92">
        <f t="shared" si="18"/>
        <v>460368263.64873731</v>
      </c>
      <c r="G16" s="93">
        <f t="shared" si="18"/>
        <v>32728144.833333332</v>
      </c>
      <c r="H16" s="92">
        <f t="shared" si="18"/>
        <v>28041607.333333336</v>
      </c>
      <c r="I16" s="92">
        <f t="shared" si="18"/>
        <v>28044103.333333336</v>
      </c>
      <c r="J16" s="92">
        <f t="shared" si="18"/>
        <v>28046699.173333336</v>
      </c>
      <c r="K16" s="94">
        <f t="shared" si="18"/>
        <v>28049398.846933335</v>
      </c>
      <c r="O16" s="23"/>
    </row>
    <row r="17" spans="1:11" ht="15.75" thickBot="1" x14ac:dyDescent="0.3">
      <c r="A17" s="103" t="s">
        <v>135</v>
      </c>
      <c r="B17" s="101">
        <f>SUM(B16+C16+D16+E16+F16)</f>
        <v>2129921404.8671694</v>
      </c>
      <c r="C17" s="66"/>
      <c r="D17" s="66"/>
      <c r="E17" s="66"/>
      <c r="F17" s="66"/>
      <c r="G17" s="102" t="s">
        <v>136</v>
      </c>
      <c r="H17" s="101">
        <f>SUM(G16+H16+I16+J16+K16)</f>
        <v>144909953.52026665</v>
      </c>
      <c r="I17" s="66"/>
      <c r="J17" s="66"/>
      <c r="K17" s="66"/>
    </row>
    <row r="18" spans="1:11" ht="15.75" thickBot="1" x14ac:dyDescent="0.3">
      <c r="A18" s="24"/>
    </row>
    <row r="19" spans="1:11" ht="15.75" thickBot="1" x14ac:dyDescent="0.3">
      <c r="A19" s="475" t="s">
        <v>84</v>
      </c>
      <c r="B19" s="476"/>
      <c r="C19" s="476"/>
      <c r="D19" s="476"/>
      <c r="E19" s="476"/>
      <c r="F19" s="477"/>
      <c r="G19" s="387"/>
    </row>
    <row r="20" spans="1:11" x14ac:dyDescent="0.25">
      <c r="A20" s="113" t="s">
        <v>141</v>
      </c>
      <c r="B20" s="69">
        <f>+G16/30</f>
        <v>1090938.1611111111</v>
      </c>
      <c r="C20" s="67">
        <f>+B20*1.04</f>
        <v>1134575.6875555555</v>
      </c>
      <c r="D20" s="67">
        <f>+C20*1.04</f>
        <v>1179958.7150577777</v>
      </c>
      <c r="E20" s="69">
        <f>+D20*1.04</f>
        <v>1227157.0636600889</v>
      </c>
      <c r="F20" s="70">
        <f>+E20*1.04</f>
        <v>1276243.3462064925</v>
      </c>
      <c r="G20" s="388"/>
    </row>
    <row r="21" spans="1:11" x14ac:dyDescent="0.25">
      <c r="A21" s="114" t="s">
        <v>138</v>
      </c>
      <c r="B21" s="69">
        <f>+B20/+Ingresos!$B$4</f>
        <v>1071.9740469095748</v>
      </c>
      <c r="C21" s="69">
        <f>+C20/+Ingresos!$B$4</f>
        <v>1114.8530087859579</v>
      </c>
      <c r="D21" s="69">
        <f>+D20/+Ingresos!$B$4</f>
        <v>1159.4471291373961</v>
      </c>
      <c r="E21" s="69">
        <f>+E20/+Ingresos!$B$4</f>
        <v>1205.825014302892</v>
      </c>
      <c r="F21" s="69">
        <f>+F20/+Ingresos!$B$4</f>
        <v>1254.0580148750078</v>
      </c>
    </row>
    <row r="22" spans="1:11" x14ac:dyDescent="0.25">
      <c r="A22" s="115" t="s">
        <v>139</v>
      </c>
      <c r="B22" s="112">
        <f>+B39/Ingresos!$B$4</f>
        <v>235.78157195197073</v>
      </c>
      <c r="C22" s="112">
        <f>+C39/Ingresos!$B$4</f>
        <v>245.21283483004959</v>
      </c>
      <c r="D22" s="112">
        <f>+D39/Ingresos!$B$4</f>
        <v>255.02134822325161</v>
      </c>
      <c r="E22" s="112">
        <f>+E39/Ingresos!$B$4</f>
        <v>265.22220215218164</v>
      </c>
      <c r="F22" s="112">
        <f>+F39/Ingresos!$B$4</f>
        <v>275.83109023826893</v>
      </c>
      <c r="H22" s="319"/>
    </row>
    <row r="23" spans="1:11" ht="15.75" thickBot="1" x14ac:dyDescent="0.3">
      <c r="A23" s="116" t="s">
        <v>140</v>
      </c>
      <c r="B23" s="107">
        <f>+B21-B22</f>
        <v>836.19247495760408</v>
      </c>
      <c r="C23" s="68">
        <f>+C21-C22</f>
        <v>869.64017395590827</v>
      </c>
      <c r="D23" s="68">
        <f>+D21-D22</f>
        <v>904.42578091414453</v>
      </c>
      <c r="E23" s="68">
        <f>+E21-E22</f>
        <v>940.60281215071041</v>
      </c>
      <c r="F23" s="71">
        <f>+F21-F22</f>
        <v>978.22692463673889</v>
      </c>
      <c r="I23" s="307"/>
    </row>
    <row r="24" spans="1:11" ht="15.75" thickBot="1" x14ac:dyDescent="0.3">
      <c r="A24" s="363"/>
      <c r="B24" s="364"/>
      <c r="C24" s="364"/>
      <c r="D24" s="364"/>
      <c r="E24" s="364"/>
      <c r="F24" s="364"/>
      <c r="I24" s="307"/>
    </row>
    <row r="25" spans="1:11" ht="15.75" thickBot="1" x14ac:dyDescent="0.3">
      <c r="A25" s="475" t="s">
        <v>216</v>
      </c>
      <c r="B25" s="476"/>
      <c r="C25" s="476"/>
      <c r="D25" s="476"/>
      <c r="E25" s="476"/>
      <c r="F25" s="477"/>
      <c r="I25" s="307"/>
    </row>
    <row r="26" spans="1:11" x14ac:dyDescent="0.25">
      <c r="A26" s="113" t="s">
        <v>217</v>
      </c>
      <c r="B26" s="69">
        <v>25000</v>
      </c>
      <c r="C26" s="67">
        <f>+B26*1.04</f>
        <v>26000</v>
      </c>
      <c r="D26" s="67">
        <f>+C26*1.04</f>
        <v>27040</v>
      </c>
      <c r="E26" s="69">
        <f>+D26*1.04</f>
        <v>28121.600000000002</v>
      </c>
      <c r="F26" s="70">
        <f>+E26*1.04</f>
        <v>29246.464000000004</v>
      </c>
      <c r="I26" s="307"/>
    </row>
    <row r="27" spans="1:11" ht="15.75" thickBot="1" x14ac:dyDescent="0.3">
      <c r="H27" s="23"/>
      <c r="I27" s="319"/>
      <c r="J27" s="27"/>
    </row>
    <row r="28" spans="1:11" ht="15.75" thickBot="1" x14ac:dyDescent="0.3">
      <c r="A28" s="478" t="s">
        <v>86</v>
      </c>
      <c r="B28" s="479"/>
      <c r="C28" s="479"/>
      <c r="D28" s="479"/>
      <c r="E28" s="479"/>
      <c r="F28" s="480"/>
      <c r="H28" s="367"/>
      <c r="I28" s="361"/>
    </row>
    <row r="29" spans="1:11" ht="15.75" thickBot="1" x14ac:dyDescent="0.3">
      <c r="A29" s="47" t="s">
        <v>137</v>
      </c>
      <c r="B29" s="42" t="s">
        <v>125</v>
      </c>
      <c r="C29" s="40" t="s">
        <v>126</v>
      </c>
      <c r="D29" s="40" t="s">
        <v>127</v>
      </c>
      <c r="E29" s="40" t="s">
        <v>128</v>
      </c>
      <c r="F29" s="41" t="s">
        <v>129</v>
      </c>
      <c r="H29" s="368"/>
    </row>
    <row r="30" spans="1:11" x14ac:dyDescent="0.25">
      <c r="A30" s="108" t="s">
        <v>90</v>
      </c>
      <c r="B30" s="117">
        <f t="shared" ref="B30:F31" si="19">+B4</f>
        <v>600000</v>
      </c>
      <c r="C30" s="72">
        <f t="shared" si="19"/>
        <v>624000</v>
      </c>
      <c r="D30" s="72">
        <f t="shared" si="19"/>
        <v>648960</v>
      </c>
      <c r="E30" s="72">
        <f t="shared" si="19"/>
        <v>674918.40000000002</v>
      </c>
      <c r="F30" s="73">
        <f t="shared" si="19"/>
        <v>701915.13600000006</v>
      </c>
      <c r="H30" s="369"/>
    </row>
    <row r="31" spans="1:11" x14ac:dyDescent="0.25">
      <c r="A31" s="109" t="s">
        <v>167</v>
      </c>
      <c r="B31" s="118">
        <f t="shared" si="19"/>
        <v>73302988</v>
      </c>
      <c r="C31" s="60">
        <f t="shared" si="19"/>
        <v>76235107.519999996</v>
      </c>
      <c r="D31" s="60">
        <f t="shared" si="19"/>
        <v>79284511.820800006</v>
      </c>
      <c r="E31" s="60">
        <f t="shared" si="19"/>
        <v>82455892.293632001</v>
      </c>
      <c r="F31" s="74">
        <f t="shared" si="19"/>
        <v>85754127.985377282</v>
      </c>
      <c r="H31" s="368"/>
    </row>
    <row r="32" spans="1:11" x14ac:dyDescent="0.25">
      <c r="A32" s="109" t="s">
        <v>168</v>
      </c>
      <c r="B32" s="118">
        <f>+B6</f>
        <v>0</v>
      </c>
      <c r="C32" s="118">
        <f t="shared" ref="C32:F32" si="20">+C6</f>
        <v>0</v>
      </c>
      <c r="D32" s="118">
        <f t="shared" si="20"/>
        <v>0</v>
      </c>
      <c r="E32" s="118">
        <f t="shared" si="20"/>
        <v>0</v>
      </c>
      <c r="F32" s="118">
        <f t="shared" si="20"/>
        <v>0</v>
      </c>
      <c r="H32" s="368"/>
    </row>
    <row r="33" spans="1:14" x14ac:dyDescent="0.25">
      <c r="A33" s="109" t="s">
        <v>91</v>
      </c>
      <c r="B33" s="118">
        <f>+B7</f>
        <v>7200000</v>
      </c>
      <c r="C33" s="60">
        <f t="shared" ref="C33:F34" si="21">+C7</f>
        <v>7488000</v>
      </c>
      <c r="D33" s="60">
        <f t="shared" si="21"/>
        <v>7787520</v>
      </c>
      <c r="E33" s="60">
        <f t="shared" si="21"/>
        <v>8099020.7999999998</v>
      </c>
      <c r="F33" s="74">
        <f t="shared" si="21"/>
        <v>8422981.6319999993</v>
      </c>
      <c r="H33" s="368"/>
    </row>
    <row r="34" spans="1:14" x14ac:dyDescent="0.25">
      <c r="A34" s="109" t="s">
        <v>92</v>
      </c>
      <c r="B34" s="118">
        <f>+B8</f>
        <v>4200000</v>
      </c>
      <c r="C34" s="60">
        <f t="shared" si="21"/>
        <v>4368000</v>
      </c>
      <c r="D34" s="60">
        <f t="shared" si="21"/>
        <v>4542720</v>
      </c>
      <c r="E34" s="60">
        <f t="shared" si="21"/>
        <v>4724428.7999999998</v>
      </c>
      <c r="F34" s="74">
        <f t="shared" si="21"/>
        <v>4913405.9519999996</v>
      </c>
      <c r="H34" s="368"/>
    </row>
    <row r="35" spans="1:14" x14ac:dyDescent="0.25">
      <c r="A35" s="109" t="s">
        <v>93</v>
      </c>
      <c r="B35" s="118">
        <f>+B9</f>
        <v>960000</v>
      </c>
      <c r="C35" s="60">
        <f>+C9</f>
        <v>998400</v>
      </c>
      <c r="D35" s="60">
        <f>+D9</f>
        <v>1038336</v>
      </c>
      <c r="E35" s="60">
        <f>+E9</f>
        <v>1079869.4399999999</v>
      </c>
      <c r="F35" s="74">
        <f>+F9</f>
        <v>1123064.2176000001</v>
      </c>
      <c r="H35" s="368"/>
    </row>
    <row r="36" spans="1:14" ht="15.75" thickBot="1" x14ac:dyDescent="0.3">
      <c r="A36" s="123" t="s">
        <v>34</v>
      </c>
      <c r="B36" s="119">
        <f t="shared" ref="B36:F36" si="22">+B11</f>
        <v>120000</v>
      </c>
      <c r="C36" s="78">
        <f t="shared" si="22"/>
        <v>124800</v>
      </c>
      <c r="D36" s="78">
        <f t="shared" si="22"/>
        <v>129792</v>
      </c>
      <c r="E36" s="78">
        <f t="shared" si="22"/>
        <v>134983.67999999999</v>
      </c>
      <c r="F36" s="79">
        <f t="shared" si="22"/>
        <v>140383.02720000001</v>
      </c>
      <c r="H36" s="368"/>
    </row>
    <row r="37" spans="1:14" ht="15.75" thickBot="1" x14ac:dyDescent="0.3">
      <c r="A37" s="124" t="s">
        <v>89</v>
      </c>
      <c r="B37" s="120">
        <f>SUM(B30:B36)</f>
        <v>86382988</v>
      </c>
      <c r="C37" s="80">
        <f t="shared" ref="C37:F37" si="23">SUM(C30:C36)</f>
        <v>89838307.519999996</v>
      </c>
      <c r="D37" s="80">
        <f t="shared" si="23"/>
        <v>93431839.820800006</v>
      </c>
      <c r="E37" s="80">
        <f t="shared" si="23"/>
        <v>97169113.413632005</v>
      </c>
      <c r="F37" s="81">
        <f t="shared" si="23"/>
        <v>101055877.95017728</v>
      </c>
      <c r="G37" s="82">
        <f>SUM(B37:F37)</f>
        <v>467878126.70460927</v>
      </c>
      <c r="H37" s="370"/>
    </row>
    <row r="38" spans="1:14" x14ac:dyDescent="0.25">
      <c r="A38" s="125" t="s">
        <v>87</v>
      </c>
      <c r="B38" s="121">
        <f>+B37/12</f>
        <v>7198582.333333333</v>
      </c>
      <c r="C38" s="77">
        <f t="shared" ref="C38:F38" si="24">+C37/12</f>
        <v>7486525.626666666</v>
      </c>
      <c r="D38" s="77">
        <f t="shared" si="24"/>
        <v>7785986.6517333342</v>
      </c>
      <c r="E38" s="77">
        <f t="shared" si="24"/>
        <v>8097426.1178026674</v>
      </c>
      <c r="F38" s="83">
        <f t="shared" si="24"/>
        <v>8421323.1625147741</v>
      </c>
      <c r="H38" s="368"/>
    </row>
    <row r="39" spans="1:14" ht="15.75" thickBot="1" x14ac:dyDescent="0.3">
      <c r="A39" s="126" t="s">
        <v>85</v>
      </c>
      <c r="B39" s="122">
        <f>+B38/30</f>
        <v>239952.74444444443</v>
      </c>
      <c r="C39" s="84">
        <f t="shared" ref="C39:F39" si="25">+C38/30</f>
        <v>249550.8542222222</v>
      </c>
      <c r="D39" s="84">
        <f t="shared" si="25"/>
        <v>259532.88839111113</v>
      </c>
      <c r="E39" s="84">
        <f t="shared" si="25"/>
        <v>269914.20392675558</v>
      </c>
      <c r="F39" s="85">
        <f t="shared" si="25"/>
        <v>280710.77208382578</v>
      </c>
      <c r="H39" s="368"/>
    </row>
    <row r="40" spans="1:14" ht="15.75" thickBot="1" x14ac:dyDescent="0.3">
      <c r="H40" s="368"/>
    </row>
    <row r="41" spans="1:14" x14ac:dyDescent="0.25">
      <c r="A41" s="129" t="s">
        <v>178</v>
      </c>
      <c r="B41" s="316">
        <f>+B12</f>
        <v>74000</v>
      </c>
      <c r="C41" s="317">
        <f>+C12</f>
        <v>74000</v>
      </c>
      <c r="D41" s="86">
        <f>+D12</f>
        <v>74000</v>
      </c>
      <c r="E41" s="86">
        <f t="shared" ref="E41:F41" si="26">+$B$12</f>
        <v>74000</v>
      </c>
      <c r="F41" s="87">
        <f t="shared" si="26"/>
        <v>74000</v>
      </c>
      <c r="H41" s="368"/>
    </row>
    <row r="42" spans="1:14" x14ac:dyDescent="0.25">
      <c r="A42" s="109" t="s">
        <v>122</v>
      </c>
      <c r="B42" s="318">
        <f>+B13</f>
        <v>553500</v>
      </c>
      <c r="C42" s="60">
        <f>+$B$13</f>
        <v>553500</v>
      </c>
      <c r="D42" s="60">
        <f t="shared" ref="D42:F42" si="27">+$B$13</f>
        <v>553500</v>
      </c>
      <c r="E42" s="60">
        <f t="shared" si="27"/>
        <v>553500</v>
      </c>
      <c r="F42" s="74">
        <f t="shared" si="27"/>
        <v>553500</v>
      </c>
      <c r="H42" s="371"/>
      <c r="I42" s="28"/>
      <c r="J42" s="28"/>
      <c r="K42" s="28"/>
      <c r="L42" s="28"/>
      <c r="M42" s="28"/>
      <c r="N42" s="28"/>
    </row>
    <row r="43" spans="1:14" x14ac:dyDescent="0.25">
      <c r="A43" s="109" t="s">
        <v>123</v>
      </c>
      <c r="B43" s="118">
        <f>+B14</f>
        <v>320000</v>
      </c>
      <c r="C43" s="60">
        <f>$B$14</f>
        <v>320000</v>
      </c>
      <c r="D43" s="60">
        <f t="shared" ref="D43:F43" si="28">$B$14</f>
        <v>320000</v>
      </c>
      <c r="E43" s="60">
        <f t="shared" si="28"/>
        <v>320000</v>
      </c>
      <c r="F43" s="74">
        <f t="shared" si="28"/>
        <v>320000</v>
      </c>
      <c r="H43" s="371"/>
      <c r="I43" s="28"/>
      <c r="J43" s="28"/>
      <c r="K43" s="28"/>
      <c r="L43" s="28"/>
      <c r="M43" s="28"/>
      <c r="N43" s="28"/>
    </row>
    <row r="44" spans="1:14" ht="15.75" thickBot="1" x14ac:dyDescent="0.3">
      <c r="A44" s="110" t="s">
        <v>124</v>
      </c>
      <c r="B44" s="127">
        <f>+B15</f>
        <v>100000</v>
      </c>
      <c r="C44" s="75">
        <f>+C15</f>
        <v>104000</v>
      </c>
      <c r="D44" s="75">
        <f>+D15</f>
        <v>1108160</v>
      </c>
      <c r="E44" s="75">
        <f>+E15</f>
        <v>1152486.3999999999</v>
      </c>
      <c r="F44" s="76">
        <f>+F15</f>
        <v>1198585.8559999999</v>
      </c>
      <c r="H44" s="368"/>
    </row>
    <row r="45" spans="1:14" ht="15.75" thickBot="1" x14ac:dyDescent="0.3">
      <c r="A45" s="130" t="s">
        <v>142</v>
      </c>
      <c r="B45" s="128">
        <f>SUM(B41+B42+B43+B44)</f>
        <v>1047500</v>
      </c>
      <c r="C45" s="88">
        <f>SUM(C41:C44)</f>
        <v>1051500</v>
      </c>
      <c r="D45" s="88">
        <f>SUM(D41:D44)</f>
        <v>2055660</v>
      </c>
      <c r="E45" s="88">
        <f>SUM(E41:E44)</f>
        <v>2099986.4</v>
      </c>
      <c r="F45" s="89">
        <f>SUM(F41:F44)</f>
        <v>2146085.8559999997</v>
      </c>
      <c r="G45" s="90">
        <f>SUM(B45:F45)</f>
        <v>8400732.256000001</v>
      </c>
      <c r="H45" s="368"/>
    </row>
    <row r="46" spans="1:14" x14ac:dyDescent="0.25">
      <c r="A46" s="131" t="s">
        <v>87</v>
      </c>
      <c r="B46" s="121">
        <f>+C45/12</f>
        <v>87625</v>
      </c>
      <c r="C46" s="77">
        <f>+D45/12</f>
        <v>171305</v>
      </c>
      <c r="D46" s="77">
        <f>+E45/12</f>
        <v>174998.86666666667</v>
      </c>
      <c r="E46" s="77">
        <f>+F45/12</f>
        <v>178840.48799999998</v>
      </c>
      <c r="F46" s="83">
        <f>+G45/12</f>
        <v>700061.02133333345</v>
      </c>
      <c r="H46" s="368"/>
    </row>
    <row r="47" spans="1:14" ht="15.75" thickBot="1" x14ac:dyDescent="0.3">
      <c r="A47" s="132" t="s">
        <v>88</v>
      </c>
      <c r="B47" s="122">
        <f>+B46/30</f>
        <v>2920.8333333333335</v>
      </c>
      <c r="C47" s="84">
        <f t="shared" ref="C47:F47" si="29">+C46/30</f>
        <v>5710.166666666667</v>
      </c>
      <c r="D47" s="84">
        <f t="shared" si="29"/>
        <v>5833.2955555555554</v>
      </c>
      <c r="E47" s="84">
        <f t="shared" si="29"/>
        <v>5961.3495999999996</v>
      </c>
      <c r="F47" s="85">
        <f t="shared" si="29"/>
        <v>23335.36737777778</v>
      </c>
      <c r="H47" s="368"/>
    </row>
  </sheetData>
  <mergeCells count="6">
    <mergeCell ref="A1:K1"/>
    <mergeCell ref="A19:F19"/>
    <mergeCell ref="A28:F28"/>
    <mergeCell ref="A25:F25"/>
    <mergeCell ref="G2:K2"/>
    <mergeCell ref="A2:F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opLeftCell="A5" workbookViewId="0">
      <selection activeCell="A5" sqref="A5:I13"/>
    </sheetView>
  </sheetViews>
  <sheetFormatPr baseColWidth="10" defaultRowHeight="12.75" x14ac:dyDescent="0.2"/>
  <cols>
    <col min="1" max="1" width="19.42578125" customWidth="1"/>
    <col min="2" max="2" width="13" bestFit="1" customWidth="1"/>
    <col min="4" max="4" width="2.7109375" customWidth="1"/>
    <col min="6" max="6" width="13.7109375" customWidth="1"/>
    <col min="7" max="7" width="14.28515625" customWidth="1"/>
    <col min="8" max="8" width="13" customWidth="1"/>
    <col min="9" max="9" width="12.7109375" customWidth="1"/>
    <col min="10" max="10" width="2.85546875" customWidth="1"/>
    <col min="11" max="11" width="12.28515625" customWidth="1"/>
    <col min="12" max="12" width="16.28515625" customWidth="1"/>
    <col min="13" max="13" width="4.7109375" customWidth="1"/>
  </cols>
  <sheetData>
    <row r="1" spans="1:12" ht="18.75" customHeight="1" x14ac:dyDescent="0.3">
      <c r="A1" s="321" t="s">
        <v>184</v>
      </c>
      <c r="B1" s="322"/>
      <c r="C1" s="322"/>
      <c r="D1" s="322"/>
      <c r="E1" s="322"/>
      <c r="F1" s="322"/>
      <c r="G1" s="322"/>
      <c r="H1" s="341"/>
      <c r="I1" s="482" t="s">
        <v>201</v>
      </c>
      <c r="J1" s="483"/>
      <c r="K1" s="483"/>
      <c r="L1" s="484"/>
    </row>
    <row r="2" spans="1:12" ht="13.5" thickBot="1" x14ac:dyDescent="0.25">
      <c r="A2" s="322"/>
      <c r="B2" s="322"/>
      <c r="C2" s="322"/>
      <c r="D2" s="322"/>
      <c r="E2" s="322"/>
      <c r="F2" s="322"/>
      <c r="G2" s="322"/>
      <c r="H2" s="322"/>
      <c r="I2" s="485"/>
      <c r="J2" s="486"/>
      <c r="K2" s="486"/>
      <c r="L2" s="487"/>
    </row>
    <row r="3" spans="1:12" ht="15" x14ac:dyDescent="0.25">
      <c r="A3" s="323" t="s">
        <v>185</v>
      </c>
      <c r="B3" s="323"/>
      <c r="C3" s="323"/>
      <c r="D3" s="323"/>
      <c r="E3" s="323"/>
      <c r="F3" s="323"/>
      <c r="G3" s="323"/>
      <c r="H3" s="323"/>
      <c r="I3" s="323"/>
    </row>
    <row r="4" spans="1:12" ht="15" x14ac:dyDescent="0.25">
      <c r="A4" s="323" t="s">
        <v>186</v>
      </c>
      <c r="B4" s="323"/>
      <c r="C4" s="323"/>
      <c r="D4" s="323"/>
      <c r="E4" s="323"/>
      <c r="F4" s="323"/>
      <c r="G4" s="323"/>
      <c r="H4" s="323"/>
      <c r="I4" s="323"/>
    </row>
    <row r="5" spans="1:12" ht="15" customHeight="1" x14ac:dyDescent="0.25">
      <c r="A5" s="491"/>
      <c r="B5" s="491"/>
      <c r="C5" s="491"/>
      <c r="D5" s="491"/>
      <c r="E5" s="491"/>
      <c r="F5" s="491"/>
      <c r="G5" s="491"/>
      <c r="H5" s="491"/>
      <c r="I5" s="491"/>
    </row>
    <row r="6" spans="1:12" ht="18.75" x14ac:dyDescent="0.25">
      <c r="A6" s="323"/>
      <c r="B6" s="323"/>
      <c r="C6" s="323"/>
      <c r="D6" s="323"/>
      <c r="E6" s="324" t="s">
        <v>187</v>
      </c>
      <c r="F6" s="323"/>
      <c r="G6" s="325" t="s">
        <v>188</v>
      </c>
      <c r="H6" s="326" t="s">
        <v>189</v>
      </c>
      <c r="I6" s="325" t="s">
        <v>176</v>
      </c>
    </row>
    <row r="7" spans="1:12" ht="15" x14ac:dyDescent="0.25">
      <c r="A7" s="323"/>
      <c r="B7" s="323"/>
      <c r="C7" s="323"/>
      <c r="D7" s="323"/>
      <c r="E7" s="327" t="s">
        <v>190</v>
      </c>
      <c r="F7" s="375">
        <v>0</v>
      </c>
      <c r="G7" s="375">
        <v>136</v>
      </c>
      <c r="H7" s="376">
        <f>+B12</f>
        <v>235.62308899687028</v>
      </c>
      <c r="I7" s="377">
        <v>336</v>
      </c>
    </row>
    <row r="8" spans="1:12" ht="15.75" thickBot="1" x14ac:dyDescent="0.3">
      <c r="A8" s="324" t="s">
        <v>191</v>
      </c>
      <c r="B8" s="323"/>
      <c r="C8" s="323"/>
      <c r="D8" s="323"/>
      <c r="E8" s="328" t="s">
        <v>192</v>
      </c>
      <c r="F8" s="378">
        <f>+F7*$B$9</f>
        <v>0</v>
      </c>
      <c r="G8" s="378">
        <f>+G7*$B$9</f>
        <v>8528625.5172125772</v>
      </c>
      <c r="H8" s="379">
        <f>+H7*$B$9</f>
        <v>14776037.421052631</v>
      </c>
      <c r="I8" s="380">
        <f>+I7*$B$9</f>
        <v>21070721.866054602</v>
      </c>
    </row>
    <row r="9" spans="1:12" ht="15" x14ac:dyDescent="0.25">
      <c r="A9" s="334" t="s">
        <v>193</v>
      </c>
      <c r="B9" s="339">
        <f>Ingresos!G9</f>
        <v>62710.481744210127</v>
      </c>
      <c r="C9" s="329"/>
      <c r="D9" s="323"/>
      <c r="E9" s="328" t="s">
        <v>140</v>
      </c>
      <c r="F9" s="378">
        <f>+F7*$B$10</f>
        <v>0</v>
      </c>
      <c r="G9" s="378">
        <f>+G7*$B$10</f>
        <v>4373654.1113910656</v>
      </c>
      <c r="H9" s="384">
        <f>+H7*$B$10</f>
        <v>7577455.087719298</v>
      </c>
      <c r="I9" s="380">
        <f>+I7*$B$10</f>
        <v>10805498.392848514</v>
      </c>
    </row>
    <row r="10" spans="1:12" ht="15" x14ac:dyDescent="0.25">
      <c r="A10" s="330" t="s">
        <v>194</v>
      </c>
      <c r="B10" s="340">
        <f>+Inversión!D38</f>
        <v>32159.221407287245</v>
      </c>
      <c r="C10" s="329"/>
      <c r="D10" s="323"/>
      <c r="E10" s="328" t="s">
        <v>195</v>
      </c>
      <c r="F10" s="378">
        <f>+$B$11</f>
        <v>7198582.333333333</v>
      </c>
      <c r="G10" s="378">
        <f>+$B$11</f>
        <v>7198582.333333333</v>
      </c>
      <c r="H10" s="384">
        <f>+$B$11</f>
        <v>7198582.333333333</v>
      </c>
      <c r="I10" s="380">
        <f>+$B$11</f>
        <v>7198582.333333333</v>
      </c>
    </row>
    <row r="11" spans="1:12" ht="15" x14ac:dyDescent="0.25">
      <c r="A11" s="330" t="s">
        <v>196</v>
      </c>
      <c r="B11" s="340">
        <f>+'Costos Totales por Año'!B38</f>
        <v>7198582.333333333</v>
      </c>
      <c r="C11" s="329"/>
      <c r="D11" s="323"/>
      <c r="E11" s="331" t="s">
        <v>197</v>
      </c>
      <c r="F11" s="381">
        <f>+F9+F10</f>
        <v>7198582.333333333</v>
      </c>
      <c r="G11" s="381">
        <f>+G9+G10</f>
        <v>11572236.4447244</v>
      </c>
      <c r="H11" s="382">
        <f>+H9+H10</f>
        <v>14776037.421052631</v>
      </c>
      <c r="I11" s="383">
        <f>+I9+I10</f>
        <v>18004080.726181846</v>
      </c>
    </row>
    <row r="12" spans="1:12" ht="15" x14ac:dyDescent="0.25">
      <c r="A12" s="332" t="s">
        <v>198</v>
      </c>
      <c r="B12" s="345">
        <f>+B11/(B9-B10)</f>
        <v>235.62308899687028</v>
      </c>
      <c r="C12" s="323"/>
      <c r="D12" s="323"/>
      <c r="E12" s="333" t="s">
        <v>199</v>
      </c>
      <c r="F12" s="342">
        <f>+F8-F11</f>
        <v>-7198582.333333333</v>
      </c>
      <c r="G12" s="342">
        <f>+G8-G11</f>
        <v>-3043610.9275118224</v>
      </c>
      <c r="H12" s="344">
        <f>+H8-H11</f>
        <v>0</v>
      </c>
      <c r="I12" s="343">
        <f>+I8-I11</f>
        <v>3066641.1398727559</v>
      </c>
    </row>
    <row r="13" spans="1:12" ht="15.75" thickBot="1" x14ac:dyDescent="0.3">
      <c r="A13" s="335" t="s">
        <v>200</v>
      </c>
      <c r="B13" s="346">
        <f>B12*B9</f>
        <v>14776037.421052631</v>
      </c>
      <c r="C13" s="323"/>
      <c r="D13" s="322"/>
      <c r="E13" s="488" t="str">
        <f>IF(B12&lt;0,"Nunca alcanzarás el punto de equilibrio con esos datos!","Para alcanzar el punto de equilibrio debes vender "&amp;TEXT(B12,"#.##0")&amp;" unidades mes")</f>
        <v>Para alcanzar el punto de equilibrio debes vender 236 unidades mes</v>
      </c>
      <c r="F13" s="489"/>
      <c r="G13" s="489"/>
      <c r="H13" s="489"/>
      <c r="I13" s="490"/>
    </row>
    <row r="14" spans="1:12" x14ac:dyDescent="0.2">
      <c r="A14" s="322"/>
      <c r="B14" s="322"/>
      <c r="C14" s="322"/>
      <c r="D14" s="322"/>
      <c r="E14" s="322"/>
      <c r="F14" s="322"/>
      <c r="G14" s="322"/>
      <c r="H14" s="322"/>
      <c r="I14" s="322"/>
    </row>
    <row r="15" spans="1:12" x14ac:dyDescent="0.2">
      <c r="A15" s="322"/>
      <c r="B15" s="322"/>
      <c r="C15" s="322"/>
      <c r="D15" s="322"/>
      <c r="E15" s="322"/>
      <c r="F15" s="322"/>
      <c r="G15" s="322"/>
      <c r="H15" s="322"/>
      <c r="I15" s="322"/>
    </row>
    <row r="16" spans="1:12" x14ac:dyDescent="0.2">
      <c r="A16" s="322"/>
      <c r="B16" s="322"/>
      <c r="C16" s="322"/>
      <c r="D16" s="322"/>
      <c r="E16" s="322"/>
      <c r="F16" s="322"/>
      <c r="G16" s="322"/>
      <c r="H16" s="322"/>
      <c r="I16" s="322"/>
    </row>
    <row r="17" spans="1:9" x14ac:dyDescent="0.2">
      <c r="A17" s="322"/>
      <c r="B17" s="322"/>
      <c r="C17" s="322"/>
      <c r="D17" s="322"/>
      <c r="E17" s="322"/>
      <c r="F17" s="322"/>
      <c r="G17" s="322"/>
      <c r="H17" s="322"/>
      <c r="I17" s="322"/>
    </row>
    <row r="18" spans="1:9" x14ac:dyDescent="0.2">
      <c r="A18" s="322"/>
      <c r="B18" s="322"/>
      <c r="C18" s="322"/>
      <c r="D18" s="322"/>
      <c r="E18" s="322"/>
      <c r="F18" s="322"/>
      <c r="G18" s="322"/>
      <c r="H18" s="322"/>
      <c r="I18" s="322"/>
    </row>
    <row r="19" spans="1:9" x14ac:dyDescent="0.2">
      <c r="A19" s="322"/>
      <c r="B19" s="322"/>
      <c r="C19" s="322"/>
      <c r="D19" s="322"/>
      <c r="E19" s="322"/>
      <c r="F19" s="322"/>
      <c r="G19" s="322"/>
      <c r="H19" s="322"/>
      <c r="I19" s="322"/>
    </row>
    <row r="20" spans="1:9" x14ac:dyDescent="0.2">
      <c r="A20" s="322"/>
      <c r="B20" s="322"/>
      <c r="C20" s="322"/>
      <c r="D20" s="322"/>
      <c r="E20" s="322"/>
      <c r="F20" s="322"/>
      <c r="G20" s="322"/>
      <c r="H20" s="322"/>
      <c r="I20" s="322"/>
    </row>
    <row r="21" spans="1:9" x14ac:dyDescent="0.2">
      <c r="A21" s="322"/>
      <c r="B21" s="322"/>
      <c r="C21" s="322"/>
      <c r="D21" s="322"/>
      <c r="E21" s="322"/>
      <c r="F21" s="322"/>
      <c r="G21" s="322"/>
      <c r="H21" s="322"/>
      <c r="I21" s="322"/>
    </row>
    <row r="22" spans="1:9" x14ac:dyDescent="0.2">
      <c r="A22" s="322"/>
      <c r="B22" s="322"/>
      <c r="C22" s="322"/>
      <c r="D22" s="322"/>
      <c r="E22" s="322"/>
      <c r="F22" s="322"/>
      <c r="G22" s="322"/>
      <c r="H22" s="322"/>
      <c r="I22" s="322"/>
    </row>
    <row r="23" spans="1:9" x14ac:dyDescent="0.2">
      <c r="A23" s="322"/>
      <c r="B23" s="322"/>
      <c r="C23" s="322"/>
      <c r="D23" s="322"/>
      <c r="E23" s="322"/>
      <c r="F23" s="322"/>
      <c r="G23" s="322"/>
      <c r="H23" s="322"/>
      <c r="I23" s="322"/>
    </row>
    <row r="24" spans="1:9" x14ac:dyDescent="0.2">
      <c r="A24" s="322"/>
      <c r="B24" s="322"/>
      <c r="C24" s="322"/>
      <c r="D24" s="322"/>
      <c r="E24" s="322"/>
      <c r="F24" s="322"/>
      <c r="G24" s="322"/>
      <c r="H24" s="322"/>
      <c r="I24" s="322"/>
    </row>
    <row r="25" spans="1:9" x14ac:dyDescent="0.2">
      <c r="A25" s="322"/>
      <c r="B25" s="322"/>
      <c r="C25" s="322"/>
      <c r="D25" s="322"/>
      <c r="E25" s="322"/>
      <c r="F25" s="322"/>
      <c r="G25" s="322"/>
      <c r="H25" s="322"/>
      <c r="I25" s="322"/>
    </row>
    <row r="26" spans="1:9" x14ac:dyDescent="0.2">
      <c r="A26" s="322"/>
      <c r="B26" s="322"/>
      <c r="C26" s="322"/>
      <c r="D26" s="322"/>
      <c r="E26" s="322"/>
      <c r="F26" s="322"/>
      <c r="G26" s="322"/>
      <c r="H26" s="322"/>
      <c r="I26" s="322"/>
    </row>
    <row r="27" spans="1:9" x14ac:dyDescent="0.2">
      <c r="A27" s="322"/>
      <c r="B27" s="322"/>
      <c r="C27" s="322"/>
      <c r="D27" s="322"/>
      <c r="E27" s="322"/>
      <c r="F27" s="322"/>
      <c r="G27" s="322"/>
      <c r="H27" s="322"/>
      <c r="I27" s="322"/>
    </row>
    <row r="28" spans="1:9" x14ac:dyDescent="0.2">
      <c r="A28" s="322"/>
      <c r="B28" s="322"/>
      <c r="C28" s="322"/>
      <c r="D28" s="322"/>
      <c r="E28" s="322"/>
      <c r="F28" s="322"/>
      <c r="G28" s="322"/>
      <c r="H28" s="322"/>
      <c r="I28" s="322"/>
    </row>
    <row r="29" spans="1:9" x14ac:dyDescent="0.2">
      <c r="A29" s="322"/>
      <c r="B29" s="322"/>
      <c r="C29" s="322"/>
      <c r="D29" s="322"/>
      <c r="E29" s="322"/>
      <c r="F29" s="322"/>
      <c r="G29" s="322"/>
      <c r="H29" s="322"/>
      <c r="I29" s="322"/>
    </row>
  </sheetData>
  <mergeCells count="3">
    <mergeCell ref="I1:L2"/>
    <mergeCell ref="E13:I13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Inversión</vt:lpstr>
      <vt:lpstr>Gastos admin-pub-vent</vt:lpstr>
      <vt:lpstr>Nomina</vt:lpstr>
      <vt:lpstr>Depreciación</vt:lpstr>
      <vt:lpstr>Inversión Total</vt:lpstr>
      <vt:lpstr>Capital de Trabajo</vt:lpstr>
      <vt:lpstr>Ingresos</vt:lpstr>
      <vt:lpstr>Costos Totales por Año</vt:lpstr>
      <vt:lpstr>Punto de Equilibrio Final</vt:lpstr>
      <vt:lpstr>estado de resultados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User</cp:lastModifiedBy>
  <dcterms:created xsi:type="dcterms:W3CDTF">2015-11-03T18:52:26Z</dcterms:created>
  <dcterms:modified xsi:type="dcterms:W3CDTF">2019-11-21T19:22:26Z</dcterms:modified>
</cp:coreProperties>
</file>