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gomez\OneDrive\BIBLIOTECA\2021\Proyectos de grado\copd\"/>
    </mc:Choice>
  </mc:AlternateContent>
  <bookViews>
    <workbookView xWindow="0" yWindow="0" windowWidth="17955" windowHeight="7755"/>
  </bookViews>
  <sheets>
    <sheet name="PORTADA" sheetId="5" r:id="rId1"/>
    <sheet name="PyG" sheetId="1" r:id="rId2"/>
    <sheet name="ESTADO DE SITUACION FINANCIERA" sheetId="2" r:id="rId3"/>
    <sheet name="VAN-TIR" sheetId="3" r:id="rId4"/>
    <sheet name="ROI-ROE-ICI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C10" i="1"/>
  <c r="D10" i="1"/>
  <c r="E10" i="1"/>
  <c r="E15" i="1" s="1"/>
  <c r="F50" i="1" s="1"/>
  <c r="F10" i="1"/>
  <c r="G10" i="1"/>
  <c r="C11" i="1"/>
  <c r="D11" i="1"/>
  <c r="E11" i="1"/>
  <c r="F11" i="1"/>
  <c r="G11" i="1"/>
  <c r="C12" i="1"/>
  <c r="D12" i="1"/>
  <c r="E12" i="1"/>
  <c r="F12" i="1"/>
  <c r="G12" i="1"/>
  <c r="C13" i="1"/>
  <c r="D13" i="1"/>
  <c r="E13" i="1"/>
  <c r="F13" i="1"/>
  <c r="G13" i="1"/>
  <c r="C14" i="1"/>
  <c r="D14" i="1"/>
  <c r="E14" i="1"/>
  <c r="F14" i="1"/>
  <c r="G14" i="1"/>
  <c r="C15" i="1"/>
  <c r="D50" i="1" s="1"/>
  <c r="D15" i="1"/>
  <c r="E50" i="1" s="1"/>
  <c r="G15" i="1"/>
  <c r="H50" i="1" s="1"/>
  <c r="F15" i="1" l="1"/>
  <c r="G50" i="1" s="1"/>
  <c r="E11" i="2"/>
  <c r="F11" i="2"/>
  <c r="G11" i="2"/>
  <c r="H11" i="2"/>
  <c r="D11" i="2"/>
  <c r="E12" i="2"/>
  <c r="F12" i="2"/>
  <c r="G12" i="2"/>
  <c r="H12" i="2"/>
  <c r="D12" i="2"/>
  <c r="E57" i="1"/>
  <c r="F57" i="1"/>
  <c r="G57" i="1"/>
  <c r="H57" i="1"/>
  <c r="D57" i="1"/>
  <c r="E55" i="1" l="1"/>
  <c r="F55" i="1"/>
  <c r="G55" i="1"/>
  <c r="H55" i="1"/>
  <c r="D55" i="1"/>
  <c r="F16" i="2"/>
  <c r="G16" i="2"/>
  <c r="G14" i="2" s="1"/>
  <c r="H16" i="2"/>
  <c r="E16" i="2"/>
  <c r="E14" i="2" s="1"/>
  <c r="G17" i="2"/>
  <c r="H17" i="2"/>
  <c r="H14" i="2" l="1"/>
  <c r="F14" i="2"/>
  <c r="C25" i="2"/>
  <c r="I36" i="2"/>
  <c r="F17" i="2"/>
  <c r="C13" i="2"/>
  <c r="D14" i="2"/>
  <c r="D20" i="2" s="1"/>
  <c r="D13" i="2"/>
  <c r="D23" i="2"/>
  <c r="D22" i="2" s="1"/>
  <c r="D58" i="1" l="1"/>
  <c r="C33" i="2" l="1"/>
  <c r="I65" i="1"/>
  <c r="E8" i="3" l="1"/>
  <c r="F8" i="3"/>
  <c r="G8" i="3"/>
  <c r="H8" i="3"/>
  <c r="D8" i="3"/>
  <c r="E58" i="1" l="1"/>
  <c r="F58" i="1"/>
  <c r="G58" i="1"/>
  <c r="H58" i="1"/>
  <c r="C9" i="2"/>
  <c r="E13" i="2"/>
  <c r="F13" i="2"/>
  <c r="G13" i="2"/>
  <c r="H13" i="2"/>
  <c r="E19" i="2"/>
  <c r="F19" i="2" l="1"/>
  <c r="E20" i="2"/>
  <c r="C21" i="2"/>
  <c r="F20" i="2" l="1"/>
  <c r="G20" i="2" s="1"/>
  <c r="H20" i="2" s="1"/>
  <c r="G19" i="2"/>
  <c r="E23" i="2"/>
  <c r="E22" i="2" s="1"/>
  <c r="F23" i="2"/>
  <c r="F22" i="2" s="1"/>
  <c r="G23" i="2"/>
  <c r="G22" i="2" s="1"/>
  <c r="H23" i="2"/>
  <c r="H22" i="2" s="1"/>
  <c r="C31" i="2" l="1"/>
  <c r="H19" i="2"/>
  <c r="D29" i="3"/>
  <c r="D21" i="3"/>
  <c r="M32" i="1"/>
  <c r="C36" i="2" l="1"/>
  <c r="G27" i="1"/>
  <c r="H51" i="1" s="1"/>
  <c r="F27" i="1"/>
  <c r="G51" i="1" s="1"/>
  <c r="E27" i="1"/>
  <c r="F51" i="1" s="1"/>
  <c r="D27" i="1"/>
  <c r="E51" i="1" s="1"/>
  <c r="C27" i="1"/>
  <c r="D51" i="1" s="1"/>
  <c r="H41" i="1"/>
  <c r="G41" i="1"/>
  <c r="F41" i="1"/>
  <c r="E41" i="1"/>
  <c r="D41" i="1"/>
  <c r="C41" i="1"/>
  <c r="F29" i="1" l="1"/>
  <c r="G52" i="1"/>
  <c r="G59" i="1" s="1"/>
  <c r="D29" i="1"/>
  <c r="E52" i="1"/>
  <c r="E59" i="1" s="1"/>
  <c r="F52" i="1"/>
  <c r="H52" i="1"/>
  <c r="C29" i="1"/>
  <c r="G29" i="1"/>
  <c r="E29" i="1"/>
  <c r="H59" i="1" l="1"/>
  <c r="H6" i="3" s="1"/>
  <c r="F59" i="1"/>
  <c r="F62" i="1" s="1"/>
  <c r="F65" i="1" s="1"/>
  <c r="G62" i="1"/>
  <c r="G65" i="1" s="1"/>
  <c r="G28" i="2" s="1"/>
  <c r="G6" i="3"/>
  <c r="D25" i="3" s="1"/>
  <c r="E6" i="3"/>
  <c r="E62" i="1"/>
  <c r="D52" i="1"/>
  <c r="F6" i="3" l="1"/>
  <c r="F10" i="3" s="1"/>
  <c r="D59" i="1"/>
  <c r="D62" i="1" s="1"/>
  <c r="H62" i="1"/>
  <c r="H65" i="1" s="1"/>
  <c r="J15" i="4"/>
  <c r="G64" i="1"/>
  <c r="G69" i="1" s="1"/>
  <c r="G30" i="2" s="1"/>
  <c r="G10" i="3"/>
  <c r="E65" i="1"/>
  <c r="E28" i="2" s="1"/>
  <c r="D23" i="3"/>
  <c r="E10" i="3"/>
  <c r="D26" i="3"/>
  <c r="H10" i="3"/>
  <c r="F28" i="2"/>
  <c r="F64" i="1"/>
  <c r="F69" i="1" s="1"/>
  <c r="E64" i="1"/>
  <c r="H28" i="2"/>
  <c r="H64" i="1"/>
  <c r="H69" i="1" s="1"/>
  <c r="G27" i="2"/>
  <c r="J13" i="4"/>
  <c r="J14" i="4"/>
  <c r="J16" i="4"/>
  <c r="D24" i="3" l="1"/>
  <c r="D6" i="3"/>
  <c r="D10" i="3" s="1"/>
  <c r="E69" i="1"/>
  <c r="E30" i="2" s="1"/>
  <c r="G10" i="2"/>
  <c r="G9" i="2" s="1"/>
  <c r="J12" i="4"/>
  <c r="D65" i="1"/>
  <c r="D28" i="2" s="1"/>
  <c r="D64" i="1"/>
  <c r="H27" i="2"/>
  <c r="F30" i="2"/>
  <c r="F27" i="2"/>
  <c r="E27" i="2"/>
  <c r="D22" i="3" l="1"/>
  <c r="D31" i="3" s="1"/>
  <c r="C14" i="3" s="1"/>
  <c r="D27" i="2"/>
  <c r="D69" i="1"/>
  <c r="E10" i="2"/>
  <c r="E9" i="2" s="1"/>
  <c r="G21" i="2"/>
  <c r="G25" i="2" s="1"/>
  <c r="F10" i="2"/>
  <c r="F9" i="2" s="1"/>
  <c r="H30" i="2"/>
  <c r="D30" i="3" l="1"/>
  <c r="C12" i="3" s="1"/>
  <c r="F21" i="2"/>
  <c r="F25" i="2" s="1"/>
  <c r="E21" i="2"/>
  <c r="E25" i="2" s="1"/>
  <c r="E33" i="2" s="1"/>
  <c r="D30" i="2"/>
  <c r="D10" i="2" s="1"/>
  <c r="D9" i="2" s="1"/>
  <c r="H10" i="2"/>
  <c r="H9" i="2" s="1"/>
  <c r="H21" i="2" l="1"/>
  <c r="H25" i="2" s="1"/>
  <c r="E29" i="2"/>
  <c r="F29" i="2" s="1"/>
  <c r="D21" i="2" l="1"/>
  <c r="D25" i="2" s="1"/>
  <c r="G29" i="2"/>
  <c r="E31" i="2"/>
  <c r="E36" i="2" s="1"/>
  <c r="K13" i="4"/>
  <c r="N14" i="4" s="1"/>
  <c r="E6" i="4" s="1"/>
  <c r="M16" i="4"/>
  <c r="O16" i="4" s="1"/>
  <c r="G5" i="4" s="1"/>
  <c r="M15" i="4"/>
  <c r="O15" i="4" s="1"/>
  <c r="F5" i="4" s="1"/>
  <c r="M14" i="4"/>
  <c r="O14" i="4" s="1"/>
  <c r="E5" i="4" s="1"/>
  <c r="M13" i="4"/>
  <c r="O13" i="4" s="1"/>
  <c r="D5" i="4" s="1"/>
  <c r="D31" i="2" l="1"/>
  <c r="D36" i="2" s="1"/>
  <c r="E37" i="2" s="1"/>
  <c r="D33" i="2"/>
  <c r="F33" i="2"/>
  <c r="K14" i="4" s="1"/>
  <c r="N15" i="4" s="1"/>
  <c r="F6" i="4" s="1"/>
  <c r="F31" i="2"/>
  <c r="F36" i="2" s="1"/>
  <c r="H29" i="2"/>
  <c r="M12" i="4"/>
  <c r="O12" i="4" s="1"/>
  <c r="C5" i="4" s="1"/>
  <c r="G31" i="2" l="1"/>
  <c r="G36" i="2" s="1"/>
  <c r="G33" i="2"/>
  <c r="K15" i="4" s="1"/>
  <c r="N16" i="4" s="1"/>
  <c r="G6" i="4" s="1"/>
  <c r="H31" i="2"/>
  <c r="H36" i="2" s="1"/>
  <c r="H33" i="2"/>
  <c r="K16" i="4" s="1"/>
  <c r="K12" i="4"/>
  <c r="N12" i="4" s="1"/>
  <c r="C6" i="4" s="1"/>
  <c r="N13" i="4" l="1"/>
  <c r="D6" i="4" s="1"/>
</calcChain>
</file>

<file path=xl/sharedStrings.xml><?xml version="1.0" encoding="utf-8"?>
<sst xmlns="http://schemas.openxmlformats.org/spreadsheetml/2006/main" count="190" uniqueCount="121">
  <si>
    <t>INGRESOS</t>
  </si>
  <si>
    <t>AÑO 1</t>
  </si>
  <si>
    <t>AÑO 2</t>
  </si>
  <si>
    <t>AÑO 3</t>
  </si>
  <si>
    <t>AÑO 4</t>
  </si>
  <si>
    <t>AÑO 5</t>
  </si>
  <si>
    <t>Bocato</t>
  </si>
  <si>
    <t>Chococono</t>
  </si>
  <si>
    <t>Aloha</t>
  </si>
  <si>
    <t>Conos</t>
  </si>
  <si>
    <t>Casero</t>
  </si>
  <si>
    <t>Artesanal</t>
  </si>
  <si>
    <t xml:space="preserve"> </t>
  </si>
  <si>
    <t>TOTALES</t>
  </si>
  <si>
    <t>Productos</t>
  </si>
  <si>
    <t>INVERSIÓN</t>
  </si>
  <si>
    <t>Maquinaria</t>
  </si>
  <si>
    <t>Mobiliario</t>
  </si>
  <si>
    <t>Equipo Infor</t>
  </si>
  <si>
    <t>Scio Transp</t>
  </si>
  <si>
    <t>Existencias</t>
  </si>
  <si>
    <t>Caja Inicial</t>
  </si>
  <si>
    <t>Otros</t>
  </si>
  <si>
    <t>AÑO 0</t>
  </si>
  <si>
    <t>Vida Útil</t>
  </si>
  <si>
    <t>COSTO DE VENTAS</t>
  </si>
  <si>
    <t>U.B/VTAS</t>
  </si>
  <si>
    <t>ESTADO DE RESULTADOS</t>
  </si>
  <si>
    <t>Ingresos por Ventas</t>
  </si>
  <si>
    <t>Costo de Ventas</t>
  </si>
  <si>
    <t>Utilidad Bruta/Vtas</t>
  </si>
  <si>
    <t>Gastos de Personal</t>
  </si>
  <si>
    <t>RESULTADO DEL EJERCICIO</t>
  </si>
  <si>
    <t>ACTIVO</t>
  </si>
  <si>
    <t>ACTIVO CORRIENTE</t>
  </si>
  <si>
    <t>Flujo Caja</t>
  </si>
  <si>
    <t>ACTIVO NO CORRIENTE</t>
  </si>
  <si>
    <t>TOTAL ACTIVO</t>
  </si>
  <si>
    <t xml:space="preserve">Capital </t>
  </si>
  <si>
    <t>Utilidades Ejercicios Anteriores</t>
  </si>
  <si>
    <t>Resultado ejercicio</t>
  </si>
  <si>
    <t>FONDOS PROPIOS</t>
  </si>
  <si>
    <t>PRESENTACIÓN AJUSTADA</t>
  </si>
  <si>
    <t>TABLA 5. ESTADO DE RESULTADOS</t>
  </si>
  <si>
    <t>IMPUESTOS</t>
  </si>
  <si>
    <t>-7,160,400.00</t>
  </si>
  <si>
    <t>FLUJO DE CAJA OPERATIVO</t>
  </si>
  <si>
    <t>VAN</t>
  </si>
  <si>
    <t>TIR</t>
  </si>
  <si>
    <t>TABLA 7 - VAN y TIR</t>
  </si>
  <si>
    <t>F1</t>
  </si>
  <si>
    <t>F2</t>
  </si>
  <si>
    <t>F3</t>
  </si>
  <si>
    <t>F4</t>
  </si>
  <si>
    <t>F5</t>
  </si>
  <si>
    <t>n</t>
  </si>
  <si>
    <t>años de vida útil del producto</t>
  </si>
  <si>
    <t>i</t>
  </si>
  <si>
    <t>IO</t>
  </si>
  <si>
    <t>Inversión Inicial</t>
  </si>
  <si>
    <t>Tasa Interés 0%</t>
  </si>
  <si>
    <t>FLUJO EFECTIVO NETO DE CADA PERIODO</t>
  </si>
  <si>
    <t xml:space="preserve">RENTABILIDAD </t>
  </si>
  <si>
    <t>Año 1</t>
  </si>
  <si>
    <t>Año 2</t>
  </si>
  <si>
    <t>Año 3</t>
  </si>
  <si>
    <t>Año 4</t>
  </si>
  <si>
    <t>Año 5</t>
  </si>
  <si>
    <t>8. Rentabilidad económica (ROI)</t>
  </si>
  <si>
    <t>9. Rentabilidad financiera (ROE)</t>
  </si>
  <si>
    <t>10. Crecimiento interno (ICI)</t>
  </si>
  <si>
    <t>10.72%</t>
  </si>
  <si>
    <t>9.39%</t>
  </si>
  <si>
    <t>7.88%</t>
  </si>
  <si>
    <t>7.20%</t>
  </si>
  <si>
    <t>6.77%</t>
  </si>
  <si>
    <t>Tabla 8. Rentabilidad</t>
  </si>
  <si>
    <t>Fondos Propios</t>
  </si>
  <si>
    <t>ROE</t>
  </si>
  <si>
    <t>ROI              ROA</t>
  </si>
  <si>
    <t>ROE = ( Beneficio Neto / Fondos Propios ) X 100</t>
  </si>
  <si>
    <t>ROI = ( Beneficio Antes de Ints e Imptos / Activos Totales ) X 100</t>
  </si>
  <si>
    <t>Beneficios antes Imptos e Ints</t>
  </si>
  <si>
    <t>Activos totales</t>
  </si>
  <si>
    <t>PASIVO</t>
  </si>
  <si>
    <t xml:space="preserve">DEPRECIACION </t>
  </si>
  <si>
    <t>Deterioro %</t>
  </si>
  <si>
    <t>Utilidad operacional</t>
  </si>
  <si>
    <t xml:space="preserve"> PATRIMONIO</t>
  </si>
  <si>
    <t>PASIVO + PATRIMONIO</t>
  </si>
  <si>
    <t>Obligaciones laborales</t>
  </si>
  <si>
    <t>Otros pasivos</t>
  </si>
  <si>
    <t>INVENTARIOS</t>
  </si>
  <si>
    <t>DEPRECIACION</t>
  </si>
  <si>
    <t>PROPIEDAD PLANTA Y EQUIPO</t>
  </si>
  <si>
    <t>TOTAL PROPIEDAD PLANTA-EQUIPO</t>
  </si>
  <si>
    <t>MAQUINARIA Y EQUIPO DE MONTAJE</t>
  </si>
  <si>
    <t>EQUIPO DE COMPUTO</t>
  </si>
  <si>
    <t>Depreciacion</t>
  </si>
  <si>
    <t>RESERVA LEGAL  10%</t>
  </si>
  <si>
    <t>RESERVAS ESTATUTARIAS 15%</t>
  </si>
  <si>
    <t>Reserva legal    10%</t>
  </si>
  <si>
    <t>reservas estaturias 15%</t>
  </si>
  <si>
    <t>DEPRECIACION ACUMULADA</t>
  </si>
  <si>
    <t>MUEBLES Y ENSERES</t>
  </si>
  <si>
    <t>Mantenimiento</t>
  </si>
  <si>
    <t>Servicios publicos</t>
  </si>
  <si>
    <t>otros gastos</t>
  </si>
  <si>
    <t>Caja</t>
  </si>
  <si>
    <t>UTILIDAD OPERACIONAL</t>
  </si>
  <si>
    <t>INVERSION</t>
  </si>
  <si>
    <t>TABLA 6. ESTADO DE SITUACION FINANCIERA</t>
  </si>
  <si>
    <t>SISTEMATIZACIÓN DEL PLAN DE NEGOCIOS PARA EL IMPULSO Y CRECIMIENTO DE JMA HELADOS TRÁILER EN EL MUNICIPIO DE AGUA DE DIOS</t>
  </si>
  <si>
    <t>CLAUDIA PATRICIA GARCÍA ROCHA</t>
  </si>
  <si>
    <t>MARGARITA RODRÍGUEZ BERMÚDEZ</t>
  </si>
  <si>
    <t>MAGISTER MAIRA ALEXANDRA RODRÍGUEZ TOVAR</t>
  </si>
  <si>
    <t>DIRECTORA DE TRABAJO</t>
  </si>
  <si>
    <t>CORPORACIÓN UNIVERSITARIA MINUTO DE DIOS</t>
  </si>
  <si>
    <t>FACULTAD DE CIENCIAS EMPRESARIALES</t>
  </si>
  <si>
    <t>CONTADURÍA PÚBLICA</t>
  </si>
  <si>
    <t>GIRARDOT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</si>
</sst>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_(&quot;$&quot;\ * #,##0_);_(&quot;$&quot;\ * \(#,##0\);_(&quot;$&quot;\ 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4"/>
      <color theme="1"/>
      <name val="Century Gothic"/>
      <family val="2"/>
    </font>
    <font>
      <b/>
      <sz val="11"/>
      <color rgb="FFFF0000"/>
      <name val="Century Gothic"/>
      <family val="2"/>
    </font>
    <font>
      <b/>
      <sz val="11"/>
      <name val="Century Gothic"/>
      <family val="2"/>
    </font>
    <font>
      <b/>
      <sz val="12"/>
      <color rgb="FF000000"/>
      <name val="Century Gothic"/>
      <family val="2"/>
    </font>
    <font>
      <sz val="12"/>
      <color rgb="FF000000"/>
      <name val="Century Gothic"/>
      <family val="2"/>
    </font>
    <font>
      <b/>
      <sz val="14"/>
      <color rgb="FF000000"/>
      <name val="Century Gothic"/>
      <family val="2"/>
    </font>
    <font>
      <b/>
      <sz val="10"/>
      <color rgb="FF000000"/>
      <name val="Century Gothic"/>
      <family val="2"/>
    </font>
    <font>
      <sz val="12"/>
      <color theme="1"/>
      <name val="Century Gothic"/>
      <family val="2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indexed="64"/>
      </bottom>
      <diagonal/>
    </border>
    <border>
      <left/>
      <right/>
      <top style="medium">
        <color rgb="FF7F7F7F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167" fontId="2" fillId="0" borderId="1" xfId="1" applyNumberFormat="1" applyFont="1" applyBorder="1"/>
    <xf numFmtId="167" fontId="2" fillId="0" borderId="0" xfId="1" applyNumberFormat="1" applyFont="1" applyBorder="1"/>
    <xf numFmtId="167" fontId="3" fillId="0" borderId="0" xfId="0" applyNumberFormat="1" applyFont="1" applyBorder="1"/>
    <xf numFmtId="0" fontId="2" fillId="0" borderId="0" xfId="0" applyFont="1" applyBorder="1"/>
    <xf numFmtId="0" fontId="3" fillId="0" borderId="0" xfId="0" applyFont="1"/>
    <xf numFmtId="167" fontId="2" fillId="0" borderId="0" xfId="0" applyNumberFormat="1" applyFont="1"/>
    <xf numFmtId="167" fontId="2" fillId="0" borderId="0" xfId="1" applyNumberFormat="1" applyFont="1" applyFill="1"/>
    <xf numFmtId="0" fontId="2" fillId="0" borderId="0" xfId="0" applyFont="1" applyAlignment="1">
      <alignment horizontal="center"/>
    </xf>
    <xf numFmtId="168" fontId="2" fillId="0" borderId="0" xfId="2" applyNumberFormat="1" applyFont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43" fontId="2" fillId="0" borderId="0" xfId="0" applyNumberFormat="1" applyFont="1"/>
    <xf numFmtId="167" fontId="2" fillId="0" borderId="1" xfId="0" applyNumberFormat="1" applyFont="1" applyBorder="1"/>
    <xf numFmtId="1" fontId="2" fillId="0" borderId="0" xfId="0" applyNumberFormat="1" applyFont="1"/>
    <xf numFmtId="167" fontId="2" fillId="0" borderId="0" xfId="1" applyNumberFormat="1" applyFont="1"/>
    <xf numFmtId="0" fontId="5" fillId="0" borderId="0" xfId="0" applyFont="1" applyFill="1"/>
    <xf numFmtId="167" fontId="5" fillId="0" borderId="0" xfId="0" applyNumberFormat="1" applyFont="1" applyFill="1"/>
    <xf numFmtId="167" fontId="6" fillId="0" borderId="0" xfId="0" applyNumberFormat="1" applyFont="1" applyFill="1"/>
    <xf numFmtId="167" fontId="3" fillId="0" borderId="0" xfId="1" applyNumberFormat="1" applyFont="1"/>
    <xf numFmtId="0" fontId="2" fillId="0" borderId="14" xfId="0" applyFont="1" applyBorder="1"/>
    <xf numFmtId="167" fontId="2" fillId="0" borderId="15" xfId="1" applyNumberFormat="1" applyFont="1" applyBorder="1"/>
    <xf numFmtId="0" fontId="2" fillId="0" borderId="19" xfId="0" applyFont="1" applyBorder="1"/>
    <xf numFmtId="167" fontId="2" fillId="0" borderId="20" xfId="1" applyNumberFormat="1" applyFont="1" applyBorder="1"/>
    <xf numFmtId="167" fontId="2" fillId="0" borderId="21" xfId="1" applyNumberFormat="1" applyFont="1" applyBorder="1"/>
    <xf numFmtId="0" fontId="3" fillId="0" borderId="22" xfId="0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25" xfId="0" applyFont="1" applyBorder="1"/>
    <xf numFmtId="167" fontId="2" fillId="0" borderId="26" xfId="1" applyNumberFormat="1" applyFont="1" applyBorder="1"/>
    <xf numFmtId="167" fontId="2" fillId="0" borderId="27" xfId="1" applyNumberFormat="1" applyFont="1" applyBorder="1"/>
    <xf numFmtId="167" fontId="3" fillId="0" borderId="23" xfId="0" applyNumberFormat="1" applyFont="1" applyBorder="1"/>
    <xf numFmtId="167" fontId="3" fillId="0" borderId="24" xfId="0" applyNumberFormat="1" applyFont="1" applyBorder="1"/>
    <xf numFmtId="0" fontId="2" fillId="0" borderId="16" xfId="0" applyFont="1" applyBorder="1"/>
    <xf numFmtId="167" fontId="2" fillId="0" borderId="17" xfId="1" applyNumberFormat="1" applyFont="1" applyBorder="1"/>
    <xf numFmtId="167" fontId="2" fillId="0" borderId="18" xfId="1" applyNumberFormat="1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167" fontId="3" fillId="3" borderId="22" xfId="1" applyNumberFormat="1" applyFont="1" applyFill="1" applyBorder="1"/>
    <xf numFmtId="167" fontId="3" fillId="0" borderId="23" xfId="1" applyNumberFormat="1" applyFont="1" applyBorder="1"/>
    <xf numFmtId="167" fontId="3" fillId="0" borderId="24" xfId="1" applyNumberFormat="1" applyFont="1" applyBorder="1"/>
    <xf numFmtId="0" fontId="2" fillId="6" borderId="0" xfId="0" applyFont="1" applyFill="1"/>
    <xf numFmtId="167" fontId="2" fillId="0" borderId="11" xfId="0" applyNumberFormat="1" applyFont="1" applyBorder="1"/>
    <xf numFmtId="167" fontId="2" fillId="0" borderId="12" xfId="0" applyNumberFormat="1" applyFont="1" applyBorder="1"/>
    <xf numFmtId="167" fontId="2" fillId="0" borderId="13" xfId="0" applyNumberFormat="1" applyFont="1" applyBorder="1"/>
    <xf numFmtId="167" fontId="2" fillId="0" borderId="14" xfId="0" applyNumberFormat="1" applyFont="1" applyBorder="1"/>
    <xf numFmtId="167" fontId="2" fillId="0" borderId="15" xfId="0" applyNumberFormat="1" applyFont="1" applyBorder="1"/>
    <xf numFmtId="167" fontId="2" fillId="0" borderId="16" xfId="0" applyNumberFormat="1" applyFont="1" applyBorder="1"/>
    <xf numFmtId="167" fontId="2" fillId="0" borderId="17" xfId="0" applyNumberFormat="1" applyFont="1" applyBorder="1"/>
    <xf numFmtId="167" fontId="2" fillId="0" borderId="18" xfId="0" applyNumberFormat="1" applyFont="1" applyBorder="1"/>
    <xf numFmtId="0" fontId="3" fillId="0" borderId="23" xfId="0" applyFont="1" applyBorder="1"/>
    <xf numFmtId="0" fontId="6" fillId="0" borderId="8" xfId="0" applyFont="1" applyFill="1" applyBorder="1"/>
    <xf numFmtId="0" fontId="6" fillId="0" borderId="9" xfId="0" applyFont="1" applyFill="1" applyBorder="1"/>
    <xf numFmtId="167" fontId="6" fillId="0" borderId="9" xfId="1" applyNumberFormat="1" applyFont="1" applyFill="1" applyBorder="1"/>
    <xf numFmtId="167" fontId="6" fillId="0" borderId="10" xfId="1" applyNumberFormat="1" applyFont="1" applyFill="1" applyBorder="1"/>
    <xf numFmtId="0" fontId="3" fillId="0" borderId="8" xfId="0" applyFont="1" applyBorder="1"/>
    <xf numFmtId="0" fontId="3" fillId="0" borderId="9" xfId="0" applyFont="1" applyBorder="1"/>
    <xf numFmtId="167" fontId="3" fillId="0" borderId="9" xfId="1" applyNumberFormat="1" applyFont="1" applyBorder="1"/>
    <xf numFmtId="167" fontId="3" fillId="0" borderId="10" xfId="1" applyNumberFormat="1" applyFont="1" applyBorder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169" fontId="8" fillId="0" borderId="5" xfId="3" applyNumberFormat="1" applyFont="1" applyBorder="1" applyAlignment="1">
      <alignment horizontal="center" vertical="center"/>
    </xf>
    <xf numFmtId="169" fontId="8" fillId="0" borderId="4" xfId="3" applyNumberFormat="1" applyFont="1" applyBorder="1" applyAlignment="1">
      <alignment horizontal="center" vertical="center"/>
    </xf>
    <xf numFmtId="167" fontId="8" fillId="0" borderId="0" xfId="1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169" fontId="8" fillId="0" borderId="2" xfId="3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69" fontId="7" fillId="0" borderId="6" xfId="3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169" fontId="7" fillId="2" borderId="4" xfId="3" applyNumberFormat="1" applyFont="1" applyFill="1" applyBorder="1" applyAlignment="1">
      <alignment horizontal="right" vertical="center"/>
    </xf>
    <xf numFmtId="169" fontId="7" fillId="0" borderId="0" xfId="3" applyNumberFormat="1" applyFont="1" applyBorder="1" applyAlignment="1">
      <alignment horizontal="right" vertical="center"/>
    </xf>
    <xf numFmtId="169" fontId="8" fillId="0" borderId="0" xfId="3" applyNumberFormat="1" applyFont="1" applyBorder="1" applyAlignment="1">
      <alignment horizontal="right" vertical="center"/>
    </xf>
    <xf numFmtId="169" fontId="2" fillId="0" borderId="0" xfId="3" applyNumberFormat="1" applyFont="1"/>
    <xf numFmtId="0" fontId="7" fillId="5" borderId="0" xfId="0" applyFont="1" applyFill="1" applyAlignment="1">
      <alignment vertical="center"/>
    </xf>
    <xf numFmtId="169" fontId="7" fillId="5" borderId="0" xfId="3" applyNumberFormat="1" applyFont="1" applyFill="1" applyAlignment="1">
      <alignment horizontal="center" vertical="center"/>
    </xf>
    <xf numFmtId="169" fontId="8" fillId="4" borderId="3" xfId="3" applyNumberFormat="1" applyFont="1" applyFill="1" applyBorder="1" applyAlignment="1">
      <alignment horizontal="center" vertical="center"/>
    </xf>
    <xf numFmtId="0" fontId="2" fillId="4" borderId="0" xfId="0" applyFont="1" applyFill="1"/>
    <xf numFmtId="169" fontId="8" fillId="0" borderId="0" xfId="3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9" fontId="8" fillId="0" borderId="0" xfId="3" applyNumberFormat="1" applyFont="1" applyFill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169" fontId="8" fillId="5" borderId="4" xfId="1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3" xfId="0" applyFont="1" applyBorder="1" applyAlignment="1">
      <alignment vertical="top"/>
    </xf>
    <xf numFmtId="0" fontId="9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8" fillId="0" borderId="4" xfId="0" applyFont="1" applyBorder="1" applyAlignment="1">
      <alignment vertical="center"/>
    </xf>
    <xf numFmtId="0" fontId="2" fillId="0" borderId="0" xfId="0" applyFont="1" applyAlignment="1">
      <alignment vertical="top"/>
    </xf>
    <xf numFmtId="167" fontId="8" fillId="0" borderId="0" xfId="1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left" vertical="center"/>
    </xf>
    <xf numFmtId="166" fontId="8" fillId="0" borderId="3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66" fontId="8" fillId="0" borderId="3" xfId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67" fontId="7" fillId="0" borderId="0" xfId="1" applyNumberFormat="1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0" fontId="10" fillId="0" borderId="3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6" fontId="2" fillId="0" borderId="0" xfId="1" applyFont="1"/>
    <xf numFmtId="0" fontId="5" fillId="4" borderId="0" xfId="0" applyFont="1" applyFill="1"/>
    <xf numFmtId="0" fontId="3" fillId="4" borderId="0" xfId="0" applyFont="1" applyFill="1" applyBorder="1"/>
    <xf numFmtId="13" fontId="3" fillId="4" borderId="0" xfId="1" applyNumberFormat="1" applyFont="1" applyFill="1" applyBorder="1"/>
    <xf numFmtId="0" fontId="7" fillId="0" borderId="4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2" fontId="8" fillId="0" borderId="0" xfId="0" applyNumberFormat="1" applyFont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right" vertical="center"/>
    </xf>
    <xf numFmtId="167" fontId="3" fillId="0" borderId="28" xfId="1" applyNumberFormat="1" applyFont="1" applyBorder="1"/>
    <xf numFmtId="167" fontId="3" fillId="0" borderId="29" xfId="1" applyNumberFormat="1" applyFont="1" applyBorder="1"/>
    <xf numFmtId="167" fontId="2" fillId="0" borderId="11" xfId="1" applyNumberFormat="1" applyFont="1" applyBorder="1"/>
    <xf numFmtId="167" fontId="2" fillId="0" borderId="12" xfId="1" applyNumberFormat="1" applyFont="1" applyBorder="1"/>
    <xf numFmtId="167" fontId="2" fillId="0" borderId="13" xfId="1" applyNumberFormat="1" applyFont="1" applyBorder="1"/>
    <xf numFmtId="167" fontId="2" fillId="0" borderId="14" xfId="1" applyNumberFormat="1" applyFont="1" applyBorder="1"/>
    <xf numFmtId="167" fontId="2" fillId="0" borderId="16" xfId="1" applyNumberFormat="1" applyFont="1" applyBorder="1"/>
    <xf numFmtId="0" fontId="3" fillId="0" borderId="30" xfId="0" applyFont="1" applyBorder="1" applyAlignment="1">
      <alignment horizontal="center"/>
    </xf>
    <xf numFmtId="0" fontId="2" fillId="0" borderId="24" xfId="0" applyFont="1" applyBorder="1"/>
    <xf numFmtId="0" fontId="2" fillId="0" borderId="8" xfId="0" applyFont="1" applyBorder="1"/>
    <xf numFmtId="0" fontId="2" fillId="0" borderId="10" xfId="0" applyFont="1" applyBorder="1"/>
    <xf numFmtId="0" fontId="7" fillId="2" borderId="0" xfId="0" applyFont="1" applyFill="1" applyBorder="1" applyAlignment="1">
      <alignment vertical="center"/>
    </xf>
    <xf numFmtId="169" fontId="7" fillId="2" borderId="0" xfId="3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11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69" fontId="2" fillId="0" borderId="32" xfId="3" applyNumberFormat="1" applyFont="1" applyBorder="1"/>
    <xf numFmtId="0" fontId="7" fillId="0" borderId="33" xfId="0" applyFont="1" applyBorder="1" applyAlignment="1">
      <alignment vertical="center"/>
    </xf>
    <xf numFmtId="169" fontId="7" fillId="2" borderId="34" xfId="3" applyNumberFormat="1" applyFont="1" applyFill="1" applyBorder="1" applyAlignment="1">
      <alignment horizontal="center" vertical="center"/>
    </xf>
    <xf numFmtId="169" fontId="8" fillId="0" borderId="33" xfId="3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169" fontId="7" fillId="0" borderId="6" xfId="3" applyNumberFormat="1" applyFont="1" applyBorder="1" applyAlignment="1">
      <alignment horizontal="right" vertical="center"/>
    </xf>
    <xf numFmtId="169" fontId="8" fillId="0" borderId="6" xfId="3" applyNumberFormat="1" applyFont="1" applyBorder="1" applyAlignment="1">
      <alignment horizontal="right" vertical="center"/>
    </xf>
    <xf numFmtId="169" fontId="8" fillId="0" borderId="37" xfId="3" applyNumberFormat="1" applyFont="1" applyBorder="1" applyAlignment="1">
      <alignment horizontal="right" vertical="center"/>
    </xf>
    <xf numFmtId="0" fontId="7" fillId="7" borderId="35" xfId="0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169" fontId="7" fillId="7" borderId="35" xfId="3" applyNumberFormat="1" applyFont="1" applyFill="1" applyBorder="1" applyAlignment="1">
      <alignment horizontal="right" vertical="center"/>
    </xf>
    <xf numFmtId="169" fontId="7" fillId="7" borderId="7" xfId="3" applyNumberFormat="1" applyFont="1" applyFill="1" applyBorder="1" applyAlignment="1">
      <alignment horizontal="right" vertical="center"/>
    </xf>
    <xf numFmtId="169" fontId="7" fillId="7" borderId="4" xfId="3" applyNumberFormat="1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vertical="center"/>
    </xf>
    <xf numFmtId="169" fontId="7" fillId="7" borderId="3" xfId="3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 applyBorder="1"/>
    <xf numFmtId="9" fontId="2" fillId="0" borderId="0" xfId="0" applyNumberFormat="1" applyFont="1" applyFill="1"/>
    <xf numFmtId="0" fontId="2" fillId="0" borderId="38" xfId="0" applyFont="1" applyBorder="1"/>
    <xf numFmtId="0" fontId="2" fillId="0" borderId="38" xfId="0" applyFont="1" applyBorder="1" applyAlignment="1">
      <alignment horizontal="right"/>
    </xf>
    <xf numFmtId="167" fontId="2" fillId="0" borderId="38" xfId="0" applyNumberFormat="1" applyFont="1" applyBorder="1"/>
    <xf numFmtId="166" fontId="2" fillId="0" borderId="38" xfId="0" applyNumberFormat="1" applyFont="1" applyBorder="1"/>
    <xf numFmtId="166" fontId="2" fillId="0" borderId="38" xfId="1" applyFont="1" applyBorder="1"/>
    <xf numFmtId="164" fontId="2" fillId="0" borderId="38" xfId="0" applyNumberFormat="1" applyFont="1" applyBorder="1"/>
    <xf numFmtId="9" fontId="2" fillId="0" borderId="38" xfId="0" applyNumberFormat="1" applyFont="1" applyBorder="1"/>
    <xf numFmtId="0" fontId="2" fillId="0" borderId="39" xfId="0" applyFont="1" applyBorder="1"/>
    <xf numFmtId="0" fontId="3" fillId="0" borderId="40" xfId="0" applyFont="1" applyBorder="1" applyAlignment="1">
      <alignment horizontal="center" vertical="center"/>
    </xf>
    <xf numFmtId="0" fontId="2" fillId="0" borderId="40" xfId="0" applyFont="1" applyBorder="1"/>
    <xf numFmtId="0" fontId="2" fillId="0" borderId="4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1" xfId="0" applyFont="1" applyBorder="1"/>
    <xf numFmtId="167" fontId="2" fillId="0" borderId="40" xfId="1" applyNumberFormat="1" applyFont="1" applyBorder="1"/>
    <xf numFmtId="167" fontId="2" fillId="0" borderId="41" xfId="1" applyNumberFormat="1" applyFont="1" applyBorder="1"/>
    <xf numFmtId="2" fontId="2" fillId="0" borderId="41" xfId="0" applyNumberFormat="1" applyFont="1" applyBorder="1"/>
    <xf numFmtId="2" fontId="2" fillId="0" borderId="40" xfId="0" applyNumberFormat="1" applyFont="1" applyBorder="1"/>
    <xf numFmtId="2" fontId="2" fillId="0" borderId="0" xfId="0" applyNumberFormat="1" applyFont="1" applyBorder="1"/>
    <xf numFmtId="0" fontId="4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4" borderId="45" xfId="0" applyFill="1" applyBorder="1"/>
    <xf numFmtId="0" fontId="0" fillId="4" borderId="0" xfId="0" applyFill="1" applyBorder="1"/>
    <xf numFmtId="0" fontId="0" fillId="4" borderId="46" xfId="0" applyFill="1" applyBorder="1"/>
    <xf numFmtId="0" fontId="12" fillId="4" borderId="0" xfId="0" applyFont="1" applyFill="1" applyBorder="1" applyAlignment="1">
      <alignment horizontal="center" vertical="center"/>
    </xf>
    <xf numFmtId="0" fontId="0" fillId="4" borderId="47" xfId="0" applyFill="1" applyBorder="1"/>
    <xf numFmtId="0" fontId="0" fillId="4" borderId="48" xfId="0" applyFill="1" applyBorder="1"/>
    <xf numFmtId="0" fontId="0" fillId="4" borderId="49" xfId="0" applyFill="1" applyBorder="1"/>
    <xf numFmtId="0" fontId="12" fillId="4" borderId="42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177641</xdr:rowOff>
    </xdr:from>
    <xdr:to>
      <xdr:col>2</xdr:col>
      <xdr:colOff>179450</xdr:colOff>
      <xdr:row>3</xdr:row>
      <xdr:rowOff>63974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177641"/>
          <a:ext cx="1160525" cy="51498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5</xdr:col>
      <xdr:colOff>381000</xdr:colOff>
      <xdr:row>44</xdr:row>
      <xdr:rowOff>76200</xdr:rowOff>
    </xdr:from>
    <xdr:to>
      <xdr:col>6</xdr:col>
      <xdr:colOff>579500</xdr:colOff>
      <xdr:row>46</xdr:row>
      <xdr:rowOff>143508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9486900"/>
          <a:ext cx="1160525" cy="51498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916782</xdr:colOff>
      <xdr:row>0</xdr:row>
      <xdr:rowOff>130969</xdr:rowOff>
    </xdr:from>
    <xdr:to>
      <xdr:col>5</xdr:col>
      <xdr:colOff>1029558</xdr:colOff>
      <xdr:row>3</xdr:row>
      <xdr:rowOff>92832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1" y="130969"/>
          <a:ext cx="1362932" cy="60480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740833</xdr:colOff>
      <xdr:row>0</xdr:row>
      <xdr:rowOff>74083</xdr:rowOff>
    </xdr:from>
    <xdr:to>
      <xdr:col>3</xdr:col>
      <xdr:colOff>716025</xdr:colOff>
      <xdr:row>2</xdr:row>
      <xdr:rowOff>133983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0" y="74083"/>
          <a:ext cx="1160525" cy="51498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275166</xdr:colOff>
      <xdr:row>0</xdr:row>
      <xdr:rowOff>63501</xdr:rowOff>
    </xdr:from>
    <xdr:to>
      <xdr:col>9</xdr:col>
      <xdr:colOff>387941</xdr:colOff>
      <xdr:row>2</xdr:row>
      <xdr:rowOff>123401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6083" y="63501"/>
          <a:ext cx="1160525" cy="51498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31"/>
  <sheetViews>
    <sheetView tabSelected="1" workbookViewId="0">
      <selection activeCell="N12" sqref="N12"/>
    </sheetView>
  </sheetViews>
  <sheetFormatPr baseColWidth="10" defaultRowHeight="15" x14ac:dyDescent="0.25"/>
  <sheetData>
    <row r="3" spans="3:12" ht="15.75" thickBot="1" x14ac:dyDescent="0.3"/>
    <row r="4" spans="3:12" x14ac:dyDescent="0.25">
      <c r="C4" s="184" t="s">
        <v>112</v>
      </c>
      <c r="D4" s="185"/>
      <c r="E4" s="185"/>
      <c r="F4" s="185"/>
      <c r="G4" s="185"/>
      <c r="H4" s="185"/>
      <c r="I4" s="185"/>
      <c r="J4" s="185"/>
      <c r="K4" s="185"/>
      <c r="L4" s="186"/>
    </row>
    <row r="5" spans="3:12" ht="15.75" customHeight="1" x14ac:dyDescent="0.25">
      <c r="C5" s="187"/>
      <c r="D5" s="188"/>
      <c r="E5" s="188"/>
      <c r="F5" s="188"/>
      <c r="G5" s="188"/>
      <c r="H5" s="188"/>
      <c r="I5" s="188"/>
      <c r="J5" s="188"/>
      <c r="K5" s="188"/>
      <c r="L5" s="189"/>
    </row>
    <row r="6" spans="3:12" x14ac:dyDescent="0.25">
      <c r="C6" s="187"/>
      <c r="D6" s="188"/>
      <c r="E6" s="188"/>
      <c r="F6" s="188"/>
      <c r="G6" s="188"/>
      <c r="H6" s="188"/>
      <c r="I6" s="188"/>
      <c r="J6" s="188"/>
      <c r="K6" s="188"/>
      <c r="L6" s="189"/>
    </row>
    <row r="7" spans="3:12" x14ac:dyDescent="0.25">
      <c r="C7" s="177"/>
      <c r="D7" s="178"/>
      <c r="E7" s="178"/>
      <c r="F7" s="178"/>
      <c r="G7" s="178"/>
      <c r="H7" s="178"/>
      <c r="I7" s="178"/>
      <c r="J7" s="178"/>
      <c r="K7" s="178"/>
      <c r="L7" s="179"/>
    </row>
    <row r="8" spans="3:12" x14ac:dyDescent="0.25">
      <c r="C8" s="177"/>
      <c r="D8" s="178"/>
      <c r="E8" s="178"/>
      <c r="F8" s="178"/>
      <c r="G8" s="178"/>
      <c r="H8" s="178"/>
      <c r="I8" s="178"/>
      <c r="J8" s="178"/>
      <c r="K8" s="178"/>
      <c r="L8" s="179"/>
    </row>
    <row r="9" spans="3:12" x14ac:dyDescent="0.25">
      <c r="C9" s="177"/>
      <c r="D9" s="178"/>
      <c r="E9" s="178"/>
      <c r="F9" s="178"/>
      <c r="G9" s="178"/>
      <c r="H9" s="178"/>
      <c r="I9" s="178"/>
      <c r="J9" s="178"/>
      <c r="K9" s="178"/>
      <c r="L9" s="179"/>
    </row>
    <row r="10" spans="3:12" x14ac:dyDescent="0.25">
      <c r="C10" s="177"/>
      <c r="D10" s="178"/>
      <c r="E10" s="178"/>
      <c r="F10" s="178"/>
      <c r="G10" s="178"/>
      <c r="H10" s="178"/>
      <c r="I10" s="178"/>
      <c r="J10" s="178"/>
      <c r="K10" s="178"/>
      <c r="L10" s="179"/>
    </row>
    <row r="11" spans="3:12" ht="15.75" x14ac:dyDescent="0.25">
      <c r="C11" s="177"/>
      <c r="D11" s="178"/>
      <c r="E11" s="178"/>
      <c r="F11" s="178"/>
      <c r="G11" s="180" t="s">
        <v>113</v>
      </c>
      <c r="H11" s="178"/>
      <c r="I11" s="178"/>
      <c r="J11" s="178"/>
      <c r="K11" s="178"/>
      <c r="L11" s="179"/>
    </row>
    <row r="12" spans="3:12" ht="15.75" x14ac:dyDescent="0.25">
      <c r="C12" s="177"/>
      <c r="D12" s="178"/>
      <c r="E12" s="178"/>
      <c r="F12" s="178"/>
      <c r="G12" s="180" t="s">
        <v>114</v>
      </c>
      <c r="H12" s="178"/>
      <c r="I12" s="178"/>
      <c r="J12" s="178"/>
      <c r="K12" s="178"/>
      <c r="L12" s="179"/>
    </row>
    <row r="13" spans="3:12" ht="15.75" x14ac:dyDescent="0.25">
      <c r="C13" s="177"/>
      <c r="D13" s="178"/>
      <c r="E13" s="180"/>
      <c r="F13" s="178"/>
      <c r="G13" s="178"/>
      <c r="H13" s="178"/>
      <c r="I13" s="178"/>
      <c r="J13" s="178"/>
      <c r="K13" s="178"/>
      <c r="L13" s="179"/>
    </row>
    <row r="14" spans="3:12" ht="15.75" x14ac:dyDescent="0.25">
      <c r="C14" s="177"/>
      <c r="D14" s="178"/>
      <c r="E14" s="180"/>
      <c r="F14" s="178"/>
      <c r="G14" s="178"/>
      <c r="H14" s="178"/>
      <c r="I14" s="178"/>
      <c r="J14" s="178"/>
      <c r="K14" s="178"/>
      <c r="L14" s="179"/>
    </row>
    <row r="15" spans="3:12" ht="15.75" x14ac:dyDescent="0.25">
      <c r="C15" s="177"/>
      <c r="D15" s="178"/>
      <c r="E15" s="180"/>
      <c r="F15" s="178"/>
      <c r="G15" s="178"/>
      <c r="H15" s="178"/>
      <c r="I15" s="178"/>
      <c r="J15" s="178"/>
      <c r="K15" s="178"/>
      <c r="L15" s="179"/>
    </row>
    <row r="16" spans="3:12" ht="15.75" x14ac:dyDescent="0.25">
      <c r="C16" s="177"/>
      <c r="D16" s="178"/>
      <c r="E16" s="180"/>
      <c r="F16" s="178"/>
      <c r="G16" s="178"/>
      <c r="H16" s="178"/>
      <c r="I16" s="178"/>
      <c r="J16" s="178"/>
      <c r="K16" s="178"/>
      <c r="L16" s="179"/>
    </row>
    <row r="17" spans="3:12" ht="15.75" x14ac:dyDescent="0.25">
      <c r="C17" s="177"/>
      <c r="D17" s="178"/>
      <c r="E17" s="180"/>
      <c r="F17" s="178"/>
      <c r="G17" s="178"/>
      <c r="H17" s="178"/>
      <c r="I17" s="178"/>
      <c r="J17" s="178"/>
      <c r="K17" s="178"/>
      <c r="L17" s="179"/>
    </row>
    <row r="18" spans="3:12" ht="15.75" x14ac:dyDescent="0.25">
      <c r="C18" s="177"/>
      <c r="D18" s="178"/>
      <c r="E18" s="180"/>
      <c r="F18" s="178"/>
      <c r="G18" s="178"/>
      <c r="H18" s="178"/>
      <c r="I18" s="178"/>
      <c r="J18" s="178"/>
      <c r="K18" s="178"/>
      <c r="L18" s="179"/>
    </row>
    <row r="19" spans="3:12" ht="15.75" x14ac:dyDescent="0.25">
      <c r="C19" s="177"/>
      <c r="D19" s="178"/>
      <c r="E19" s="178"/>
      <c r="F19" s="178"/>
      <c r="G19" s="180" t="s">
        <v>115</v>
      </c>
      <c r="H19" s="178"/>
      <c r="I19" s="178"/>
      <c r="J19" s="178"/>
      <c r="K19" s="178"/>
      <c r="L19" s="179"/>
    </row>
    <row r="20" spans="3:12" ht="15.75" x14ac:dyDescent="0.25">
      <c r="C20" s="177"/>
      <c r="D20" s="178"/>
      <c r="E20" s="178"/>
      <c r="F20" s="178"/>
      <c r="G20" s="180" t="s">
        <v>116</v>
      </c>
      <c r="H20" s="178"/>
      <c r="I20" s="178"/>
      <c r="J20" s="178"/>
      <c r="K20" s="178"/>
      <c r="L20" s="179"/>
    </row>
    <row r="21" spans="3:12" ht="15.75" x14ac:dyDescent="0.25">
      <c r="C21" s="177"/>
      <c r="D21" s="178"/>
      <c r="E21" s="178"/>
      <c r="F21" s="178"/>
      <c r="G21" s="180"/>
      <c r="H21" s="178"/>
      <c r="I21" s="178"/>
      <c r="J21" s="178"/>
      <c r="K21" s="178"/>
      <c r="L21" s="179"/>
    </row>
    <row r="22" spans="3:12" ht="15.75" x14ac:dyDescent="0.25">
      <c r="C22" s="177"/>
      <c r="D22" s="178"/>
      <c r="E22" s="178"/>
      <c r="F22" s="178"/>
      <c r="G22" s="180"/>
      <c r="H22" s="178"/>
      <c r="I22" s="178"/>
      <c r="J22" s="178"/>
      <c r="K22" s="178"/>
      <c r="L22" s="179"/>
    </row>
    <row r="23" spans="3:12" ht="15.75" x14ac:dyDescent="0.25">
      <c r="C23" s="177"/>
      <c r="D23" s="178"/>
      <c r="E23" s="178"/>
      <c r="F23" s="178"/>
      <c r="G23" s="180"/>
      <c r="H23" s="178"/>
      <c r="I23" s="178"/>
      <c r="J23" s="178"/>
      <c r="K23" s="178"/>
      <c r="L23" s="179"/>
    </row>
    <row r="24" spans="3:12" ht="15.75" x14ac:dyDescent="0.25">
      <c r="C24" s="177"/>
      <c r="D24" s="178"/>
      <c r="E24" s="178"/>
      <c r="F24" s="178"/>
      <c r="G24" s="180"/>
      <c r="H24" s="178"/>
      <c r="I24" s="178"/>
      <c r="J24" s="178"/>
      <c r="K24" s="178"/>
      <c r="L24" s="179"/>
    </row>
    <row r="25" spans="3:12" ht="15.75" x14ac:dyDescent="0.25">
      <c r="C25" s="177"/>
      <c r="D25" s="178"/>
      <c r="E25" s="178"/>
      <c r="F25" s="178"/>
      <c r="G25" s="180"/>
      <c r="H25" s="178"/>
      <c r="I25" s="178"/>
      <c r="J25" s="178"/>
      <c r="K25" s="178"/>
      <c r="L25" s="179"/>
    </row>
    <row r="26" spans="3:12" ht="15.75" x14ac:dyDescent="0.25">
      <c r="C26" s="177"/>
      <c r="D26" s="178"/>
      <c r="E26" s="178"/>
      <c r="F26" s="178"/>
      <c r="G26" s="180" t="s">
        <v>117</v>
      </c>
      <c r="H26" s="178"/>
      <c r="I26" s="178"/>
      <c r="J26" s="178"/>
      <c r="K26" s="178"/>
      <c r="L26" s="179"/>
    </row>
    <row r="27" spans="3:12" ht="15.75" x14ac:dyDescent="0.25">
      <c r="C27" s="177"/>
      <c r="D27" s="178"/>
      <c r="E27" s="178"/>
      <c r="F27" s="178"/>
      <c r="G27" s="180" t="s">
        <v>118</v>
      </c>
      <c r="H27" s="178"/>
      <c r="I27" s="178"/>
      <c r="J27" s="178"/>
      <c r="K27" s="178"/>
      <c r="L27" s="179"/>
    </row>
    <row r="28" spans="3:12" ht="15.75" x14ac:dyDescent="0.25">
      <c r="C28" s="177"/>
      <c r="D28" s="178"/>
      <c r="E28" s="178"/>
      <c r="F28" s="178"/>
      <c r="G28" s="180" t="s">
        <v>119</v>
      </c>
      <c r="H28" s="178"/>
      <c r="I28" s="178"/>
      <c r="J28" s="178"/>
      <c r="K28" s="178"/>
      <c r="L28" s="179"/>
    </row>
    <row r="29" spans="3:12" ht="15.75" x14ac:dyDescent="0.25">
      <c r="C29" s="177"/>
      <c r="D29" s="178"/>
      <c r="E29" s="178"/>
      <c r="F29" s="178"/>
      <c r="G29" s="180" t="s">
        <v>120</v>
      </c>
      <c r="H29" s="178"/>
      <c r="I29" s="178"/>
      <c r="J29" s="178"/>
      <c r="K29" s="178"/>
      <c r="L29" s="179"/>
    </row>
    <row r="30" spans="3:12" ht="15.75" x14ac:dyDescent="0.25">
      <c r="C30" s="177"/>
      <c r="D30" s="178"/>
      <c r="E30" s="178"/>
      <c r="F30" s="178"/>
      <c r="G30" s="180">
        <v>2020</v>
      </c>
      <c r="H30" s="178"/>
      <c r="I30" s="178"/>
      <c r="J30" s="178"/>
      <c r="K30" s="178"/>
      <c r="L30" s="179"/>
    </row>
    <row r="31" spans="3:12" ht="15.75" thickBot="1" x14ac:dyDescent="0.3">
      <c r="C31" s="181"/>
      <c r="D31" s="182"/>
      <c r="E31" s="182"/>
      <c r="F31" s="182"/>
      <c r="G31" s="182"/>
      <c r="H31" s="182"/>
      <c r="I31" s="182"/>
      <c r="J31" s="182"/>
      <c r="K31" s="182"/>
      <c r="L31" s="183"/>
    </row>
  </sheetData>
  <mergeCells count="1">
    <mergeCell ref="C4: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72"/>
  <sheetViews>
    <sheetView topLeftCell="A61" workbookViewId="0">
      <selection activeCell="G73" sqref="G73"/>
    </sheetView>
  </sheetViews>
  <sheetFormatPr baseColWidth="10" defaultRowHeight="16.5" x14ac:dyDescent="0.3"/>
  <cols>
    <col min="1" max="1" width="11.42578125" style="1"/>
    <col min="2" max="2" width="14.85546875" style="1" customWidth="1"/>
    <col min="3" max="3" width="16.7109375" style="1" customWidth="1"/>
    <col min="4" max="4" width="14.28515625" style="1" bestFit="1" customWidth="1"/>
    <col min="5" max="6" width="14.42578125" style="1" bestFit="1" customWidth="1"/>
    <col min="7" max="8" width="15.5703125" style="1" bestFit="1" customWidth="1"/>
    <col min="9" max="9" width="11.42578125" style="1"/>
    <col min="10" max="10" width="14.7109375" style="1" bestFit="1" customWidth="1"/>
    <col min="11" max="16384" width="11.42578125" style="1"/>
  </cols>
  <sheetData>
    <row r="5" spans="2:13" ht="17.25" thickBot="1" x14ac:dyDescent="0.35"/>
    <row r="6" spans="2:13" ht="17.25" thickBot="1" x14ac:dyDescent="0.35">
      <c r="B6" s="190" t="s">
        <v>0</v>
      </c>
      <c r="C6" s="191"/>
      <c r="D6" s="191"/>
      <c r="E6" s="191"/>
      <c r="F6" s="191"/>
      <c r="G6" s="192"/>
    </row>
    <row r="7" spans="2:13" ht="17.25" thickBot="1" x14ac:dyDescent="0.35"/>
    <row r="8" spans="2:13" ht="17.25" thickBot="1" x14ac:dyDescent="0.35">
      <c r="B8" s="27" t="s">
        <v>14</v>
      </c>
      <c r="C8" s="28" t="s">
        <v>1</v>
      </c>
      <c r="D8" s="28" t="s">
        <v>2</v>
      </c>
      <c r="E8" s="28" t="s">
        <v>3</v>
      </c>
      <c r="F8" s="28" t="s">
        <v>4</v>
      </c>
      <c r="G8" s="29" t="s">
        <v>5</v>
      </c>
      <c r="I8" s="2"/>
      <c r="J8" s="2"/>
      <c r="K8" s="2"/>
      <c r="L8" s="2"/>
      <c r="M8" s="2"/>
    </row>
    <row r="9" spans="2:13" x14ac:dyDescent="0.3">
      <c r="B9" s="24" t="s">
        <v>6</v>
      </c>
      <c r="C9" s="25">
        <f>446*4000</f>
        <v>1784000</v>
      </c>
      <c r="D9" s="25">
        <f>482*4060</f>
        <v>1956920</v>
      </c>
      <c r="E9" s="25">
        <f>520*4121</f>
        <v>2142920</v>
      </c>
      <c r="F9" s="25">
        <f>562*4183</f>
        <v>2350846</v>
      </c>
      <c r="G9" s="26">
        <f>607*4245</f>
        <v>2576715</v>
      </c>
      <c r="I9" s="4"/>
      <c r="J9" s="4"/>
      <c r="K9" s="4"/>
      <c r="L9" s="4"/>
      <c r="M9" s="4"/>
    </row>
    <row r="10" spans="2:13" x14ac:dyDescent="0.3">
      <c r="B10" s="22" t="s">
        <v>7</v>
      </c>
      <c r="C10" s="3">
        <f>5513*1500</f>
        <v>8269500</v>
      </c>
      <c r="D10" s="3">
        <f>6009*1523</f>
        <v>9151707</v>
      </c>
      <c r="E10" s="3">
        <f>6550*1545</f>
        <v>10119750</v>
      </c>
      <c r="F10" s="3">
        <f>7139*1569</f>
        <v>11201091</v>
      </c>
      <c r="G10" s="23">
        <f>7782*1592</f>
        <v>12388944</v>
      </c>
      <c r="I10" s="4"/>
      <c r="J10" s="4"/>
      <c r="K10" s="4"/>
      <c r="L10" s="4"/>
      <c r="M10" s="4"/>
    </row>
    <row r="11" spans="2:13" x14ac:dyDescent="0.3">
      <c r="B11" s="22" t="s">
        <v>8</v>
      </c>
      <c r="C11" s="3">
        <f>6385*1000</f>
        <v>6385000</v>
      </c>
      <c r="D11" s="3">
        <f>7024*1015</f>
        <v>7129360</v>
      </c>
      <c r="E11" s="3">
        <f>7726*1030</f>
        <v>7957780</v>
      </c>
      <c r="F11" s="3">
        <f>8498*1046</f>
        <v>8888908</v>
      </c>
      <c r="G11" s="23">
        <f>9348*1061</f>
        <v>9918228</v>
      </c>
      <c r="I11" s="4"/>
      <c r="J11" s="4"/>
      <c r="K11" s="4"/>
      <c r="L11" s="4"/>
      <c r="M11" s="4"/>
    </row>
    <row r="12" spans="2:13" x14ac:dyDescent="0.3">
      <c r="B12" s="22" t="s">
        <v>9</v>
      </c>
      <c r="C12" s="3">
        <f>7030*2000</f>
        <v>14060000</v>
      </c>
      <c r="D12" s="3">
        <f>7733*2030</f>
        <v>15697990</v>
      </c>
      <c r="E12" s="3">
        <f>8506*2060</f>
        <v>17522360</v>
      </c>
      <c r="F12" s="3">
        <f>9357*2091</f>
        <v>19565487</v>
      </c>
      <c r="G12" s="23">
        <f>10293*2123</f>
        <v>21852039</v>
      </c>
      <c r="I12" s="4"/>
      <c r="J12" s="4"/>
      <c r="K12" s="4"/>
      <c r="L12" s="4"/>
      <c r="M12" s="4"/>
    </row>
    <row r="13" spans="2:13" x14ac:dyDescent="0.3">
      <c r="B13" s="22" t="s">
        <v>10</v>
      </c>
      <c r="C13" s="3">
        <f>6219*1000</f>
        <v>6219000</v>
      </c>
      <c r="D13" s="3">
        <f>6841*1015</f>
        <v>6943615</v>
      </c>
      <c r="E13" s="3">
        <f>7525*1030</f>
        <v>7750750</v>
      </c>
      <c r="F13" s="3">
        <f>8277*1046</f>
        <v>8657742</v>
      </c>
      <c r="G13" s="23">
        <f>9105*1061</f>
        <v>9660405</v>
      </c>
      <c r="I13" s="4"/>
      <c r="J13" s="4"/>
      <c r="K13" s="4"/>
      <c r="L13" s="4"/>
      <c r="M13" s="4"/>
    </row>
    <row r="14" spans="2:13" ht="17.25" thickBot="1" x14ac:dyDescent="0.35">
      <c r="B14" s="30" t="s">
        <v>11</v>
      </c>
      <c r="C14" s="31">
        <f>5225*1500</f>
        <v>7837500</v>
      </c>
      <c r="D14" s="31">
        <f>5748*1523</f>
        <v>8754204</v>
      </c>
      <c r="E14" s="31">
        <f>6322*1545</f>
        <v>9767490</v>
      </c>
      <c r="F14" s="31">
        <f>6954*1569</f>
        <v>10910826</v>
      </c>
      <c r="G14" s="32">
        <f>7650*1592</f>
        <v>12178800</v>
      </c>
      <c r="I14" s="4"/>
      <c r="J14" s="4"/>
      <c r="K14" s="4"/>
      <c r="L14" s="4"/>
      <c r="M14" s="4"/>
    </row>
    <row r="15" spans="2:13" ht="17.25" thickBot="1" x14ac:dyDescent="0.35">
      <c r="B15" s="27" t="s">
        <v>13</v>
      </c>
      <c r="C15" s="33">
        <f>SUM(C9:C14)</f>
        <v>44555000</v>
      </c>
      <c r="D15" s="33">
        <f t="shared" ref="D15:G15" si="0">SUM(D9:D14)</f>
        <v>49633796</v>
      </c>
      <c r="E15" s="33">
        <f t="shared" si="0"/>
        <v>55261050</v>
      </c>
      <c r="F15" s="33">
        <f t="shared" si="0"/>
        <v>61574900</v>
      </c>
      <c r="G15" s="34">
        <f t="shared" si="0"/>
        <v>68575131</v>
      </c>
      <c r="I15" s="5"/>
      <c r="J15" s="5"/>
      <c r="K15" s="5"/>
      <c r="L15" s="5"/>
      <c r="M15" s="5"/>
    </row>
    <row r="16" spans="2:13" x14ac:dyDescent="0.3">
      <c r="I16" s="6"/>
      <c r="J16" s="6"/>
      <c r="K16" s="6"/>
      <c r="L16" s="6"/>
      <c r="M16" s="6"/>
    </row>
    <row r="17" spans="2:13" ht="17.25" thickBot="1" x14ac:dyDescent="0.35"/>
    <row r="18" spans="2:13" ht="17.25" thickBot="1" x14ac:dyDescent="0.35">
      <c r="B18" s="190" t="s">
        <v>25</v>
      </c>
      <c r="C18" s="191"/>
      <c r="D18" s="191"/>
      <c r="E18" s="191"/>
      <c r="F18" s="191"/>
      <c r="G18" s="192"/>
    </row>
    <row r="19" spans="2:13" ht="17.25" thickBot="1" x14ac:dyDescent="0.35"/>
    <row r="20" spans="2:13" ht="17.25" thickBot="1" x14ac:dyDescent="0.35">
      <c r="B20" s="27" t="s">
        <v>14</v>
      </c>
      <c r="C20" s="28" t="s">
        <v>1</v>
      </c>
      <c r="D20" s="28" t="s">
        <v>2</v>
      </c>
      <c r="E20" s="28" t="s">
        <v>3</v>
      </c>
      <c r="F20" s="28" t="s">
        <v>4</v>
      </c>
      <c r="G20" s="29" t="s">
        <v>5</v>
      </c>
    </row>
    <row r="21" spans="2:13" x14ac:dyDescent="0.3">
      <c r="B21" s="24" t="s">
        <v>6</v>
      </c>
      <c r="C21" s="25">
        <v>1248800</v>
      </c>
      <c r="D21" s="25">
        <v>1362191</v>
      </c>
      <c r="E21" s="25">
        <v>1485878</v>
      </c>
      <c r="F21" s="25">
        <v>1620796</v>
      </c>
      <c r="G21" s="26">
        <v>1767964</v>
      </c>
    </row>
    <row r="22" spans="2:13" x14ac:dyDescent="0.3">
      <c r="B22" s="22" t="s">
        <v>7</v>
      </c>
      <c r="C22" s="3">
        <v>5513000</v>
      </c>
      <c r="D22" s="3">
        <v>6013580</v>
      </c>
      <c r="E22" s="3">
        <v>6559614</v>
      </c>
      <c r="F22" s="3">
        <v>7155226</v>
      </c>
      <c r="G22" s="23">
        <v>7804921</v>
      </c>
    </row>
    <row r="23" spans="2:13" x14ac:dyDescent="0.3">
      <c r="B23" s="22" t="s">
        <v>8</v>
      </c>
      <c r="C23" s="3">
        <v>3511750</v>
      </c>
      <c r="D23" s="3">
        <v>3830617</v>
      </c>
      <c r="E23" s="3">
        <v>4178437</v>
      </c>
      <c r="F23" s="3">
        <v>4557839</v>
      </c>
      <c r="G23" s="23">
        <v>4971691</v>
      </c>
    </row>
    <row r="24" spans="2:13" x14ac:dyDescent="0.3">
      <c r="B24" s="22" t="s">
        <v>9</v>
      </c>
      <c r="C24" s="3">
        <v>10896500</v>
      </c>
      <c r="D24" s="3">
        <v>11885902</v>
      </c>
      <c r="E24" s="3">
        <v>12965142</v>
      </c>
      <c r="F24" s="3">
        <v>14142377</v>
      </c>
      <c r="G24" s="23">
        <v>15426505</v>
      </c>
    </row>
    <row r="25" spans="2:13" x14ac:dyDescent="0.3">
      <c r="B25" s="22" t="s">
        <v>10</v>
      </c>
      <c r="C25" s="3">
        <v>4664250</v>
      </c>
      <c r="D25" s="3">
        <v>5087764</v>
      </c>
      <c r="E25" s="3">
        <v>5549733</v>
      </c>
      <c r="F25" s="3">
        <v>6053649</v>
      </c>
      <c r="G25" s="23">
        <v>6603320</v>
      </c>
    </row>
    <row r="26" spans="2:13" ht="17.25" thickBot="1" x14ac:dyDescent="0.35">
      <c r="B26" s="35" t="s">
        <v>11</v>
      </c>
      <c r="C26" s="36">
        <v>5486250</v>
      </c>
      <c r="D26" s="36">
        <v>5984402</v>
      </c>
      <c r="E26" s="36">
        <v>6527785</v>
      </c>
      <c r="F26" s="36">
        <v>7120508</v>
      </c>
      <c r="G26" s="37">
        <v>7767050</v>
      </c>
    </row>
    <row r="27" spans="2:13" ht="17.25" thickBot="1" x14ac:dyDescent="0.35">
      <c r="B27" s="27" t="s">
        <v>13</v>
      </c>
      <c r="C27" s="33">
        <f>SUM(C21:C26)</f>
        <v>31320550</v>
      </c>
      <c r="D27" s="33">
        <f t="shared" ref="D27" si="1">SUM(D21:D26)</f>
        <v>34164456</v>
      </c>
      <c r="E27" s="33">
        <f t="shared" ref="E27" si="2">SUM(E21:E26)</f>
        <v>37266589</v>
      </c>
      <c r="F27" s="33">
        <f t="shared" ref="F27" si="3">SUM(F21:F26)</f>
        <v>40650395</v>
      </c>
      <c r="G27" s="34">
        <f t="shared" ref="G27" si="4">SUM(G21:G26)</f>
        <v>44341451</v>
      </c>
    </row>
    <row r="28" spans="2:13" ht="17.25" thickBot="1" x14ac:dyDescent="0.35"/>
    <row r="29" spans="2:13" ht="17.25" thickBot="1" x14ac:dyDescent="0.35">
      <c r="B29" s="27" t="s">
        <v>26</v>
      </c>
      <c r="C29" s="33">
        <f>C15-C27</f>
        <v>13234450</v>
      </c>
      <c r="D29" s="33">
        <f>D15-D27</f>
        <v>15469340</v>
      </c>
      <c r="E29" s="33">
        <f>E15-E27</f>
        <v>17994461</v>
      </c>
      <c r="F29" s="33">
        <f>F15-F27</f>
        <v>20924505</v>
      </c>
      <c r="G29" s="34">
        <f>G15-G27</f>
        <v>24233680</v>
      </c>
    </row>
    <row r="30" spans="2:13" ht="17.25" thickBot="1" x14ac:dyDescent="0.35"/>
    <row r="31" spans="2:13" ht="17.25" thickBot="1" x14ac:dyDescent="0.35">
      <c r="B31" s="190" t="s">
        <v>110</v>
      </c>
      <c r="C31" s="191"/>
      <c r="D31" s="191"/>
      <c r="E31" s="191"/>
      <c r="F31" s="191"/>
      <c r="G31" s="192"/>
    </row>
    <row r="32" spans="2:13" ht="17.25" thickBot="1" x14ac:dyDescent="0.35">
      <c r="M32" s="8">
        <f>+K34+K35</f>
        <v>0</v>
      </c>
    </row>
    <row r="33" spans="1:15" ht="17.25" thickBot="1" x14ac:dyDescent="0.35">
      <c r="C33" s="38" t="s">
        <v>23</v>
      </c>
      <c r="D33" s="28" t="s">
        <v>1</v>
      </c>
      <c r="E33" s="28" t="s">
        <v>2</v>
      </c>
      <c r="F33" s="28" t="s">
        <v>3</v>
      </c>
      <c r="G33" s="28" t="s">
        <v>4</v>
      </c>
      <c r="H33" s="28" t="s">
        <v>5</v>
      </c>
      <c r="I33" s="39" t="s">
        <v>24</v>
      </c>
      <c r="J33" s="40" t="s">
        <v>86</v>
      </c>
    </row>
    <row r="34" spans="1:15" x14ac:dyDescent="0.3">
      <c r="A34" s="8" t="s">
        <v>12</v>
      </c>
      <c r="B34" s="7" t="s">
        <v>16</v>
      </c>
      <c r="C34" s="9">
        <v>5440000</v>
      </c>
      <c r="D34" s="9">
        <v>68000</v>
      </c>
      <c r="E34" s="9">
        <v>204000</v>
      </c>
      <c r="F34" s="9">
        <v>292400</v>
      </c>
      <c r="G34" s="9">
        <v>340000</v>
      </c>
      <c r="H34" s="9">
        <v>251600</v>
      </c>
      <c r="I34" s="10">
        <v>10</v>
      </c>
      <c r="J34" s="11">
        <v>0.1</v>
      </c>
      <c r="K34" s="8"/>
    </row>
    <row r="35" spans="1:15" x14ac:dyDescent="0.3">
      <c r="B35" s="7" t="s">
        <v>17</v>
      </c>
      <c r="C35" s="9">
        <v>510000</v>
      </c>
      <c r="D35" s="9">
        <v>0</v>
      </c>
      <c r="E35" s="9">
        <v>170000</v>
      </c>
      <c r="F35" s="9">
        <v>105400</v>
      </c>
      <c r="G35" s="9">
        <v>68000</v>
      </c>
      <c r="H35" s="9">
        <v>98600</v>
      </c>
      <c r="I35" s="10">
        <v>10</v>
      </c>
      <c r="J35" s="11">
        <v>0.1</v>
      </c>
      <c r="K35" s="8"/>
    </row>
    <row r="36" spans="1:15" x14ac:dyDescent="0.3">
      <c r="B36" s="7" t="s">
        <v>18</v>
      </c>
      <c r="C36" s="9">
        <v>0</v>
      </c>
      <c r="D36" s="9">
        <v>884000</v>
      </c>
      <c r="E36" s="9">
        <v>0</v>
      </c>
      <c r="F36" s="9">
        <v>782000</v>
      </c>
      <c r="G36" s="9">
        <v>0</v>
      </c>
      <c r="H36" s="9">
        <v>0</v>
      </c>
      <c r="I36" s="10">
        <v>5</v>
      </c>
      <c r="J36" s="11">
        <v>0.2</v>
      </c>
    </row>
    <row r="37" spans="1:15" x14ac:dyDescent="0.3">
      <c r="B37" s="7" t="s">
        <v>19</v>
      </c>
      <c r="C37" s="9">
        <v>163200</v>
      </c>
      <c r="D37" s="9">
        <v>190400</v>
      </c>
      <c r="E37" s="9">
        <v>221000</v>
      </c>
      <c r="F37" s="9">
        <v>244800</v>
      </c>
      <c r="G37" s="9">
        <v>289000</v>
      </c>
      <c r="H37" s="9">
        <v>312800</v>
      </c>
      <c r="I37" s="10">
        <v>1</v>
      </c>
      <c r="J37" s="11">
        <v>1</v>
      </c>
    </row>
    <row r="38" spans="1:15" x14ac:dyDescent="0.3">
      <c r="B38" s="7" t="s">
        <v>20</v>
      </c>
      <c r="C38" s="9">
        <v>544000</v>
      </c>
      <c r="D38" s="9">
        <v>680000</v>
      </c>
      <c r="E38" s="9">
        <v>748000</v>
      </c>
      <c r="F38" s="9">
        <v>816000</v>
      </c>
      <c r="G38" s="9">
        <v>863600</v>
      </c>
      <c r="H38" s="9">
        <v>897600</v>
      </c>
    </row>
    <row r="39" spans="1:15" x14ac:dyDescent="0.3">
      <c r="B39" s="7" t="s">
        <v>21</v>
      </c>
      <c r="C39" s="9">
        <v>68000</v>
      </c>
      <c r="D39" s="9">
        <v>102000</v>
      </c>
      <c r="E39" s="9">
        <v>136000</v>
      </c>
      <c r="F39" s="9">
        <v>217600</v>
      </c>
      <c r="G39" s="9">
        <v>258400</v>
      </c>
      <c r="H39" s="9">
        <v>289000</v>
      </c>
    </row>
    <row r="40" spans="1:15" ht="17.25" thickBot="1" x14ac:dyDescent="0.35">
      <c r="B40" s="7" t="s">
        <v>22</v>
      </c>
      <c r="C40" s="9">
        <v>435200</v>
      </c>
      <c r="D40" s="9">
        <v>650760</v>
      </c>
      <c r="E40" s="9">
        <v>738344</v>
      </c>
      <c r="F40" s="9">
        <v>959140</v>
      </c>
      <c r="G40" s="9">
        <v>1233180</v>
      </c>
      <c r="H40" s="9">
        <v>1436160</v>
      </c>
      <c r="I40" s="10">
        <v>1</v>
      </c>
      <c r="J40" s="11">
        <v>1</v>
      </c>
      <c r="K40" s="12"/>
      <c r="L40" s="12"/>
      <c r="M40" s="12"/>
      <c r="N40" s="12"/>
      <c r="O40" s="12"/>
    </row>
    <row r="41" spans="1:15" ht="17.25" thickBot="1" x14ac:dyDescent="0.35">
      <c r="C41" s="41">
        <f>SUM(C34:C40)</f>
        <v>7160400</v>
      </c>
      <c r="D41" s="42">
        <f t="shared" ref="D41:H41" si="5">SUM(D34:D40)</f>
        <v>2575160</v>
      </c>
      <c r="E41" s="42">
        <f t="shared" si="5"/>
        <v>2217344</v>
      </c>
      <c r="F41" s="42">
        <f t="shared" si="5"/>
        <v>3417340</v>
      </c>
      <c r="G41" s="42">
        <f t="shared" si="5"/>
        <v>3052180</v>
      </c>
      <c r="H41" s="43">
        <f t="shared" si="5"/>
        <v>3285760</v>
      </c>
    </row>
    <row r="43" spans="1:15" x14ac:dyDescent="0.3">
      <c r="C43" s="8" t="s">
        <v>12</v>
      </c>
    </row>
    <row r="44" spans="1:15" s="44" customFormat="1" x14ac:dyDescent="0.3"/>
    <row r="45" spans="1:15" x14ac:dyDescent="0.3">
      <c r="B45" s="12"/>
      <c r="C45" s="12"/>
      <c r="D45" s="12"/>
      <c r="E45" s="12"/>
      <c r="F45" s="12"/>
    </row>
    <row r="46" spans="1:15" ht="18.75" x14ac:dyDescent="0.3">
      <c r="B46" s="13" t="s">
        <v>43</v>
      </c>
      <c r="C46" s="12"/>
      <c r="D46" s="12"/>
      <c r="E46" s="12"/>
      <c r="F46" s="12"/>
    </row>
    <row r="47" spans="1:15" ht="17.25" thickBot="1" x14ac:dyDescent="0.35"/>
    <row r="48" spans="1:15" ht="17.25" thickBot="1" x14ac:dyDescent="0.35">
      <c r="B48" s="27" t="s">
        <v>27</v>
      </c>
      <c r="C48" s="126"/>
      <c r="D48" s="125" t="s">
        <v>1</v>
      </c>
      <c r="E48" s="28" t="s">
        <v>2</v>
      </c>
      <c r="F48" s="28" t="s">
        <v>3</v>
      </c>
      <c r="G48" s="28" t="s">
        <v>4</v>
      </c>
      <c r="H48" s="29" t="s">
        <v>5</v>
      </c>
      <c r="J48" s="14"/>
    </row>
    <row r="49" spans="2:14" ht="17.25" thickBot="1" x14ac:dyDescent="0.35">
      <c r="J49" s="10"/>
      <c r="K49" s="10"/>
      <c r="L49" s="10"/>
      <c r="M49" s="10"/>
      <c r="N49" s="10"/>
    </row>
    <row r="50" spans="2:14" ht="17.25" thickBot="1" x14ac:dyDescent="0.35">
      <c r="B50" s="127" t="s">
        <v>28</v>
      </c>
      <c r="C50" s="128"/>
      <c r="D50" s="45">
        <f>C15</f>
        <v>44555000</v>
      </c>
      <c r="E50" s="46">
        <f>D15</f>
        <v>49633796</v>
      </c>
      <c r="F50" s="46">
        <f>E15</f>
        <v>55261050</v>
      </c>
      <c r="G50" s="46">
        <f>F15</f>
        <v>61574900</v>
      </c>
      <c r="H50" s="47">
        <f>G15</f>
        <v>68575131</v>
      </c>
      <c r="K50" s="16"/>
      <c r="L50" s="16"/>
      <c r="M50" s="16"/>
      <c r="N50" s="16"/>
    </row>
    <row r="51" spans="2:14" ht="17.25" thickBot="1" x14ac:dyDescent="0.35">
      <c r="B51" s="127" t="s">
        <v>29</v>
      </c>
      <c r="C51" s="128"/>
      <c r="D51" s="48">
        <f>C27</f>
        <v>31320550</v>
      </c>
      <c r="E51" s="15">
        <f t="shared" ref="E51:H51" si="6">D27</f>
        <v>34164456</v>
      </c>
      <c r="F51" s="15">
        <f t="shared" si="6"/>
        <v>37266589</v>
      </c>
      <c r="G51" s="15">
        <f t="shared" si="6"/>
        <v>40650395</v>
      </c>
      <c r="H51" s="49">
        <f t="shared" si="6"/>
        <v>44341451</v>
      </c>
      <c r="L51" s="16"/>
      <c r="M51" s="16"/>
      <c r="N51" s="16"/>
    </row>
    <row r="52" spans="2:14" ht="17.25" thickBot="1" x14ac:dyDescent="0.35">
      <c r="B52" s="127" t="s">
        <v>30</v>
      </c>
      <c r="C52" s="128"/>
      <c r="D52" s="50">
        <f>D50-D51</f>
        <v>13234450</v>
      </c>
      <c r="E52" s="51">
        <f t="shared" ref="E52:H52" si="7">E50-E51</f>
        <v>15469340</v>
      </c>
      <c r="F52" s="51">
        <f t="shared" si="7"/>
        <v>17994461</v>
      </c>
      <c r="G52" s="51">
        <f t="shared" si="7"/>
        <v>20924505</v>
      </c>
      <c r="H52" s="52">
        <f t="shared" si="7"/>
        <v>24233680</v>
      </c>
    </row>
    <row r="53" spans="2:14" ht="17.25" thickBot="1" x14ac:dyDescent="0.35">
      <c r="L53" s="16"/>
      <c r="M53" s="16"/>
      <c r="N53" s="16"/>
    </row>
    <row r="54" spans="2:14" ht="17.25" thickBot="1" x14ac:dyDescent="0.35">
      <c r="B54" s="127" t="s">
        <v>31</v>
      </c>
      <c r="C54" s="128"/>
      <c r="D54" s="120">
        <v>6346522</v>
      </c>
      <c r="E54" s="121">
        <v>6727314</v>
      </c>
      <c r="F54" s="121">
        <v>7130953</v>
      </c>
      <c r="G54" s="121">
        <v>7558810</v>
      </c>
      <c r="H54" s="122">
        <v>8012338</v>
      </c>
      <c r="K54" s="8"/>
      <c r="L54" s="8"/>
      <c r="M54" s="8"/>
      <c r="N54" s="8"/>
    </row>
    <row r="55" spans="2:14" ht="17.25" thickBot="1" x14ac:dyDescent="0.35">
      <c r="B55" s="127" t="s">
        <v>105</v>
      </c>
      <c r="C55" s="128"/>
      <c r="D55" s="123">
        <f>+D34+D37</f>
        <v>258400</v>
      </c>
      <c r="E55" s="3">
        <f t="shared" ref="E55:H55" si="8">+E34+E37</f>
        <v>425000</v>
      </c>
      <c r="F55" s="3">
        <f t="shared" si="8"/>
        <v>537200</v>
      </c>
      <c r="G55" s="3">
        <f t="shared" si="8"/>
        <v>629000</v>
      </c>
      <c r="H55" s="23">
        <f t="shared" si="8"/>
        <v>564400</v>
      </c>
      <c r="K55" s="8"/>
      <c r="L55" s="8"/>
      <c r="M55" s="8"/>
      <c r="N55" s="8"/>
    </row>
    <row r="56" spans="2:14" ht="17.25" thickBot="1" x14ac:dyDescent="0.35">
      <c r="B56" s="127" t="s">
        <v>106</v>
      </c>
      <c r="C56" s="128"/>
      <c r="D56" s="123">
        <v>1704400</v>
      </c>
      <c r="E56" s="3">
        <v>1755532</v>
      </c>
      <c r="F56" s="3">
        <v>1808198</v>
      </c>
      <c r="G56" s="3">
        <v>1862444</v>
      </c>
      <c r="H56" s="23">
        <v>1918317</v>
      </c>
      <c r="K56" s="8"/>
      <c r="L56" s="8"/>
      <c r="M56" s="8"/>
      <c r="N56" s="8"/>
    </row>
    <row r="57" spans="2:14" ht="17.25" thickBot="1" x14ac:dyDescent="0.35">
      <c r="B57" s="127" t="s">
        <v>107</v>
      </c>
      <c r="C57" s="128"/>
      <c r="D57" s="123">
        <f>+D40</f>
        <v>650760</v>
      </c>
      <c r="E57" s="3">
        <f t="shared" ref="E57:H57" si="9">+E40</f>
        <v>738344</v>
      </c>
      <c r="F57" s="3">
        <f t="shared" si="9"/>
        <v>959140</v>
      </c>
      <c r="G57" s="3">
        <f t="shared" si="9"/>
        <v>1233180</v>
      </c>
      <c r="H57" s="23">
        <f t="shared" si="9"/>
        <v>1436160</v>
      </c>
      <c r="K57" s="8"/>
      <c r="L57" s="8"/>
      <c r="M57" s="8"/>
      <c r="N57" s="8"/>
    </row>
    <row r="58" spans="2:14" ht="17.25" thickBot="1" x14ac:dyDescent="0.35">
      <c r="B58" s="127" t="s">
        <v>98</v>
      </c>
      <c r="C58" s="128"/>
      <c r="D58" s="124">
        <f>+'ESTADO DE SITUACION FINANCIERA'!D18</f>
        <v>595000</v>
      </c>
      <c r="E58" s="36">
        <f>+'ESTADO DE SITUACION FINANCIERA'!E18</f>
        <v>595000</v>
      </c>
      <c r="F58" s="36">
        <f>+'ESTADO DE SITUACION FINANCIERA'!F18</f>
        <v>595000</v>
      </c>
      <c r="G58" s="36">
        <f>+'ESTADO DE SITUACION FINANCIERA'!G18</f>
        <v>595000</v>
      </c>
      <c r="H58" s="37">
        <f>+'ESTADO DE SITUACION FINANCIERA'!H18</f>
        <v>595000</v>
      </c>
      <c r="I58" s="18"/>
      <c r="J58" s="19"/>
      <c r="M58" s="8"/>
      <c r="N58" s="8"/>
    </row>
    <row r="59" spans="2:14" ht="17.25" thickBot="1" x14ac:dyDescent="0.35">
      <c r="B59" s="27" t="s">
        <v>87</v>
      </c>
      <c r="C59" s="53"/>
      <c r="D59" s="118">
        <f>D52-D54-D55-D56-D57-D58</f>
        <v>3679368</v>
      </c>
      <c r="E59" s="118">
        <f t="shared" ref="E59:H59" si="10">E52-E54-E55-E56-E57-E58</f>
        <v>5228150</v>
      </c>
      <c r="F59" s="118">
        <f t="shared" si="10"/>
        <v>6963970</v>
      </c>
      <c r="G59" s="118">
        <f t="shared" si="10"/>
        <v>9046071</v>
      </c>
      <c r="H59" s="119">
        <f t="shared" si="10"/>
        <v>11707465</v>
      </c>
    </row>
    <row r="60" spans="2:14" x14ac:dyDescent="0.3">
      <c r="D60" s="17"/>
      <c r="E60" s="17"/>
      <c r="F60" s="17"/>
      <c r="G60" s="17"/>
      <c r="H60" s="17"/>
    </row>
    <row r="61" spans="2:14" ht="17.25" thickBot="1" x14ac:dyDescent="0.35">
      <c r="D61" s="17" t="s">
        <v>12</v>
      </c>
      <c r="E61" s="17"/>
      <c r="F61" s="17"/>
      <c r="G61" s="17"/>
      <c r="H61" s="17"/>
    </row>
    <row r="62" spans="2:14" ht="17.25" thickBot="1" x14ac:dyDescent="0.35">
      <c r="B62" s="27" t="s">
        <v>32</v>
      </c>
      <c r="C62" s="53"/>
      <c r="D62" s="42">
        <f>+D59</f>
        <v>3679368</v>
      </c>
      <c r="E62" s="42">
        <f>+E59</f>
        <v>5228150</v>
      </c>
      <c r="F62" s="42">
        <f>+F59</f>
        <v>6963970</v>
      </c>
      <c r="G62" s="42">
        <f t="shared" ref="G62:H62" si="11">+G59</f>
        <v>9046071</v>
      </c>
      <c r="H62" s="43">
        <f t="shared" si="11"/>
        <v>11707465</v>
      </c>
    </row>
    <row r="63" spans="2:14" ht="17.25" thickBot="1" x14ac:dyDescent="0.35">
      <c r="D63" s="17"/>
      <c r="E63" s="17"/>
      <c r="F63" s="17"/>
      <c r="G63" s="17"/>
      <c r="H63" s="17"/>
    </row>
    <row r="64" spans="2:14" ht="17.25" thickBot="1" x14ac:dyDescent="0.35">
      <c r="B64" s="54" t="s">
        <v>99</v>
      </c>
      <c r="C64" s="55"/>
      <c r="D64" s="56">
        <f>+D62/100*10</f>
        <v>367936.8</v>
      </c>
      <c r="E64" s="56">
        <f t="shared" ref="E64:H64" si="12">+E62/100*10</f>
        <v>522815</v>
      </c>
      <c r="F64" s="56">
        <f t="shared" si="12"/>
        <v>696397</v>
      </c>
      <c r="G64" s="56">
        <f t="shared" si="12"/>
        <v>904607.10000000009</v>
      </c>
      <c r="H64" s="57">
        <f t="shared" si="12"/>
        <v>1170746.5</v>
      </c>
      <c r="I64" s="20"/>
    </row>
    <row r="65" spans="2:10" ht="17.25" thickBot="1" x14ac:dyDescent="0.35">
      <c r="B65" s="58" t="s">
        <v>100</v>
      </c>
      <c r="C65" s="59"/>
      <c r="D65" s="60">
        <f>+D62/100*15</f>
        <v>551905.19999999995</v>
      </c>
      <c r="E65" s="60">
        <f t="shared" ref="E65:I65" si="13">+E62/100*15</f>
        <v>784222.5</v>
      </c>
      <c r="F65" s="60">
        <f t="shared" si="13"/>
        <v>1044595.5</v>
      </c>
      <c r="G65" s="60">
        <f t="shared" si="13"/>
        <v>1356910.6500000001</v>
      </c>
      <c r="H65" s="61">
        <f t="shared" si="13"/>
        <v>1756119.75</v>
      </c>
      <c r="I65" s="21">
        <f t="shared" si="13"/>
        <v>0</v>
      </c>
    </row>
    <row r="67" spans="2:10" x14ac:dyDescent="0.3">
      <c r="J67" s="8"/>
    </row>
    <row r="68" spans="2:10" ht="17.25" thickBot="1" x14ac:dyDescent="0.35"/>
    <row r="69" spans="2:10" ht="17.25" thickBot="1" x14ac:dyDescent="0.35">
      <c r="B69" s="27" t="s">
        <v>32</v>
      </c>
      <c r="C69" s="53"/>
      <c r="D69" s="42">
        <f>D62-D64-D65</f>
        <v>2759526</v>
      </c>
      <c r="E69" s="42">
        <f t="shared" ref="E69:H69" si="14">E62-E64-E65</f>
        <v>3921112.5</v>
      </c>
      <c r="F69" s="42">
        <f t="shared" si="14"/>
        <v>5222977.5</v>
      </c>
      <c r="G69" s="42">
        <f t="shared" si="14"/>
        <v>6784553.25</v>
      </c>
      <c r="H69" s="43">
        <f t="shared" si="14"/>
        <v>8780598.75</v>
      </c>
    </row>
    <row r="71" spans="2:10" x14ac:dyDescent="0.3">
      <c r="D71" s="8"/>
    </row>
    <row r="72" spans="2:10" x14ac:dyDescent="0.3">
      <c r="D72" s="8" t="s">
        <v>12</v>
      </c>
    </row>
  </sheetData>
  <mergeCells count="3">
    <mergeCell ref="B6:G6"/>
    <mergeCell ref="B18:G18"/>
    <mergeCell ref="B31:G3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topLeftCell="A19" zoomScale="80" zoomScaleNormal="80" workbookViewId="0">
      <selection activeCell="K14" sqref="K14"/>
    </sheetView>
  </sheetViews>
  <sheetFormatPr baseColWidth="10" defaultRowHeight="16.5" x14ac:dyDescent="0.3"/>
  <cols>
    <col min="1" max="1" width="11.42578125" style="1"/>
    <col min="2" max="2" width="47.140625" style="1" customWidth="1"/>
    <col min="3" max="3" width="17.42578125" style="1" bestFit="1" customWidth="1"/>
    <col min="4" max="8" width="18.7109375" style="1" bestFit="1" customWidth="1"/>
    <col min="9" max="9" width="8.28515625" style="1" customWidth="1"/>
    <col min="10" max="10" width="16.5703125" style="1" bestFit="1" customWidth="1"/>
    <col min="11" max="12" width="15.5703125" style="1" bestFit="1" customWidth="1"/>
    <col min="13" max="13" width="14.42578125" style="1" bestFit="1" customWidth="1"/>
    <col min="14" max="16384" width="11.42578125" style="1"/>
  </cols>
  <sheetData>
    <row r="2" spans="2:12" x14ac:dyDescent="0.3">
      <c r="C2" s="17"/>
      <c r="D2" s="17"/>
      <c r="E2" s="17"/>
      <c r="F2" s="17"/>
      <c r="G2" s="17"/>
      <c r="H2" s="17"/>
    </row>
    <row r="3" spans="2:12" x14ac:dyDescent="0.3">
      <c r="C3" s="17"/>
      <c r="D3" s="17"/>
      <c r="E3" s="17"/>
      <c r="F3" s="17"/>
      <c r="G3" s="17"/>
      <c r="H3" s="17"/>
    </row>
    <row r="4" spans="2:12" ht="18.75" x14ac:dyDescent="0.3">
      <c r="B4" s="13" t="s">
        <v>111</v>
      </c>
      <c r="C4" s="17"/>
      <c r="D4" s="17"/>
      <c r="E4" s="17"/>
      <c r="F4" s="17"/>
      <c r="G4" s="17"/>
      <c r="H4" s="17"/>
    </row>
    <row r="5" spans="2:12" ht="17.25" thickBot="1" x14ac:dyDescent="0.35"/>
    <row r="6" spans="2:12" ht="29.25" customHeight="1" thickBot="1" x14ac:dyDescent="0.35">
      <c r="B6" s="193" t="s">
        <v>42</v>
      </c>
      <c r="C6" s="194"/>
      <c r="D6" s="194"/>
      <c r="E6" s="194"/>
      <c r="F6" s="194"/>
      <c r="G6" s="194"/>
      <c r="H6" s="195"/>
    </row>
    <row r="7" spans="2:12" ht="17.25" thickBot="1" x14ac:dyDescent="0.35"/>
    <row r="8" spans="2:12" ht="17.25" thickBot="1" x14ac:dyDescent="0.35">
      <c r="B8" s="62" t="s">
        <v>33</v>
      </c>
      <c r="C8" s="63" t="s">
        <v>23</v>
      </c>
      <c r="D8" s="63" t="s">
        <v>1</v>
      </c>
      <c r="E8" s="63" t="s">
        <v>2</v>
      </c>
      <c r="F8" s="63" t="s">
        <v>3</v>
      </c>
      <c r="G8" s="63" t="s">
        <v>4</v>
      </c>
      <c r="H8" s="63" t="s">
        <v>5</v>
      </c>
    </row>
    <row r="9" spans="2:12" ht="17.25" thickBot="1" x14ac:dyDescent="0.35">
      <c r="B9" s="147" t="s">
        <v>34</v>
      </c>
      <c r="C9" s="151">
        <f>SUM(C10:C12)</f>
        <v>612000</v>
      </c>
      <c r="D9" s="151">
        <f>+D10+D11</f>
        <v>3781368</v>
      </c>
      <c r="E9" s="151">
        <f t="shared" ref="E9:H9" si="0">+E10+E11</f>
        <v>5364150</v>
      </c>
      <c r="F9" s="151">
        <f t="shared" si="0"/>
        <v>7181570</v>
      </c>
      <c r="G9" s="151">
        <f t="shared" si="0"/>
        <v>9304471</v>
      </c>
      <c r="H9" s="151">
        <f t="shared" si="0"/>
        <v>11996465</v>
      </c>
      <c r="J9" s="8"/>
    </row>
    <row r="10" spans="2:12" ht="17.25" x14ac:dyDescent="0.3">
      <c r="B10" s="142" t="s">
        <v>35</v>
      </c>
      <c r="C10" s="64">
        <v>68000</v>
      </c>
      <c r="D10" s="64">
        <f>+D27+D28+D30</f>
        <v>3679368</v>
      </c>
      <c r="E10" s="64">
        <f t="shared" ref="E10:H10" si="1">+E27+E28+E30</f>
        <v>5228150</v>
      </c>
      <c r="F10" s="64">
        <f t="shared" si="1"/>
        <v>6963970</v>
      </c>
      <c r="G10" s="64">
        <f t="shared" si="1"/>
        <v>9046071</v>
      </c>
      <c r="H10" s="64">
        <f t="shared" si="1"/>
        <v>11707465</v>
      </c>
      <c r="K10" s="66"/>
      <c r="L10" s="66"/>
    </row>
    <row r="11" spans="2:12" ht="17.25" x14ac:dyDescent="0.3">
      <c r="B11" s="132" t="s">
        <v>108</v>
      </c>
      <c r="C11" s="68"/>
      <c r="D11" s="68">
        <f>+PyG!D39</f>
        <v>102000</v>
      </c>
      <c r="E11" s="68">
        <f>+PyG!E39</f>
        <v>136000</v>
      </c>
      <c r="F11" s="68">
        <f>+PyG!F39</f>
        <v>217600</v>
      </c>
      <c r="G11" s="68">
        <f>+PyG!G39</f>
        <v>258400</v>
      </c>
      <c r="H11" s="68">
        <f>+PyG!H39</f>
        <v>289000</v>
      </c>
      <c r="K11" s="66"/>
      <c r="L11" s="66"/>
    </row>
    <row r="12" spans="2:12" ht="18" thickBot="1" x14ac:dyDescent="0.35">
      <c r="B12" s="134" t="s">
        <v>92</v>
      </c>
      <c r="C12" s="65">
        <v>544000</v>
      </c>
      <c r="D12" s="65">
        <f>+PyG!D38</f>
        <v>680000</v>
      </c>
      <c r="E12" s="65">
        <f>+PyG!E38</f>
        <v>748000</v>
      </c>
      <c r="F12" s="65">
        <f>+PyG!F38</f>
        <v>816000</v>
      </c>
      <c r="G12" s="65">
        <f>+PyG!G38</f>
        <v>863600</v>
      </c>
      <c r="H12" s="65">
        <f>+PyG!H38</f>
        <v>897600</v>
      </c>
    </row>
    <row r="13" spans="2:12" ht="17.25" thickBot="1" x14ac:dyDescent="0.35">
      <c r="B13" s="152" t="s">
        <v>36</v>
      </c>
      <c r="C13" s="153">
        <f>+C14</f>
        <v>6548400</v>
      </c>
      <c r="D13" s="153">
        <f>+D14</f>
        <v>7432000</v>
      </c>
      <c r="E13" s="153">
        <f t="shared" ref="E13:H13" si="2">+E14</f>
        <v>7602000</v>
      </c>
      <c r="F13" s="153">
        <f t="shared" si="2"/>
        <v>8319400</v>
      </c>
      <c r="G13" s="153">
        <f t="shared" si="2"/>
        <v>8282000</v>
      </c>
      <c r="H13" s="153">
        <f t="shared" si="2"/>
        <v>8312600</v>
      </c>
      <c r="J13" s="8"/>
      <c r="L13" s="8"/>
    </row>
    <row r="14" spans="2:12" ht="17.25" x14ac:dyDescent="0.3">
      <c r="B14" s="69" t="s">
        <v>94</v>
      </c>
      <c r="C14" s="64">
        <v>6548400</v>
      </c>
      <c r="D14" s="64">
        <f>+D15+D17</f>
        <v>7432000</v>
      </c>
      <c r="E14" s="64">
        <f>+E15+E17+E16</f>
        <v>7602000</v>
      </c>
      <c r="F14" s="64">
        <f t="shared" ref="F14:H14" si="3">+F15+F17+F16</f>
        <v>8319400</v>
      </c>
      <c r="G14" s="64">
        <f t="shared" si="3"/>
        <v>8282000</v>
      </c>
      <c r="H14" s="64">
        <f t="shared" si="3"/>
        <v>8312600</v>
      </c>
      <c r="I14" s="8" t="s">
        <v>12</v>
      </c>
      <c r="J14" s="8"/>
    </row>
    <row r="15" spans="2:12" ht="17.25" x14ac:dyDescent="0.3">
      <c r="B15" s="67" t="s">
        <v>96</v>
      </c>
      <c r="C15" s="68">
        <v>6548000</v>
      </c>
      <c r="D15" s="68">
        <v>6548000</v>
      </c>
      <c r="E15" s="68">
        <v>6548000</v>
      </c>
      <c r="F15" s="68">
        <v>6548000</v>
      </c>
      <c r="G15" s="68">
        <v>6548000</v>
      </c>
      <c r="H15" s="68">
        <v>6548000</v>
      </c>
      <c r="I15" s="8"/>
    </row>
    <row r="16" spans="2:12" ht="17.25" x14ac:dyDescent="0.3">
      <c r="B16" s="67" t="s">
        <v>104</v>
      </c>
      <c r="C16" s="68"/>
      <c r="D16" s="68"/>
      <c r="E16" s="68">
        <f>+PyG!E35</f>
        <v>170000</v>
      </c>
      <c r="F16" s="68">
        <f>+PyG!F35</f>
        <v>105400</v>
      </c>
      <c r="G16" s="68">
        <f>+PyG!G35</f>
        <v>68000</v>
      </c>
      <c r="H16" s="68">
        <f>+PyG!H35</f>
        <v>98600</v>
      </c>
      <c r="I16" s="8"/>
    </row>
    <row r="17" spans="2:10" ht="17.25" x14ac:dyDescent="0.3">
      <c r="B17" s="67" t="s">
        <v>97</v>
      </c>
      <c r="C17" s="68"/>
      <c r="D17" s="68">
        <v>884000</v>
      </c>
      <c r="E17" s="68">
        <v>884000</v>
      </c>
      <c r="F17" s="68">
        <f>884000+782000</f>
        <v>1666000</v>
      </c>
      <c r="G17" s="68">
        <f t="shared" ref="G17:H17" si="4">884000+782000</f>
        <v>1666000</v>
      </c>
      <c r="H17" s="68">
        <f t="shared" si="4"/>
        <v>1666000</v>
      </c>
      <c r="I17" s="8"/>
    </row>
    <row r="18" spans="2:10" ht="17.25" x14ac:dyDescent="0.3">
      <c r="B18" s="67" t="s">
        <v>93</v>
      </c>
      <c r="C18" s="68">
        <v>0</v>
      </c>
      <c r="D18" s="68">
        <v>595000</v>
      </c>
      <c r="E18" s="68">
        <v>595000</v>
      </c>
      <c r="F18" s="68">
        <v>595000</v>
      </c>
      <c r="G18" s="68">
        <v>595000</v>
      </c>
      <c r="H18" s="68">
        <v>595000</v>
      </c>
      <c r="J18" s="8"/>
    </row>
    <row r="19" spans="2:10" ht="17.25" x14ac:dyDescent="0.3">
      <c r="B19" s="133" t="s">
        <v>103</v>
      </c>
      <c r="C19" s="68"/>
      <c r="D19" s="68"/>
      <c r="E19" s="68">
        <f>+D18+E18</f>
        <v>1190000</v>
      </c>
      <c r="F19" s="68">
        <f>+E19+F18</f>
        <v>1785000</v>
      </c>
      <c r="G19" s="68">
        <f>+F19+G18</f>
        <v>2380000</v>
      </c>
      <c r="H19" s="68">
        <f>+G19+H18</f>
        <v>2975000</v>
      </c>
      <c r="J19" s="8"/>
    </row>
    <row r="20" spans="2:10" x14ac:dyDescent="0.3">
      <c r="B20" s="69" t="s">
        <v>95</v>
      </c>
      <c r="C20" s="70"/>
      <c r="D20" s="70">
        <f>+D14-D18</f>
        <v>6837000</v>
      </c>
      <c r="E20" s="70">
        <f>+D20-E18</f>
        <v>6242000</v>
      </c>
      <c r="F20" s="70">
        <f t="shared" ref="F20:H20" si="5">+E20-F18</f>
        <v>5647000</v>
      </c>
      <c r="G20" s="70">
        <f t="shared" si="5"/>
        <v>5052000</v>
      </c>
      <c r="H20" s="70">
        <f t="shared" si="5"/>
        <v>4457000</v>
      </c>
      <c r="J20" s="8"/>
    </row>
    <row r="21" spans="2:10" ht="17.25" thickBot="1" x14ac:dyDescent="0.35">
      <c r="B21" s="71" t="s">
        <v>37</v>
      </c>
      <c r="C21" s="72">
        <f>C9+C13</f>
        <v>7160400</v>
      </c>
      <c r="D21" s="72">
        <f>+D9+D12+D13-D18</f>
        <v>11298368</v>
      </c>
      <c r="E21" s="72">
        <f>+E9+E12+E13-E18</f>
        <v>13119150</v>
      </c>
      <c r="F21" s="72">
        <f>+F9+F12+F13-F18</f>
        <v>15721970</v>
      </c>
      <c r="G21" s="72">
        <f>+G9+G12+G13-G18</f>
        <v>17855071</v>
      </c>
      <c r="H21" s="72">
        <f>+H9+H12+H13-H18</f>
        <v>20611665</v>
      </c>
    </row>
    <row r="22" spans="2:10" ht="17.25" thickBot="1" x14ac:dyDescent="0.35">
      <c r="B22" s="148" t="s">
        <v>84</v>
      </c>
      <c r="C22" s="149"/>
      <c r="D22" s="149">
        <f>+D23+D24</f>
        <v>8050922</v>
      </c>
      <c r="E22" s="149">
        <f>+E23+E24</f>
        <v>8482846</v>
      </c>
      <c r="F22" s="149">
        <f>+F23+F24</f>
        <v>8939151</v>
      </c>
      <c r="G22" s="149">
        <f>+G23+G24</f>
        <v>9421254</v>
      </c>
      <c r="H22" s="150">
        <f>+H23+H24</f>
        <v>9930655</v>
      </c>
    </row>
    <row r="23" spans="2:10" ht="17.25" x14ac:dyDescent="0.3">
      <c r="B23" s="143" t="s">
        <v>90</v>
      </c>
      <c r="C23" s="144">
        <v>0</v>
      </c>
      <c r="D23" s="145">
        <f>PyG!D54</f>
        <v>6346522</v>
      </c>
      <c r="E23" s="74">
        <f>PyG!E54</f>
        <v>6727314</v>
      </c>
      <c r="F23" s="74">
        <f>PyG!F54</f>
        <v>7130953</v>
      </c>
      <c r="G23" s="74">
        <f>PyG!G54</f>
        <v>7558810</v>
      </c>
      <c r="H23" s="146">
        <f>PyG!H54</f>
        <v>8012338</v>
      </c>
    </row>
    <row r="24" spans="2:10" ht="17.25" x14ac:dyDescent="0.3">
      <c r="B24" s="134" t="s">
        <v>91</v>
      </c>
      <c r="C24" s="73">
        <v>0</v>
      </c>
      <c r="D24" s="75">
        <v>1704400</v>
      </c>
      <c r="E24" s="135">
        <v>1755532</v>
      </c>
      <c r="F24" s="135">
        <v>1808198</v>
      </c>
      <c r="G24" s="135">
        <v>1862444</v>
      </c>
      <c r="H24" s="135">
        <v>1918317</v>
      </c>
    </row>
    <row r="25" spans="2:10" ht="17.25" thickBot="1" x14ac:dyDescent="0.35">
      <c r="B25" s="76" t="s">
        <v>88</v>
      </c>
      <c r="C25" s="77">
        <f>+C26</f>
        <v>7160400</v>
      </c>
      <c r="D25" s="77">
        <f>+D21-D22</f>
        <v>3247446</v>
      </c>
      <c r="E25" s="77">
        <f>+E21-E22</f>
        <v>4636304</v>
      </c>
      <c r="F25" s="77">
        <f>+F21-F22</f>
        <v>6782819</v>
      </c>
      <c r="G25" s="77">
        <f>+G21-G22</f>
        <v>8433817</v>
      </c>
      <c r="H25" s="77">
        <f>+H21-H22</f>
        <v>10681010</v>
      </c>
    </row>
    <row r="26" spans="2:10" s="79" customFormat="1" ht="18" thickBot="1" x14ac:dyDescent="0.35">
      <c r="B26" s="139" t="s">
        <v>38</v>
      </c>
      <c r="C26" s="78">
        <v>7160400</v>
      </c>
      <c r="D26" s="78">
        <v>7160400</v>
      </c>
      <c r="E26" s="78">
        <v>7160400</v>
      </c>
      <c r="F26" s="78">
        <v>7160400</v>
      </c>
      <c r="G26" s="78">
        <v>7160400</v>
      </c>
      <c r="H26" s="78">
        <v>7160400</v>
      </c>
    </row>
    <row r="27" spans="2:10" ht="17.25" x14ac:dyDescent="0.3">
      <c r="B27" s="140" t="s">
        <v>101</v>
      </c>
      <c r="C27" s="64">
        <v>0</v>
      </c>
      <c r="D27" s="64">
        <f>PyG!D64</f>
        <v>367936.8</v>
      </c>
      <c r="E27" s="64">
        <f>PyG!E64</f>
        <v>522815</v>
      </c>
      <c r="F27" s="64">
        <f>PyG!F64</f>
        <v>696397</v>
      </c>
      <c r="G27" s="64">
        <f>PyG!G64</f>
        <v>904607.10000000009</v>
      </c>
      <c r="H27" s="64">
        <f>PyG!H64</f>
        <v>1170746.5</v>
      </c>
      <c r="J27" s="8"/>
    </row>
    <row r="28" spans="2:10" ht="17.25" x14ac:dyDescent="0.3">
      <c r="B28" s="134" t="s">
        <v>102</v>
      </c>
      <c r="C28" s="68"/>
      <c r="D28" s="68">
        <f>+PyG!D65</f>
        <v>551905.19999999995</v>
      </c>
      <c r="E28" s="68">
        <f>+PyG!E65</f>
        <v>784222.5</v>
      </c>
      <c r="F28" s="68">
        <f>+PyG!F65</f>
        <v>1044595.5</v>
      </c>
      <c r="G28" s="68">
        <f>+PyG!G65</f>
        <v>1356910.6500000001</v>
      </c>
      <c r="H28" s="68">
        <f>+PyG!H65</f>
        <v>1756119.75</v>
      </c>
    </row>
    <row r="29" spans="2:10" ht="18" thickBot="1" x14ac:dyDescent="0.35">
      <c r="B29" s="141" t="s">
        <v>39</v>
      </c>
      <c r="C29" s="80">
        <v>0</v>
      </c>
      <c r="D29" s="82">
        <v>0</v>
      </c>
      <c r="E29" s="80">
        <f>D30</f>
        <v>2759526</v>
      </c>
      <c r="F29" s="80">
        <f>E29+E30</f>
        <v>6680638.5</v>
      </c>
      <c r="G29" s="80">
        <f>F29+F30</f>
        <v>11903616</v>
      </c>
      <c r="H29" s="80">
        <f>+G29+G30</f>
        <v>18688169.25</v>
      </c>
    </row>
    <row r="30" spans="2:10" s="79" customFormat="1" ht="18" thickBot="1" x14ac:dyDescent="0.35">
      <c r="B30" s="139" t="s">
        <v>40</v>
      </c>
      <c r="C30" s="78">
        <v>0</v>
      </c>
      <c r="D30" s="78">
        <f>PyG!D69</f>
        <v>2759526</v>
      </c>
      <c r="E30" s="78">
        <f>PyG!E69</f>
        <v>3921112.5</v>
      </c>
      <c r="F30" s="78">
        <f>PyG!F69</f>
        <v>5222977.5</v>
      </c>
      <c r="G30" s="78">
        <f>PyG!G69</f>
        <v>6784553.25</v>
      </c>
      <c r="H30" s="78">
        <f>PyG!H69</f>
        <v>8780598.75</v>
      </c>
    </row>
    <row r="31" spans="2:10" ht="17.25" thickBot="1" x14ac:dyDescent="0.35">
      <c r="B31" s="129" t="s">
        <v>89</v>
      </c>
      <c r="C31" s="137">
        <f>+C25</f>
        <v>7160400</v>
      </c>
      <c r="D31" s="137">
        <f>+D22+D25</f>
        <v>11298368</v>
      </c>
      <c r="E31" s="137">
        <f>+E22+E25</f>
        <v>13119150</v>
      </c>
      <c r="F31" s="137">
        <f>+F22+F25</f>
        <v>15721970</v>
      </c>
      <c r="G31" s="130">
        <f>+G22+G25</f>
        <v>17855071</v>
      </c>
      <c r="H31" s="137">
        <f>+H22+H25</f>
        <v>20611665</v>
      </c>
    </row>
    <row r="32" spans="2:10" ht="18" thickBot="1" x14ac:dyDescent="0.35">
      <c r="B32" s="136"/>
      <c r="C32" s="65"/>
      <c r="D32" s="65"/>
      <c r="E32" s="65"/>
      <c r="F32" s="65"/>
      <c r="G32" s="138"/>
      <c r="H32" s="65"/>
    </row>
    <row r="33" spans="2:11" ht="18" thickBot="1" x14ac:dyDescent="0.35">
      <c r="B33" s="84" t="s">
        <v>41</v>
      </c>
      <c r="C33" s="85">
        <f>SUM(C26:C30)</f>
        <v>7160400</v>
      </c>
      <c r="D33" s="85">
        <f>+D25</f>
        <v>3247446</v>
      </c>
      <c r="E33" s="85">
        <f>+E25</f>
        <v>4636304</v>
      </c>
      <c r="F33" s="85">
        <f>+F25</f>
        <v>6782819</v>
      </c>
      <c r="G33" s="85">
        <f>+G25</f>
        <v>8433817</v>
      </c>
      <c r="H33" s="85">
        <f>+H25</f>
        <v>10681010</v>
      </c>
    </row>
    <row r="35" spans="2:11" x14ac:dyDescent="0.3">
      <c r="D35" s="8"/>
    </row>
    <row r="36" spans="2:11" x14ac:dyDescent="0.3">
      <c r="C36" s="8">
        <f>C31-C21</f>
        <v>0</v>
      </c>
      <c r="D36" s="8">
        <f>+D21-D31</f>
        <v>0</v>
      </c>
      <c r="E36" s="8">
        <f>+E31-E21</f>
        <v>0</v>
      </c>
      <c r="F36" s="8">
        <f>+F31-F21</f>
        <v>0</v>
      </c>
      <c r="G36" s="8">
        <f>+G31-G21</f>
        <v>0</v>
      </c>
      <c r="H36" s="8">
        <f>+H31-H21</f>
        <v>0</v>
      </c>
      <c r="I36" s="8">
        <f>+I21-I25</f>
        <v>0</v>
      </c>
    </row>
    <row r="37" spans="2:11" x14ac:dyDescent="0.3">
      <c r="D37" s="17"/>
      <c r="E37" s="17">
        <f>+D36*2</f>
        <v>0</v>
      </c>
      <c r="F37" s="17"/>
      <c r="G37" s="17"/>
      <c r="H37" s="17"/>
    </row>
    <row r="38" spans="2:11" x14ac:dyDescent="0.3">
      <c r="D38" s="17"/>
      <c r="E38" s="17"/>
      <c r="F38" s="17"/>
      <c r="G38" s="17"/>
      <c r="H38" s="17"/>
    </row>
    <row r="40" spans="2:11" x14ac:dyDescent="0.3">
      <c r="B40" s="12"/>
      <c r="D40" s="9"/>
      <c r="E40" s="9"/>
      <c r="F40" s="9"/>
      <c r="G40" s="9"/>
      <c r="H40" s="9"/>
    </row>
    <row r="41" spans="2:11" x14ac:dyDescent="0.3">
      <c r="C41" s="8"/>
      <c r="D41" s="131"/>
      <c r="E41" s="12"/>
      <c r="F41" s="12"/>
      <c r="G41" s="12"/>
      <c r="H41" s="12"/>
    </row>
    <row r="42" spans="2:11" x14ac:dyDescent="0.3">
      <c r="D42" s="8"/>
      <c r="K42" s="12"/>
    </row>
    <row r="43" spans="2:11" x14ac:dyDescent="0.3">
      <c r="C43" s="8"/>
      <c r="D43" s="8"/>
    </row>
    <row r="44" spans="2:11" x14ac:dyDescent="0.3">
      <c r="C44" s="8" t="s">
        <v>12</v>
      </c>
    </row>
    <row r="45" spans="2:11" x14ac:dyDescent="0.3">
      <c r="C45" s="8" t="s">
        <v>12</v>
      </c>
    </row>
  </sheetData>
  <mergeCells count="1">
    <mergeCell ref="B6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6"/>
  <sheetViews>
    <sheetView zoomScale="90" zoomScaleNormal="90" workbookViewId="0">
      <selection activeCell="H18" sqref="H18"/>
    </sheetView>
  </sheetViews>
  <sheetFormatPr baseColWidth="10" defaultRowHeight="16.5" x14ac:dyDescent="0.3"/>
  <cols>
    <col min="1" max="1" width="11.42578125" style="1"/>
    <col min="2" max="2" width="32.7109375" style="1" bestFit="1" customWidth="1"/>
    <col min="3" max="3" width="17.7109375" style="1" bestFit="1" customWidth="1"/>
    <col min="4" max="4" width="16.7109375" style="1" bestFit="1" customWidth="1"/>
    <col min="5" max="5" width="15.42578125" style="1" bestFit="1" customWidth="1"/>
    <col min="6" max="6" width="18.28515625" style="1" customWidth="1"/>
    <col min="7" max="7" width="16.28515625" style="1" customWidth="1"/>
    <col min="8" max="8" width="15.85546875" style="1" bestFit="1" customWidth="1"/>
    <col min="9" max="9" width="6" style="1" customWidth="1"/>
    <col min="10" max="10" width="15.42578125" style="1" customWidth="1"/>
    <col min="11" max="13" width="13" style="1" bestFit="1" customWidth="1"/>
    <col min="14" max="16384" width="11.42578125" style="1"/>
  </cols>
  <sheetData>
    <row r="2" spans="2:14" ht="18.75" x14ac:dyDescent="0.3">
      <c r="B2" s="86" t="s">
        <v>49</v>
      </c>
    </row>
    <row r="3" spans="2:14" ht="17.25" thickBot="1" x14ac:dyDescent="0.35"/>
    <row r="4" spans="2:14" ht="18.75" thickBot="1" x14ac:dyDescent="0.35">
      <c r="B4" s="87"/>
      <c r="C4" s="88" t="s">
        <v>23</v>
      </c>
      <c r="D4" s="88" t="s">
        <v>1</v>
      </c>
      <c r="E4" s="88" t="s">
        <v>2</v>
      </c>
      <c r="F4" s="88" t="s">
        <v>3</v>
      </c>
      <c r="G4" s="88" t="s">
        <v>4</v>
      </c>
      <c r="H4" s="88" t="s">
        <v>5</v>
      </c>
    </row>
    <row r="5" spans="2:14" ht="18" thickBot="1" x14ac:dyDescent="0.35">
      <c r="B5" s="83"/>
      <c r="C5" s="89"/>
      <c r="D5" s="89"/>
      <c r="E5" s="89"/>
      <c r="F5" s="89"/>
      <c r="G5" s="89"/>
      <c r="H5" s="90"/>
      <c r="K5" s="1" t="s">
        <v>12</v>
      </c>
    </row>
    <row r="6" spans="2:14" ht="18" thickBot="1" x14ac:dyDescent="0.35">
      <c r="B6" s="81" t="s">
        <v>109</v>
      </c>
      <c r="C6" s="91"/>
      <c r="D6" s="92">
        <f>+PyG!D59</f>
        <v>3679368</v>
      </c>
      <c r="E6" s="92">
        <f>+PyG!E59</f>
        <v>5228150</v>
      </c>
      <c r="F6" s="92">
        <f>+PyG!F59</f>
        <v>6963970</v>
      </c>
      <c r="G6" s="92">
        <f>+PyG!G59</f>
        <v>9046071</v>
      </c>
      <c r="H6" s="92">
        <f>+PyG!H59</f>
        <v>11707465</v>
      </c>
      <c r="I6" s="93" t="s">
        <v>12</v>
      </c>
      <c r="J6" s="94"/>
    </row>
    <row r="7" spans="2:14" ht="18" thickBot="1" x14ac:dyDescent="0.35">
      <c r="B7" s="62" t="s">
        <v>44</v>
      </c>
      <c r="C7" s="87"/>
      <c r="D7" s="95">
        <v>0</v>
      </c>
      <c r="E7" s="95">
        <v>0</v>
      </c>
      <c r="F7" s="95">
        <v>0</v>
      </c>
      <c r="G7" s="95">
        <v>0</v>
      </c>
      <c r="H7" s="95">
        <v>0</v>
      </c>
      <c r="N7" s="96" t="s">
        <v>12</v>
      </c>
    </row>
    <row r="8" spans="2:14" ht="18" thickBot="1" x14ac:dyDescent="0.35">
      <c r="B8" s="81" t="s">
        <v>85</v>
      </c>
      <c r="C8" s="91"/>
      <c r="D8" s="97">
        <f>+'ESTADO DE SITUACION FINANCIERA'!D18</f>
        <v>595000</v>
      </c>
      <c r="E8" s="97">
        <f>+'ESTADO DE SITUACION FINANCIERA'!E18</f>
        <v>595000</v>
      </c>
      <c r="F8" s="97">
        <f>+'ESTADO DE SITUACION FINANCIERA'!F18</f>
        <v>595000</v>
      </c>
      <c r="G8" s="97">
        <f>+'ESTADO DE SITUACION FINANCIERA'!G18</f>
        <v>595000</v>
      </c>
      <c r="H8" s="97">
        <f>+'ESTADO DE SITUACION FINANCIERA'!H18</f>
        <v>595000</v>
      </c>
      <c r="I8" s="98" t="s">
        <v>12</v>
      </c>
      <c r="J8" s="99"/>
      <c r="M8" s="98" t="s">
        <v>12</v>
      </c>
      <c r="N8" s="98" t="s">
        <v>12</v>
      </c>
    </row>
    <row r="9" spans="2:14" ht="18" thickBot="1" x14ac:dyDescent="0.35">
      <c r="B9" s="62" t="s">
        <v>15</v>
      </c>
      <c r="C9" s="100">
        <v>-7160400</v>
      </c>
      <c r="D9" s="87"/>
      <c r="E9" s="87"/>
      <c r="F9" s="87"/>
      <c r="G9" s="87"/>
      <c r="H9" s="101"/>
    </row>
    <row r="10" spans="2:14" ht="17.25" thickBot="1" x14ac:dyDescent="0.35">
      <c r="B10" s="81" t="s">
        <v>46</v>
      </c>
      <c r="C10" s="102" t="s">
        <v>45</v>
      </c>
      <c r="D10" s="103">
        <f>+D6-D8</f>
        <v>3084368</v>
      </c>
      <c r="E10" s="103">
        <f t="shared" ref="E10:H10" si="0">+E6-E8</f>
        <v>4633150</v>
      </c>
      <c r="F10" s="103">
        <f t="shared" si="0"/>
        <v>6368970</v>
      </c>
      <c r="G10" s="103">
        <f t="shared" si="0"/>
        <v>8451071</v>
      </c>
      <c r="H10" s="103">
        <f t="shared" si="0"/>
        <v>11112465</v>
      </c>
      <c r="J10" s="104"/>
      <c r="K10" s="102" t="s">
        <v>12</v>
      </c>
      <c r="L10" s="102" t="s">
        <v>12</v>
      </c>
      <c r="M10" s="102" t="s">
        <v>12</v>
      </c>
      <c r="N10" s="102" t="s">
        <v>12</v>
      </c>
    </row>
    <row r="11" spans="2:14" ht="17.25" thickBot="1" x14ac:dyDescent="0.35">
      <c r="B11" s="105"/>
      <c r="C11" s="87"/>
      <c r="D11" s="87"/>
      <c r="E11" s="87"/>
      <c r="F11" s="87"/>
      <c r="G11" s="87"/>
      <c r="H11" s="87"/>
    </row>
    <row r="12" spans="2:14" ht="17.25" thickBot="1" x14ac:dyDescent="0.35">
      <c r="B12" s="81" t="s">
        <v>47</v>
      </c>
      <c r="C12" s="106">
        <f>+D30</f>
        <v>22388242.875919793</v>
      </c>
      <c r="D12" s="91"/>
      <c r="E12" s="91"/>
      <c r="F12" s="91"/>
      <c r="G12" s="91"/>
      <c r="H12" s="91"/>
    </row>
    <row r="13" spans="2:14" ht="17.25" thickBot="1" x14ac:dyDescent="0.35">
      <c r="B13" s="87"/>
      <c r="C13" s="87"/>
      <c r="D13" s="87"/>
      <c r="E13" s="87"/>
      <c r="F13" s="87"/>
      <c r="G13" s="87"/>
      <c r="H13" s="87"/>
    </row>
    <row r="14" spans="2:14" ht="17.25" thickBot="1" x14ac:dyDescent="0.35">
      <c r="B14" s="83" t="s">
        <v>48</v>
      </c>
      <c r="C14" s="117">
        <f>+D31</f>
        <v>0.71290066099183802</v>
      </c>
      <c r="D14" s="89"/>
      <c r="E14" s="89"/>
      <c r="F14" s="89"/>
      <c r="G14" s="89"/>
      <c r="H14" s="89"/>
    </row>
    <row r="18" spans="1:8" ht="17.25" thickBot="1" x14ac:dyDescent="0.35">
      <c r="A18" s="1" t="s">
        <v>12</v>
      </c>
      <c r="B18" s="1" t="s">
        <v>12</v>
      </c>
      <c r="C18" s="1" t="s">
        <v>12</v>
      </c>
      <c r="D18" s="107" t="s">
        <v>12</v>
      </c>
      <c r="E18" s="107" t="s">
        <v>12</v>
      </c>
      <c r="F18" s="107" t="s">
        <v>12</v>
      </c>
      <c r="G18" s="107" t="s">
        <v>12</v>
      </c>
      <c r="H18" s="107" t="s">
        <v>12</v>
      </c>
    </row>
    <row r="19" spans="1:8" ht="17.25" thickBot="1" x14ac:dyDescent="0.35">
      <c r="B19" s="1" t="s">
        <v>12</v>
      </c>
      <c r="C19" s="157" t="s">
        <v>61</v>
      </c>
      <c r="D19" s="157"/>
      <c r="E19" s="157"/>
      <c r="F19" s="157"/>
    </row>
    <row r="20" spans="1:8" ht="17.25" thickBot="1" x14ac:dyDescent="0.35">
      <c r="C20" s="157"/>
      <c r="D20" s="157"/>
      <c r="E20" s="157"/>
      <c r="F20" s="157"/>
    </row>
    <row r="21" spans="1:8" ht="17.25" thickBot="1" x14ac:dyDescent="0.35">
      <c r="C21" s="158" t="s">
        <v>58</v>
      </c>
      <c r="D21" s="159">
        <f>C9</f>
        <v>-7160400</v>
      </c>
      <c r="E21" s="157" t="s">
        <v>59</v>
      </c>
      <c r="F21" s="157"/>
    </row>
    <row r="22" spans="1:8" ht="17.25" thickBot="1" x14ac:dyDescent="0.35">
      <c r="C22" s="158" t="s">
        <v>50</v>
      </c>
      <c r="D22" s="160">
        <f>D6</f>
        <v>3679368</v>
      </c>
      <c r="E22" s="157"/>
      <c r="F22" s="157"/>
    </row>
    <row r="23" spans="1:8" ht="17.25" thickBot="1" x14ac:dyDescent="0.35">
      <c r="C23" s="158" t="s">
        <v>51</v>
      </c>
      <c r="D23" s="160">
        <f>E6</f>
        <v>5228150</v>
      </c>
      <c r="E23" s="157"/>
      <c r="F23" s="157"/>
    </row>
    <row r="24" spans="1:8" ht="17.25" thickBot="1" x14ac:dyDescent="0.35">
      <c r="C24" s="158" t="s">
        <v>52</v>
      </c>
      <c r="D24" s="160">
        <f>F6</f>
        <v>6963970</v>
      </c>
      <c r="E24" s="157"/>
      <c r="F24" s="157"/>
    </row>
    <row r="25" spans="1:8" ht="17.25" thickBot="1" x14ac:dyDescent="0.35">
      <c r="C25" s="158" t="s">
        <v>53</v>
      </c>
      <c r="D25" s="160">
        <f>G6</f>
        <v>9046071</v>
      </c>
      <c r="E25" s="157"/>
      <c r="F25" s="157"/>
    </row>
    <row r="26" spans="1:8" ht="17.25" thickBot="1" x14ac:dyDescent="0.35">
      <c r="C26" s="158" t="s">
        <v>54</v>
      </c>
      <c r="D26" s="160">
        <f>H6</f>
        <v>11707465</v>
      </c>
      <c r="E26" s="157"/>
      <c r="F26" s="157"/>
    </row>
    <row r="27" spans="1:8" ht="17.25" thickBot="1" x14ac:dyDescent="0.35">
      <c r="C27" s="157"/>
      <c r="D27" s="157"/>
      <c r="E27" s="157"/>
      <c r="F27" s="157"/>
    </row>
    <row r="28" spans="1:8" ht="17.25" thickBot="1" x14ac:dyDescent="0.35">
      <c r="C28" s="158" t="s">
        <v>55</v>
      </c>
      <c r="D28" s="157">
        <v>5</v>
      </c>
      <c r="E28" s="157" t="s">
        <v>56</v>
      </c>
      <c r="F28" s="157"/>
    </row>
    <row r="29" spans="1:8" ht="17.25" thickBot="1" x14ac:dyDescent="0.35">
      <c r="C29" s="158" t="s">
        <v>57</v>
      </c>
      <c r="D29" s="161">
        <f>6.35/100</f>
        <v>6.3500000000000001E-2</v>
      </c>
      <c r="E29" s="157" t="s">
        <v>60</v>
      </c>
      <c r="F29" s="157"/>
    </row>
    <row r="30" spans="1:8" ht="17.25" thickBot="1" x14ac:dyDescent="0.35">
      <c r="C30" s="158" t="s">
        <v>47</v>
      </c>
      <c r="D30" s="162">
        <f>+NPV(D29,D22:D26)-7160400</f>
        <v>22388242.875919793</v>
      </c>
      <c r="E30" s="157"/>
      <c r="F30" s="157"/>
    </row>
    <row r="31" spans="1:8" ht="17.25" thickBot="1" x14ac:dyDescent="0.35">
      <c r="C31" s="158" t="s">
        <v>48</v>
      </c>
      <c r="D31" s="163">
        <f>+IRR(D21:D26)</f>
        <v>0.71290066099183802</v>
      </c>
      <c r="E31" s="157"/>
      <c r="F31" s="157"/>
    </row>
    <row r="33" spans="7:9" x14ac:dyDescent="0.3">
      <c r="G33" s="154"/>
      <c r="H33" s="155"/>
      <c r="I33" s="108"/>
    </row>
    <row r="35" spans="7:9" x14ac:dyDescent="0.3">
      <c r="G35" s="109"/>
      <c r="H35" s="110"/>
      <c r="I35" s="79"/>
    </row>
    <row r="36" spans="7:9" x14ac:dyDescent="0.3">
      <c r="G36" s="12"/>
      <c r="H36" s="156"/>
      <c r="I36" s="7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7"/>
  <sheetViews>
    <sheetView zoomScale="90" zoomScaleNormal="90" workbookViewId="0">
      <selection activeCell="M6" sqref="M6"/>
    </sheetView>
  </sheetViews>
  <sheetFormatPr baseColWidth="10" defaultRowHeight="16.5" x14ac:dyDescent="0.3"/>
  <cols>
    <col min="1" max="1" width="11.42578125" style="1"/>
    <col min="2" max="2" width="15.28515625" style="1" bestFit="1" customWidth="1"/>
    <col min="3" max="7" width="11.5703125" style="1" bestFit="1" customWidth="1"/>
    <col min="8" max="8" width="11.42578125" style="1"/>
    <col min="9" max="9" width="4.28515625" style="1" customWidth="1"/>
    <col min="10" max="10" width="13.42578125" style="1" bestFit="1" customWidth="1"/>
    <col min="11" max="11" width="14.28515625" style="1" bestFit="1" customWidth="1"/>
    <col min="12" max="13" width="14.140625" style="1" customWidth="1"/>
    <col min="14" max="15" width="11.5703125" style="1" bestFit="1" customWidth="1"/>
    <col min="16" max="16384" width="11.42578125" style="1"/>
  </cols>
  <sheetData>
    <row r="2" spans="2:15" ht="18.75" x14ac:dyDescent="0.3">
      <c r="B2" s="86" t="s">
        <v>76</v>
      </c>
    </row>
    <row r="3" spans="2:15" ht="17.25" thickBot="1" x14ac:dyDescent="0.35"/>
    <row r="4" spans="2:15" ht="17.25" thickBot="1" x14ac:dyDescent="0.35">
      <c r="B4" s="63" t="s">
        <v>62</v>
      </c>
      <c r="C4" s="63" t="s">
        <v>63</v>
      </c>
      <c r="D4" s="63" t="s">
        <v>64</v>
      </c>
      <c r="E4" s="63" t="s">
        <v>65</v>
      </c>
      <c r="F4" s="63" t="s">
        <v>66</v>
      </c>
      <c r="G4" s="63" t="s">
        <v>67</v>
      </c>
    </row>
    <row r="5" spans="2:15" ht="75.75" thickBot="1" x14ac:dyDescent="0.35">
      <c r="B5" s="111" t="s">
        <v>68</v>
      </c>
      <c r="C5" s="112">
        <f>O12</f>
        <v>26.117994032412469</v>
      </c>
      <c r="D5" s="112">
        <f>O13</f>
        <v>28.617204773175093</v>
      </c>
      <c r="E5" s="112">
        <f>O14</f>
        <v>28.309336425397071</v>
      </c>
      <c r="F5" s="112">
        <f>O15</f>
        <v>29.807025858368192</v>
      </c>
      <c r="G5" s="112">
        <f>O16</f>
        <v>30.840215091793894</v>
      </c>
    </row>
    <row r="6" spans="2:15" ht="60.75" thickBot="1" x14ac:dyDescent="0.35">
      <c r="B6" s="113" t="s">
        <v>69</v>
      </c>
      <c r="C6" s="114">
        <f>N12</f>
        <v>113.30035972884538</v>
      </c>
      <c r="D6" s="114">
        <f>N13</f>
        <v>160.99266931613337</v>
      </c>
      <c r="E6" s="114">
        <f>N14</f>
        <v>150.20520656108832</v>
      </c>
      <c r="F6" s="114">
        <f>N15</f>
        <v>133.36742437030975</v>
      </c>
      <c r="G6" s="114">
        <f>N16</f>
        <v>138.81573432290503</v>
      </c>
    </row>
    <row r="7" spans="2:15" ht="45.75" thickBot="1" x14ac:dyDescent="0.35">
      <c r="B7" s="115" t="s">
        <v>70</v>
      </c>
      <c r="C7" s="116" t="s">
        <v>71</v>
      </c>
      <c r="D7" s="116" t="s">
        <v>72</v>
      </c>
      <c r="E7" s="116" t="s">
        <v>73</v>
      </c>
      <c r="F7" s="116" t="s">
        <v>74</v>
      </c>
      <c r="G7" s="116" t="s">
        <v>75</v>
      </c>
    </row>
    <row r="9" spans="2:15" ht="17.25" thickBot="1" x14ac:dyDescent="0.35">
      <c r="I9" s="164"/>
      <c r="J9" s="164"/>
      <c r="K9" s="164"/>
      <c r="L9" s="164"/>
      <c r="M9" s="164"/>
      <c r="N9" s="164"/>
      <c r="O9" s="164"/>
    </row>
    <row r="10" spans="2:15" ht="46.5" customHeight="1" thickBot="1" x14ac:dyDescent="0.35">
      <c r="B10" s="196" t="s">
        <v>80</v>
      </c>
      <c r="C10" s="196"/>
      <c r="D10" s="196"/>
      <c r="E10" s="196"/>
      <c r="I10" s="197" t="s">
        <v>61</v>
      </c>
      <c r="J10" s="197"/>
      <c r="K10" s="175" t="s">
        <v>77</v>
      </c>
      <c r="L10" s="176" t="s">
        <v>82</v>
      </c>
      <c r="M10" s="176" t="s">
        <v>83</v>
      </c>
      <c r="N10" s="165" t="s">
        <v>78</v>
      </c>
      <c r="O10" s="176" t="s">
        <v>79</v>
      </c>
    </row>
    <row r="11" spans="2:15" ht="17.25" thickBot="1" x14ac:dyDescent="0.35">
      <c r="I11" s="166"/>
      <c r="J11" s="166"/>
      <c r="K11" s="169"/>
      <c r="L11" s="169"/>
      <c r="M11" s="169"/>
      <c r="O11" s="169"/>
    </row>
    <row r="12" spans="2:15" ht="17.25" thickBot="1" x14ac:dyDescent="0.35">
      <c r="I12" s="167" t="s">
        <v>50</v>
      </c>
      <c r="J12" s="4">
        <f>PyG!D62</f>
        <v>3679368</v>
      </c>
      <c r="K12" s="171">
        <f>'ESTADO DE SITUACION FINANCIERA'!D33</f>
        <v>3247446</v>
      </c>
      <c r="L12" s="170">
        <v>2950907.08</v>
      </c>
      <c r="M12" s="170">
        <f>'ESTADO DE SITUACION FINANCIERA'!D21</f>
        <v>11298368</v>
      </c>
      <c r="N12" s="173">
        <f>(J12/K12)*100</f>
        <v>113.30035972884538</v>
      </c>
      <c r="O12" s="172">
        <f>(L12/M12)*100</f>
        <v>26.117994032412469</v>
      </c>
    </row>
    <row r="13" spans="2:15" ht="15.75" customHeight="1" thickBot="1" x14ac:dyDescent="0.35">
      <c r="B13" s="198" t="s">
        <v>81</v>
      </c>
      <c r="C13" s="198"/>
      <c r="D13" s="198"/>
      <c r="E13" s="198"/>
      <c r="F13" s="198"/>
      <c r="G13" s="198"/>
      <c r="I13" s="167" t="s">
        <v>51</v>
      </c>
      <c r="J13" s="170">
        <f>PyG!E62</f>
        <v>5228150</v>
      </c>
      <c r="K13" s="170">
        <f>'ESTADO DE SITUACION FINANCIERA'!E33</f>
        <v>4636304</v>
      </c>
      <c r="L13" s="17">
        <v>3754334.02</v>
      </c>
      <c r="M13" s="171">
        <f>'ESTADO DE SITUACION FINANCIERA'!E21</f>
        <v>13119150</v>
      </c>
      <c r="N13" s="173">
        <f>(J13/K12)*100</f>
        <v>160.99266931613337</v>
      </c>
      <c r="O13" s="172">
        <f t="shared" ref="O13:O16" si="0">(L13/M13)*100</f>
        <v>28.617204773175093</v>
      </c>
    </row>
    <row r="14" spans="2:15" ht="15" customHeight="1" thickBot="1" x14ac:dyDescent="0.35">
      <c r="B14" s="198"/>
      <c r="C14" s="198"/>
      <c r="D14" s="198"/>
      <c r="E14" s="198"/>
      <c r="F14" s="198"/>
      <c r="G14" s="198"/>
      <c r="I14" s="168" t="s">
        <v>52</v>
      </c>
      <c r="J14" s="170">
        <f>PyG!F62</f>
        <v>6963970</v>
      </c>
      <c r="K14" s="170">
        <f>'ESTADO DE SITUACION FINANCIERA'!F33</f>
        <v>6782819</v>
      </c>
      <c r="L14" s="170">
        <v>4450785.38</v>
      </c>
      <c r="M14" s="170">
        <f>'ESTADO DE SITUACION FINANCIERA'!F21</f>
        <v>15721970</v>
      </c>
      <c r="N14" s="174">
        <f>(J14/K13)*100</f>
        <v>150.20520656108832</v>
      </c>
      <c r="O14" s="173">
        <f t="shared" si="0"/>
        <v>28.309336425397071</v>
      </c>
    </row>
    <row r="15" spans="2:15" ht="17.25" thickBot="1" x14ac:dyDescent="0.35">
      <c r="I15" s="167" t="s">
        <v>53</v>
      </c>
      <c r="J15" s="170">
        <f>PyG!G62</f>
        <v>9046071</v>
      </c>
      <c r="K15" s="170">
        <f>'ESTADO DE SITUACION FINANCIERA'!G33</f>
        <v>8433817</v>
      </c>
      <c r="L15" s="170">
        <v>5322065.63</v>
      </c>
      <c r="M15" s="4">
        <f>'ESTADO DE SITUACION FINANCIERA'!G21</f>
        <v>17855071</v>
      </c>
      <c r="N15" s="172">
        <f>(J15/K14)*100</f>
        <v>133.36742437030975</v>
      </c>
      <c r="O15" s="174">
        <f t="shared" si="0"/>
        <v>29.807025858368192</v>
      </c>
    </row>
    <row r="16" spans="2:15" ht="17.25" thickBot="1" x14ac:dyDescent="0.35">
      <c r="I16" s="168" t="s">
        <v>54</v>
      </c>
      <c r="J16" s="170">
        <f>PyG!H62</f>
        <v>11707465</v>
      </c>
      <c r="K16" s="170">
        <f>'ESTADO DE SITUACION FINANCIERA'!H33</f>
        <v>10681010</v>
      </c>
      <c r="L16" s="170">
        <v>6356681.8200000003</v>
      </c>
      <c r="M16" s="171">
        <f>'ESTADO DE SITUACION FINANCIERA'!H21</f>
        <v>20611665</v>
      </c>
      <c r="N16" s="172">
        <f>(J16/K15)*100</f>
        <v>138.81573432290503</v>
      </c>
      <c r="O16" s="173">
        <f t="shared" si="0"/>
        <v>30.840215091793894</v>
      </c>
    </row>
    <row r="17" spans="9:14" x14ac:dyDescent="0.3">
      <c r="I17" s="169"/>
      <c r="M17" s="169"/>
      <c r="N17" s="169"/>
    </row>
  </sheetData>
  <mergeCells count="3">
    <mergeCell ref="B10:E10"/>
    <mergeCell ref="I10:J10"/>
    <mergeCell ref="B13:G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PyG</vt:lpstr>
      <vt:lpstr>ESTADO DE SITUACION FINANCIERA</vt:lpstr>
      <vt:lpstr>VAN-TIR</vt:lpstr>
      <vt:lpstr>ROI-ROE-ICI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ASTRID GOMEZ PINEDA</cp:lastModifiedBy>
  <dcterms:created xsi:type="dcterms:W3CDTF">2020-06-09T15:30:44Z</dcterms:created>
  <dcterms:modified xsi:type="dcterms:W3CDTF">2021-05-13T14:37:48Z</dcterms:modified>
</cp:coreProperties>
</file>