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Uniminuto\2024-I-II-III\Proyectos Dirigidos\3. Revisión de Proyectos\Anny\"/>
    </mc:Choice>
  </mc:AlternateContent>
  <xr:revisionPtr revIDLastSave="0" documentId="8_{894DCD9E-AAF2-48ED-869E-E7F6F7F30DCF}" xr6:coauthVersionLast="47" xr6:coauthVersionMax="47" xr10:uidLastSave="{00000000-0000-0000-0000-000000000000}"/>
  <bookViews>
    <workbookView xWindow="-120" yWindow="-120" windowWidth="24240" windowHeight="13140" firstSheet="19" activeTab="23" xr2:uid="{D0E75665-5E64-43DA-B671-168F65E650A7}"/>
  </bookViews>
  <sheets>
    <sheet name="SISTEMA DE COSTEO" sheetId="11" r:id="rId1"/>
    <sheet name="MATERIA PRIMA" sheetId="1" r:id="rId2"/>
    <sheet name="MANO OBRA P." sheetId="5" r:id="rId3"/>
    <sheet name="CIF" sheetId="6" r:id="rId4"/>
    <sheet name="1. AZUL OSCURO" sheetId="12" r:id="rId5"/>
    <sheet name="2. NEGRO" sheetId="13" r:id="rId6"/>
    <sheet name="3. KAKY " sheetId="14" r:id="rId7"/>
    <sheet name="4. VERDE MILITAR" sheetId="15" r:id="rId8"/>
    <sheet name="5. AZUL BB" sheetId="16" r:id="rId9"/>
    <sheet name="6. GRIS CLARO" sheetId="17" r:id="rId10"/>
    <sheet name="7. ARENA" sheetId="18" r:id="rId11"/>
    <sheet name="8. CAPUCCINO " sheetId="19" r:id="rId12"/>
    <sheet name="9. BLANCO" sheetId="20" r:id="rId13"/>
    <sheet name="10. ROJO" sheetId="21" r:id="rId14"/>
    <sheet name="O.TEÑIDO AZUL" sheetId="22" r:id="rId15"/>
    <sheet name="O.TEÑIDO NEGRO" sheetId="26" r:id="rId16"/>
    <sheet name="O.TEÑIDO KAKI" sheetId="27" r:id="rId17"/>
    <sheet name="O.TEÑIDO VERDE MILITAR" sheetId="28" r:id="rId18"/>
    <sheet name="O.TEÑIDO AZUL BB" sheetId="29" r:id="rId19"/>
    <sheet name="O.TEÑIDO GRIS CLARO" sheetId="30" r:id="rId20"/>
    <sheet name="O.TEÑIDO ARENA" sheetId="31" r:id="rId21"/>
    <sheet name="O.TEÑIDO CAPUCCINO" sheetId="32" r:id="rId22"/>
    <sheet name="O.TEÑIDO BLANCO" sheetId="34" r:id="rId23"/>
    <sheet name="O.TEÑIDO ROJO" sheetId="36" r:id="rId24"/>
    <sheet name="FABRICACION SEMENSTRAL" sheetId="8" r:id="rId25"/>
    <sheet name="P,P Y EQUIPO" sheetId="9" r:id="rId26"/>
  </sheets>
  <definedNames>
    <definedName name="_xlnm.Print_Area" localSheetId="20">'O.TEÑIDO ARENA'!$A$1:$K$70</definedName>
    <definedName name="_xlnm.Print_Area" localSheetId="14">'O.TEÑIDO AZUL'!$A$1:$K$68</definedName>
    <definedName name="_xlnm.Print_Area" localSheetId="18">'O.TEÑIDO AZUL BB'!$A$1:$K$73</definedName>
    <definedName name="_xlnm.Print_Area" localSheetId="22">'O.TEÑIDO BLANCO'!$A$1:$K$62</definedName>
    <definedName name="_xlnm.Print_Area" localSheetId="21">'O.TEÑIDO CAPUCCINO'!$A$1:$K$71</definedName>
    <definedName name="_xlnm.Print_Area" localSheetId="19">'O.TEÑIDO GRIS CLARO'!$A$1:$K$70</definedName>
    <definedName name="_xlnm.Print_Area" localSheetId="16">'O.TEÑIDO KAKI'!$A$1:$K$71</definedName>
    <definedName name="_xlnm.Print_Area" localSheetId="15">'O.TEÑIDO NEGRO'!$A$1:$K$70</definedName>
    <definedName name="_xlnm.Print_Area" localSheetId="23">'O.TEÑIDO ROJO'!$A$1:$K$77</definedName>
    <definedName name="_xlnm.Print_Area" localSheetId="17">'O.TEÑIDO VERDE MILITAR'!$A$1:$K$68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22" l="1"/>
  <c r="E17" i="6"/>
  <c r="F17" i="6" s="1"/>
  <c r="G17" i="6" s="1"/>
  <c r="F13" i="6"/>
  <c r="G13" i="6" s="1"/>
  <c r="C8" i="8"/>
  <c r="D63" i="36"/>
  <c r="D58" i="34"/>
  <c r="E48" i="34"/>
  <c r="I19" i="34"/>
  <c r="D65" i="32"/>
  <c r="D65" i="31"/>
  <c r="D65" i="30"/>
  <c r="F19" i="29"/>
  <c r="D67" i="29"/>
  <c r="E45" i="29"/>
  <c r="E44" i="29"/>
  <c r="E43" i="29"/>
  <c r="E42" i="29"/>
  <c r="I28" i="29"/>
  <c r="E57" i="29" s="1"/>
  <c r="D65" i="28"/>
  <c r="D65" i="27"/>
  <c r="E43" i="27"/>
  <c r="E42" i="27"/>
  <c r="E41" i="27"/>
  <c r="E40" i="27"/>
  <c r="D63" i="26"/>
  <c r="D63" i="22"/>
  <c r="E41" i="26"/>
  <c r="E40" i="26"/>
  <c r="E39" i="26"/>
  <c r="E38" i="26"/>
  <c r="E41" i="22"/>
  <c r="E40" i="22"/>
  <c r="E39" i="22"/>
  <c r="E38" i="22"/>
  <c r="F11" i="36"/>
  <c r="F19" i="36" s="1"/>
  <c r="E41" i="36"/>
  <c r="E40" i="36"/>
  <c r="E39" i="36"/>
  <c r="E38" i="36"/>
  <c r="I24" i="36"/>
  <c r="E53" i="36" s="1"/>
  <c r="F15" i="36"/>
  <c r="F16" i="34"/>
  <c r="F15" i="34"/>
  <c r="E36" i="34"/>
  <c r="E35" i="34"/>
  <c r="E34" i="34"/>
  <c r="E33" i="34"/>
  <c r="F11" i="34"/>
  <c r="E43" i="32"/>
  <c r="E42" i="32"/>
  <c r="E41" i="32"/>
  <c r="E40" i="32"/>
  <c r="I26" i="32"/>
  <c r="E55" i="32" s="1"/>
  <c r="F17" i="32"/>
  <c r="F16" i="32"/>
  <c r="F15" i="32"/>
  <c r="F11" i="32"/>
  <c r="F21" i="32" s="1"/>
  <c r="E43" i="31"/>
  <c r="E42" i="31"/>
  <c r="E41" i="31"/>
  <c r="E40" i="31"/>
  <c r="I26" i="31"/>
  <c r="E55" i="31" s="1"/>
  <c r="F17" i="31"/>
  <c r="F16" i="31"/>
  <c r="F15" i="31"/>
  <c r="F11" i="31"/>
  <c r="F25" i="31" s="1"/>
  <c r="E43" i="30"/>
  <c r="E42" i="30"/>
  <c r="E41" i="30"/>
  <c r="E40" i="30"/>
  <c r="I26" i="30"/>
  <c r="E55" i="30" s="1"/>
  <c r="F17" i="30"/>
  <c r="F16" i="30"/>
  <c r="F15" i="30"/>
  <c r="F11" i="30"/>
  <c r="F23" i="30" s="1"/>
  <c r="F15" i="29"/>
  <c r="F15" i="28"/>
  <c r="E43" i="28"/>
  <c r="E42" i="28"/>
  <c r="E41" i="28"/>
  <c r="E40" i="28"/>
  <c r="I26" i="28"/>
  <c r="E55" i="28" s="1"/>
  <c r="F17" i="28"/>
  <c r="F16" i="28"/>
  <c r="F11" i="28"/>
  <c r="F17" i="27"/>
  <c r="F16" i="27"/>
  <c r="F15" i="27"/>
  <c r="I26" i="27"/>
  <c r="E55" i="27" s="1"/>
  <c r="F11" i="27"/>
  <c r="F25" i="27" s="1"/>
  <c r="F15" i="26"/>
  <c r="I24" i="26"/>
  <c r="E53" i="26" s="1"/>
  <c r="F11" i="26"/>
  <c r="F13" i="26" s="1"/>
  <c r="E25" i="6"/>
  <c r="G25" i="6" s="1"/>
  <c r="B93" i="5"/>
  <c r="C93" i="5"/>
  <c r="E93" i="5"/>
  <c r="C100" i="5"/>
  <c r="D100" i="5"/>
  <c r="C101" i="5"/>
  <c r="D101" i="5" s="1"/>
  <c r="D102" i="5"/>
  <c r="D103" i="5"/>
  <c r="C109" i="5"/>
  <c r="I24" i="22"/>
  <c r="F15" i="22"/>
  <c r="F11" i="22"/>
  <c r="F22" i="22" s="1"/>
  <c r="G14" i="21"/>
  <c r="G10" i="21"/>
  <c r="G22" i="21" s="1"/>
  <c r="G15" i="20"/>
  <c r="G14" i="20"/>
  <c r="G16" i="19"/>
  <c r="G15" i="19"/>
  <c r="G14" i="19"/>
  <c r="G16" i="18"/>
  <c r="G15" i="18"/>
  <c r="G14" i="18"/>
  <c r="G10" i="18"/>
  <c r="G17" i="18" s="1"/>
  <c r="G16" i="17"/>
  <c r="G15" i="17"/>
  <c r="G14" i="17"/>
  <c r="G14" i="16"/>
  <c r="G16" i="15"/>
  <c r="G15" i="15"/>
  <c r="G14" i="15"/>
  <c r="G14" i="14"/>
  <c r="G16" i="14"/>
  <c r="G15" i="14"/>
  <c r="G14" i="13"/>
  <c r="G16" i="12"/>
  <c r="G10" i="20"/>
  <c r="G17" i="20" s="1"/>
  <c r="G10" i="19"/>
  <c r="G24" i="19" s="1"/>
  <c r="G24" i="18"/>
  <c r="G10" i="17"/>
  <c r="G24" i="17" s="1"/>
  <c r="G10" i="16"/>
  <c r="G22" i="16" s="1"/>
  <c r="G10" i="15"/>
  <c r="G24" i="15" s="1"/>
  <c r="G10" i="14"/>
  <c r="G23" i="14" s="1"/>
  <c r="G10" i="13"/>
  <c r="G22" i="13" s="1"/>
  <c r="G12" i="12"/>
  <c r="G22" i="12" s="1"/>
  <c r="J15" i="29" l="1"/>
  <c r="D37" i="18"/>
  <c r="F47" i="34"/>
  <c r="F25" i="6"/>
  <c r="F57" i="32" s="1"/>
  <c r="F54" i="31"/>
  <c r="D37" i="14"/>
  <c r="D37" i="15"/>
  <c r="F56" i="29"/>
  <c r="F54" i="28"/>
  <c r="J23" i="30"/>
  <c r="J21" i="32"/>
  <c r="F52" i="36"/>
  <c r="G52" i="36" s="1"/>
  <c r="F52" i="26"/>
  <c r="F54" i="30"/>
  <c r="F54" i="32"/>
  <c r="J11" i="22"/>
  <c r="D37" i="19"/>
  <c r="F52" i="22"/>
  <c r="J22" i="22"/>
  <c r="F55" i="27"/>
  <c r="D38" i="17"/>
  <c r="D36" i="13"/>
  <c r="F53" i="22"/>
  <c r="F55" i="28"/>
  <c r="F53" i="26"/>
  <c r="G53" i="26" s="1"/>
  <c r="D38" i="19"/>
  <c r="D31" i="20"/>
  <c r="D36" i="16"/>
  <c r="D38" i="12"/>
  <c r="F48" i="34"/>
  <c r="G48" i="34" s="1"/>
  <c r="F55" i="32"/>
  <c r="G55" i="32" s="1"/>
  <c r="F55" i="31"/>
  <c r="F55" i="30"/>
  <c r="G55" i="30" s="1"/>
  <c r="F57" i="29"/>
  <c r="G57" i="29" s="1"/>
  <c r="D38" i="18"/>
  <c r="D38" i="14"/>
  <c r="F53" i="36"/>
  <c r="G53" i="36" s="1"/>
  <c r="D38" i="15"/>
  <c r="D36" i="21"/>
  <c r="G55" i="31"/>
  <c r="D40" i="18"/>
  <c r="G55" i="27"/>
  <c r="D40" i="19"/>
  <c r="F57" i="30"/>
  <c r="D37" i="12"/>
  <c r="D35" i="13"/>
  <c r="D37" i="17"/>
  <c r="F54" i="27"/>
  <c r="D40" i="12"/>
  <c r="D38" i="16"/>
  <c r="D33" i="20"/>
  <c r="F57" i="27"/>
  <c r="F57" i="31"/>
  <c r="D40" i="14"/>
  <c r="F55" i="22"/>
  <c r="G55" i="22" s="1"/>
  <c r="F59" i="29"/>
  <c r="F50" i="34"/>
  <c r="D40" i="15"/>
  <c r="F55" i="26"/>
  <c r="F55" i="36"/>
  <c r="G55" i="36" s="1"/>
  <c r="D35" i="16"/>
  <c r="D30" i="20"/>
  <c r="J19" i="36"/>
  <c r="D35" i="21"/>
  <c r="J22" i="29"/>
  <c r="D38" i="13"/>
  <c r="D40" i="17"/>
  <c r="D38" i="21"/>
  <c r="F57" i="28"/>
  <c r="D104" i="5"/>
  <c r="C108" i="5" s="1"/>
  <c r="G31" i="13" s="1"/>
  <c r="G20" i="13"/>
  <c r="F28" i="36"/>
  <c r="F19" i="31"/>
  <c r="F30" i="30"/>
  <c r="C47" i="27"/>
  <c r="E47" i="27" s="1"/>
  <c r="J11" i="27"/>
  <c r="C49" i="27"/>
  <c r="E49" i="27" s="1"/>
  <c r="E57" i="27" s="1"/>
  <c r="E30" i="28"/>
  <c r="C49" i="28"/>
  <c r="E49" i="28" s="1"/>
  <c r="E57" i="28" s="1"/>
  <c r="J11" i="26"/>
  <c r="F28" i="26"/>
  <c r="C45" i="22"/>
  <c r="E45" i="22" s="1"/>
  <c r="C46" i="22"/>
  <c r="E46" i="22" s="1"/>
  <c r="C47" i="22"/>
  <c r="E47" i="22" s="1"/>
  <c r="C54" i="22"/>
  <c r="E53" i="22"/>
  <c r="C47" i="36"/>
  <c r="C55" i="36" s="1"/>
  <c r="F13" i="36"/>
  <c r="F21" i="36"/>
  <c r="J21" i="36" s="1"/>
  <c r="F23" i="36"/>
  <c r="J11" i="36"/>
  <c r="F17" i="36"/>
  <c r="C45" i="36"/>
  <c r="F12" i="36"/>
  <c r="F14" i="36"/>
  <c r="F16" i="36"/>
  <c r="F18" i="36"/>
  <c r="J18" i="36" s="1"/>
  <c r="F20" i="36"/>
  <c r="F22" i="36"/>
  <c r="J22" i="36" s="1"/>
  <c r="C46" i="36"/>
  <c r="E46" i="36" s="1"/>
  <c r="E54" i="36" s="1"/>
  <c r="C54" i="36"/>
  <c r="F29" i="36"/>
  <c r="C40" i="34"/>
  <c r="C48" i="34" s="1"/>
  <c r="F23" i="34"/>
  <c r="F13" i="34"/>
  <c r="F18" i="34"/>
  <c r="C42" i="34"/>
  <c r="J11" i="34"/>
  <c r="F12" i="34"/>
  <c r="F14" i="34"/>
  <c r="F17" i="34"/>
  <c r="J17" i="34" s="1"/>
  <c r="C41" i="34"/>
  <c r="E41" i="34" s="1"/>
  <c r="E49" i="34" s="1"/>
  <c r="C49" i="34"/>
  <c r="F24" i="34"/>
  <c r="C49" i="32"/>
  <c r="E49" i="32" s="1"/>
  <c r="E57" i="32" s="1"/>
  <c r="E30" i="32"/>
  <c r="F19" i="32"/>
  <c r="F13" i="32"/>
  <c r="F23" i="32"/>
  <c r="J23" i="32" s="1"/>
  <c r="F25" i="32"/>
  <c r="J11" i="32"/>
  <c r="C47" i="32"/>
  <c r="F12" i="32"/>
  <c r="F14" i="32"/>
  <c r="F18" i="32"/>
  <c r="F20" i="32"/>
  <c r="J20" i="32" s="1"/>
  <c r="F22" i="32"/>
  <c r="F24" i="32"/>
  <c r="J24" i="32" s="1"/>
  <c r="C48" i="32"/>
  <c r="E48" i="32" s="1"/>
  <c r="E56" i="32" s="1"/>
  <c r="C56" i="32"/>
  <c r="E31" i="32"/>
  <c r="C49" i="31"/>
  <c r="C57" i="31" s="1"/>
  <c r="F30" i="31"/>
  <c r="F21" i="31"/>
  <c r="J21" i="31" s="1"/>
  <c r="J11" i="31"/>
  <c r="F13" i="31"/>
  <c r="F23" i="31"/>
  <c r="J23" i="31" s="1"/>
  <c r="C47" i="31"/>
  <c r="F12" i="31"/>
  <c r="F14" i="31"/>
  <c r="F18" i="31"/>
  <c r="F20" i="31"/>
  <c r="J20" i="31" s="1"/>
  <c r="F22" i="31"/>
  <c r="F24" i="31"/>
  <c r="J24" i="31" s="1"/>
  <c r="C48" i="31"/>
  <c r="E48" i="31" s="1"/>
  <c r="E56" i="31" s="1"/>
  <c r="C56" i="31"/>
  <c r="F31" i="31"/>
  <c r="C49" i="30"/>
  <c r="E49" i="30" s="1"/>
  <c r="E57" i="30" s="1"/>
  <c r="G57" i="30" s="1"/>
  <c r="C47" i="30"/>
  <c r="C55" i="30" s="1"/>
  <c r="F25" i="30"/>
  <c r="J11" i="30"/>
  <c r="F21" i="30"/>
  <c r="J21" i="30" s="1"/>
  <c r="F12" i="30"/>
  <c r="F14" i="30"/>
  <c r="F18" i="30"/>
  <c r="F20" i="30"/>
  <c r="J20" i="30" s="1"/>
  <c r="F22" i="30"/>
  <c r="F24" i="30"/>
  <c r="J24" i="30" s="1"/>
  <c r="C48" i="30"/>
  <c r="E48" i="30" s="1"/>
  <c r="E56" i="30" s="1"/>
  <c r="C56" i="30"/>
  <c r="F13" i="30"/>
  <c r="F19" i="30"/>
  <c r="F31" i="30"/>
  <c r="F32" i="29"/>
  <c r="C51" i="29"/>
  <c r="F17" i="29"/>
  <c r="F21" i="29"/>
  <c r="F23" i="29"/>
  <c r="J23" i="29" s="1"/>
  <c r="F25" i="29"/>
  <c r="J25" i="29" s="1"/>
  <c r="F27" i="29"/>
  <c r="C49" i="29"/>
  <c r="E49" i="29" s="1"/>
  <c r="F16" i="29"/>
  <c r="F18" i="29"/>
  <c r="F20" i="29"/>
  <c r="F22" i="29"/>
  <c r="F24" i="29"/>
  <c r="F26" i="29"/>
  <c r="J26" i="29" s="1"/>
  <c r="C50" i="29"/>
  <c r="C58" i="29"/>
  <c r="F33" i="29"/>
  <c r="G55" i="28"/>
  <c r="F21" i="28"/>
  <c r="J21" i="28" s="1"/>
  <c r="C47" i="28"/>
  <c r="J11" i="28"/>
  <c r="F13" i="28"/>
  <c r="F19" i="28"/>
  <c r="F23" i="28"/>
  <c r="J23" i="28" s="1"/>
  <c r="F25" i="28"/>
  <c r="F12" i="28"/>
  <c r="F14" i="28"/>
  <c r="F18" i="28"/>
  <c r="F20" i="28"/>
  <c r="J20" i="28" s="1"/>
  <c r="F22" i="28"/>
  <c r="F24" i="28"/>
  <c r="J24" i="28" s="1"/>
  <c r="C48" i="28"/>
  <c r="E48" i="28" s="1"/>
  <c r="E56" i="28" s="1"/>
  <c r="C56" i="28"/>
  <c r="E31" i="28"/>
  <c r="F23" i="27"/>
  <c r="J23" i="27" s="1"/>
  <c r="F12" i="27"/>
  <c r="F18" i="27"/>
  <c r="F14" i="27"/>
  <c r="F21" i="27"/>
  <c r="J21" i="27" s="1"/>
  <c r="C47" i="26"/>
  <c r="C55" i="26" s="1"/>
  <c r="F14" i="26"/>
  <c r="F20" i="27"/>
  <c r="J20" i="27" s="1"/>
  <c r="F22" i="27"/>
  <c r="F13" i="27"/>
  <c r="F19" i="27"/>
  <c r="F24" i="27"/>
  <c r="J24" i="27" s="1"/>
  <c r="F30" i="27"/>
  <c r="F31" i="27"/>
  <c r="C48" i="27"/>
  <c r="C56" i="27"/>
  <c r="F19" i="26"/>
  <c r="J19" i="26" s="1"/>
  <c r="C45" i="26"/>
  <c r="E45" i="26" s="1"/>
  <c r="F17" i="26"/>
  <c r="F21" i="26"/>
  <c r="J21" i="26" s="1"/>
  <c r="F23" i="26"/>
  <c r="F12" i="26"/>
  <c r="F16" i="26"/>
  <c r="F18" i="26"/>
  <c r="J18" i="26" s="1"/>
  <c r="F20" i="26"/>
  <c r="F22" i="26"/>
  <c r="J22" i="26" s="1"/>
  <c r="C46" i="26"/>
  <c r="C54" i="26"/>
  <c r="F29" i="26"/>
  <c r="E54" i="22"/>
  <c r="D93" i="5"/>
  <c r="F93" i="5" s="1"/>
  <c r="F29" i="22"/>
  <c r="F19" i="22"/>
  <c r="J19" i="22" s="1"/>
  <c r="F23" i="22"/>
  <c r="F12" i="22"/>
  <c r="F16" i="22"/>
  <c r="F20" i="22"/>
  <c r="F13" i="22"/>
  <c r="F17" i="22"/>
  <c r="F21" i="22"/>
  <c r="J21" i="22" s="1"/>
  <c r="F14" i="22"/>
  <c r="F18" i="22"/>
  <c r="J18" i="22" s="1"/>
  <c r="G13" i="21"/>
  <c r="G15" i="21"/>
  <c r="G19" i="21"/>
  <c r="G20" i="21"/>
  <c r="G11" i="21"/>
  <c r="G17" i="21"/>
  <c r="G21" i="21"/>
  <c r="G16" i="21"/>
  <c r="G12" i="21"/>
  <c r="G18" i="21"/>
  <c r="G16" i="20"/>
  <c r="G13" i="20"/>
  <c r="G11" i="20"/>
  <c r="G12" i="20"/>
  <c r="G18" i="19"/>
  <c r="G13" i="19"/>
  <c r="G17" i="19"/>
  <c r="G21" i="19"/>
  <c r="G22" i="19"/>
  <c r="G11" i="19"/>
  <c r="G19" i="19"/>
  <c r="G23" i="19"/>
  <c r="G12" i="19"/>
  <c r="G20" i="19"/>
  <c r="G13" i="18"/>
  <c r="G21" i="18"/>
  <c r="G18" i="18"/>
  <c r="G22" i="18"/>
  <c r="G11" i="18"/>
  <c r="G19" i="18"/>
  <c r="G23" i="18"/>
  <c r="G12" i="18"/>
  <c r="G20" i="18"/>
  <c r="G22" i="17"/>
  <c r="G11" i="17"/>
  <c r="G19" i="17"/>
  <c r="G23" i="17"/>
  <c r="G13" i="17"/>
  <c r="G17" i="17"/>
  <c r="G21" i="17"/>
  <c r="G18" i="17"/>
  <c r="G12" i="17"/>
  <c r="G20" i="17"/>
  <c r="G13" i="16"/>
  <c r="G15" i="16"/>
  <c r="G19" i="16"/>
  <c r="G16" i="16"/>
  <c r="G20" i="16"/>
  <c r="G11" i="16"/>
  <c r="G17" i="16"/>
  <c r="G21" i="16"/>
  <c r="G12" i="16"/>
  <c r="G18" i="16"/>
  <c r="G21" i="15"/>
  <c r="G13" i="15"/>
  <c r="G17" i="15"/>
  <c r="G18" i="15"/>
  <c r="G22" i="15"/>
  <c r="G11" i="15"/>
  <c r="G19" i="15"/>
  <c r="G23" i="15"/>
  <c r="G12" i="15"/>
  <c r="G20" i="15"/>
  <c r="G18" i="14"/>
  <c r="G17" i="14"/>
  <c r="G13" i="14"/>
  <c r="G19" i="14"/>
  <c r="G20" i="14"/>
  <c r="G24" i="14"/>
  <c r="G11" i="14"/>
  <c r="G21" i="14"/>
  <c r="G12" i="14"/>
  <c r="G22" i="14"/>
  <c r="G13" i="13"/>
  <c r="G12" i="13"/>
  <c r="G19" i="13"/>
  <c r="G17" i="13"/>
  <c r="G21" i="13"/>
  <c r="G18" i="13"/>
  <c r="G14" i="12"/>
  <c r="G13" i="12"/>
  <c r="G15" i="12"/>
  <c r="G17" i="12"/>
  <c r="G18" i="12"/>
  <c r="G23" i="12"/>
  <c r="G24" i="12"/>
  <c r="G19" i="12"/>
  <c r="G20" i="12"/>
  <c r="G21" i="12"/>
  <c r="G11" i="13"/>
  <c r="G15" i="13"/>
  <c r="G16" i="13"/>
  <c r="E29" i="6"/>
  <c r="D29" i="6"/>
  <c r="E33" i="6"/>
  <c r="D33" i="6"/>
  <c r="I25" i="6"/>
  <c r="D37" i="6"/>
  <c r="C5" i="8"/>
  <c r="C4" i="8"/>
  <c r="C6" i="8"/>
  <c r="C7" i="8"/>
  <c r="C3" i="8"/>
  <c r="C2" i="8"/>
  <c r="F36" i="1"/>
  <c r="G36" i="1" s="1"/>
  <c r="H36" i="1" s="1"/>
  <c r="F27" i="1"/>
  <c r="G27" i="1" s="1"/>
  <c r="H27" i="1" s="1"/>
  <c r="F26" i="1"/>
  <c r="G26" i="1" s="1"/>
  <c r="H26" i="1" s="1"/>
  <c r="F25" i="1"/>
  <c r="G25" i="1" s="1"/>
  <c r="H25" i="1" s="1"/>
  <c r="F24" i="1"/>
  <c r="G24" i="1" s="1"/>
  <c r="H24" i="1" s="1"/>
  <c r="F45" i="1"/>
  <c r="G45" i="1" s="1"/>
  <c r="H45" i="1" s="1"/>
  <c r="F44" i="1"/>
  <c r="G44" i="1" s="1"/>
  <c r="H44" i="1" s="1"/>
  <c r="F43" i="1"/>
  <c r="G43" i="1" s="1"/>
  <c r="H43" i="1" s="1"/>
  <c r="F42" i="1"/>
  <c r="G42" i="1" s="1"/>
  <c r="H42" i="1" s="1"/>
  <c r="F41" i="1"/>
  <c r="G41" i="1" s="1"/>
  <c r="H41" i="1" s="1"/>
  <c r="F40" i="1"/>
  <c r="G40" i="1" s="1"/>
  <c r="H40" i="1" s="1"/>
  <c r="F46" i="1"/>
  <c r="G46" i="1" s="1"/>
  <c r="H46" i="1" s="1"/>
  <c r="F47" i="1"/>
  <c r="G47" i="1" s="1"/>
  <c r="H47" i="1" s="1"/>
  <c r="J15" i="30" s="1"/>
  <c r="F48" i="1"/>
  <c r="G48" i="1" s="1"/>
  <c r="H48" i="1" s="1"/>
  <c r="F49" i="1"/>
  <c r="G49" i="1" s="1"/>
  <c r="H49" i="1" s="1"/>
  <c r="F50" i="1"/>
  <c r="G50" i="1" s="1"/>
  <c r="H50" i="1" s="1"/>
  <c r="F39" i="1"/>
  <c r="G39" i="1" s="1"/>
  <c r="H39" i="1" s="1"/>
  <c r="E13" i="6"/>
  <c r="E21" i="6"/>
  <c r="F21" i="6" s="1"/>
  <c r="G21" i="6" s="1"/>
  <c r="C84" i="5"/>
  <c r="D78" i="5"/>
  <c r="D77" i="5"/>
  <c r="C76" i="5"/>
  <c r="D76" i="5" s="1"/>
  <c r="C75" i="5"/>
  <c r="D75" i="5" s="1"/>
  <c r="E68" i="5"/>
  <c r="C68" i="5"/>
  <c r="B68" i="5"/>
  <c r="D68" i="5" s="1"/>
  <c r="C59" i="5"/>
  <c r="D53" i="5"/>
  <c r="D52" i="5"/>
  <c r="C51" i="5"/>
  <c r="D51" i="5" s="1"/>
  <c r="C50" i="5"/>
  <c r="D50" i="5" s="1"/>
  <c r="E43" i="5"/>
  <c r="C43" i="5"/>
  <c r="B43" i="5"/>
  <c r="D43" i="5" s="1"/>
  <c r="C34" i="5"/>
  <c r="D28" i="5"/>
  <c r="D27" i="5"/>
  <c r="C26" i="5"/>
  <c r="D26" i="5" s="1"/>
  <c r="C25" i="5"/>
  <c r="D25" i="5" s="1"/>
  <c r="E18" i="5"/>
  <c r="C18" i="5"/>
  <c r="B18" i="5"/>
  <c r="F11" i="1"/>
  <c r="G11" i="1" s="1"/>
  <c r="H11" i="1" s="1"/>
  <c r="F19" i="1"/>
  <c r="G19" i="1" s="1"/>
  <c r="H19" i="1" s="1"/>
  <c r="F22" i="1"/>
  <c r="G22" i="1" s="1"/>
  <c r="H22" i="1" s="1"/>
  <c r="J16" i="29" s="1"/>
  <c r="F21" i="1"/>
  <c r="G21" i="1" s="1"/>
  <c r="H21" i="1" s="1"/>
  <c r="J17" i="29" s="1"/>
  <c r="F20" i="1"/>
  <c r="G20" i="1" s="1"/>
  <c r="H20" i="1" s="1"/>
  <c r="F15" i="1"/>
  <c r="G15" i="1" s="1"/>
  <c r="H15" i="1" s="1"/>
  <c r="J27" i="29" s="1"/>
  <c r="F23" i="1"/>
  <c r="G23" i="1" s="1"/>
  <c r="H23" i="1" s="1"/>
  <c r="F37" i="1"/>
  <c r="G37" i="1" s="1"/>
  <c r="H37" i="1" s="1"/>
  <c r="J15" i="22" s="1"/>
  <c r="F38" i="1"/>
  <c r="G38" i="1" s="1"/>
  <c r="H38" i="1" s="1"/>
  <c r="F12" i="1"/>
  <c r="G12" i="1" s="1"/>
  <c r="H12" i="1" s="1"/>
  <c r="F31" i="1"/>
  <c r="G31" i="1" s="1"/>
  <c r="H31" i="1" s="1"/>
  <c r="J15" i="26" s="1"/>
  <c r="F13" i="1"/>
  <c r="G13" i="1" s="1"/>
  <c r="H13" i="1" s="1"/>
  <c r="F32" i="1"/>
  <c r="G32" i="1" s="1"/>
  <c r="H32" i="1" s="1"/>
  <c r="J17" i="30" s="1"/>
  <c r="F33" i="1"/>
  <c r="G33" i="1" s="1"/>
  <c r="H33" i="1" s="1"/>
  <c r="J16" i="27" s="1"/>
  <c r="F34" i="1"/>
  <c r="G34" i="1" s="1"/>
  <c r="H34" i="1" s="1"/>
  <c r="F35" i="1"/>
  <c r="G35" i="1" s="1"/>
  <c r="H35" i="1" s="1"/>
  <c r="F14" i="1"/>
  <c r="G14" i="1" s="1"/>
  <c r="H14" i="1" s="1"/>
  <c r="G57" i="32" l="1"/>
  <c r="J18" i="29"/>
  <c r="C57" i="28"/>
  <c r="G57" i="28"/>
  <c r="G57" i="27"/>
  <c r="G53" i="22"/>
  <c r="G56" i="32"/>
  <c r="F49" i="34"/>
  <c r="G49" i="34" s="1"/>
  <c r="F56" i="32"/>
  <c r="F56" i="31"/>
  <c r="G56" i="31" s="1"/>
  <c r="F56" i="30"/>
  <c r="G56" i="30" s="1"/>
  <c r="F58" i="29"/>
  <c r="D39" i="18"/>
  <c r="D39" i="14"/>
  <c r="D37" i="16"/>
  <c r="F56" i="27"/>
  <c r="D37" i="13"/>
  <c r="F54" i="22"/>
  <c r="G54" i="22" s="1"/>
  <c r="F54" i="36"/>
  <c r="G54" i="36" s="1"/>
  <c r="G56" i="36" s="1"/>
  <c r="D61" i="36" s="1"/>
  <c r="F56" i="28"/>
  <c r="G56" i="28" s="1"/>
  <c r="F54" i="26"/>
  <c r="D39" i="19"/>
  <c r="D39" i="15"/>
  <c r="D37" i="21"/>
  <c r="D32" i="20"/>
  <c r="D39" i="12"/>
  <c r="D39" i="17"/>
  <c r="J12" i="22"/>
  <c r="J15" i="36"/>
  <c r="J23" i="22"/>
  <c r="J25" i="28"/>
  <c r="J23" i="36"/>
  <c r="J16" i="28"/>
  <c r="J25" i="27"/>
  <c r="J14" i="27"/>
  <c r="J14" i="22"/>
  <c r="J12" i="26"/>
  <c r="J13" i="27"/>
  <c r="J12" i="27"/>
  <c r="J15" i="28"/>
  <c r="J13" i="22"/>
  <c r="J14" i="26"/>
  <c r="J13" i="26"/>
  <c r="J16" i="34"/>
  <c r="J19" i="29"/>
  <c r="J23" i="26"/>
  <c r="J13" i="31"/>
  <c r="J25" i="32"/>
  <c r="J15" i="32"/>
  <c r="J17" i="27"/>
  <c r="J15" i="27"/>
  <c r="E40" i="34"/>
  <c r="C43" i="34"/>
  <c r="C47" i="34" s="1"/>
  <c r="G47" i="34" s="1"/>
  <c r="C57" i="32"/>
  <c r="E49" i="31"/>
  <c r="E57" i="31" s="1"/>
  <c r="G57" i="31" s="1"/>
  <c r="E50" i="29"/>
  <c r="E58" i="29" s="1"/>
  <c r="G58" i="29" s="1"/>
  <c r="C59" i="29"/>
  <c r="E51" i="29"/>
  <c r="E59" i="29" s="1"/>
  <c r="G59" i="29" s="1"/>
  <c r="C57" i="30"/>
  <c r="E48" i="27"/>
  <c r="E56" i="27" s="1"/>
  <c r="G56" i="27" s="1"/>
  <c r="C50" i="27"/>
  <c r="C54" i="27" s="1"/>
  <c r="G54" i="27" s="1"/>
  <c r="E47" i="26"/>
  <c r="E55" i="26" s="1"/>
  <c r="G55" i="26" s="1"/>
  <c r="E46" i="26"/>
  <c r="E54" i="26" s="1"/>
  <c r="G54" i="26" s="1"/>
  <c r="C57" i="27"/>
  <c r="C53" i="22"/>
  <c r="C48" i="22"/>
  <c r="C52" i="22" s="1"/>
  <c r="G52" i="22" s="1"/>
  <c r="E55" i="22"/>
  <c r="C55" i="22"/>
  <c r="J12" i="36"/>
  <c r="J14" i="30"/>
  <c r="J17" i="32"/>
  <c r="J25" i="31"/>
  <c r="J15" i="34"/>
  <c r="J14" i="28"/>
  <c r="J13" i="30"/>
  <c r="J12" i="30"/>
  <c r="J25" i="30"/>
  <c r="J13" i="32"/>
  <c r="J14" i="34"/>
  <c r="J18" i="34"/>
  <c r="J13" i="36"/>
  <c r="J16" i="31"/>
  <c r="J15" i="31"/>
  <c r="J16" i="32"/>
  <c r="J17" i="31"/>
  <c r="J12" i="31"/>
  <c r="J12" i="32"/>
  <c r="J12" i="28"/>
  <c r="J13" i="28"/>
  <c r="J14" i="31"/>
  <c r="J14" i="32"/>
  <c r="J12" i="34"/>
  <c r="J13" i="34"/>
  <c r="J14" i="36"/>
  <c r="J16" i="30"/>
  <c r="J17" i="28"/>
  <c r="E47" i="36"/>
  <c r="E55" i="36" s="1"/>
  <c r="C48" i="36"/>
  <c r="C52" i="36" s="1"/>
  <c r="C53" i="36"/>
  <c r="E45" i="36"/>
  <c r="C50" i="34"/>
  <c r="E42" i="34"/>
  <c r="E50" i="34" s="1"/>
  <c r="G50" i="34" s="1"/>
  <c r="C50" i="32"/>
  <c r="C54" i="32" s="1"/>
  <c r="G54" i="32" s="1"/>
  <c r="G58" i="32" s="1"/>
  <c r="D63" i="32" s="1"/>
  <c r="C55" i="32"/>
  <c r="E47" i="32"/>
  <c r="C50" i="31"/>
  <c r="C54" i="31" s="1"/>
  <c r="G54" i="31" s="1"/>
  <c r="C55" i="31"/>
  <c r="E47" i="31"/>
  <c r="C50" i="30"/>
  <c r="C54" i="30" s="1"/>
  <c r="G54" i="30" s="1"/>
  <c r="E47" i="30"/>
  <c r="C57" i="29"/>
  <c r="C52" i="29"/>
  <c r="C56" i="29" s="1"/>
  <c r="G56" i="29" s="1"/>
  <c r="C50" i="28"/>
  <c r="C54" i="28" s="1"/>
  <c r="G54" i="28" s="1"/>
  <c r="C55" i="28"/>
  <c r="E47" i="28"/>
  <c r="C55" i="27"/>
  <c r="C48" i="26"/>
  <c r="C52" i="26" s="1"/>
  <c r="G52" i="26" s="1"/>
  <c r="C53" i="26"/>
  <c r="D96" i="5"/>
  <c r="C107" i="5" s="1"/>
  <c r="C110" i="5" s="1"/>
  <c r="H25" i="6"/>
  <c r="H17" i="6"/>
  <c r="I17" i="6"/>
  <c r="D79" i="5"/>
  <c r="C83" i="5" s="1"/>
  <c r="D29" i="5"/>
  <c r="C33" i="5" s="1"/>
  <c r="G26" i="13" s="1"/>
  <c r="D54" i="5"/>
  <c r="C58" i="5" s="1"/>
  <c r="G27" i="13" s="1"/>
  <c r="F68" i="5"/>
  <c r="D71" i="5" s="1"/>
  <c r="C82" i="5" s="1"/>
  <c r="F43" i="5"/>
  <c r="D46" i="5" s="1"/>
  <c r="C57" i="5" s="1"/>
  <c r="D18" i="5"/>
  <c r="F18" i="5" s="1"/>
  <c r="F54" i="1"/>
  <c r="G54" i="1" s="1"/>
  <c r="H54" i="1" s="1"/>
  <c r="J20" i="29" s="1"/>
  <c r="F18" i="1"/>
  <c r="G18" i="1" s="1"/>
  <c r="H18" i="1" s="1"/>
  <c r="F17" i="1"/>
  <c r="G17" i="1" s="1"/>
  <c r="H17" i="1" s="1"/>
  <c r="J24" i="29" s="1"/>
  <c r="F16" i="1"/>
  <c r="G16" i="1" s="1"/>
  <c r="H16" i="1" s="1"/>
  <c r="J21" i="29" s="1"/>
  <c r="G51" i="34" l="1"/>
  <c r="D56" i="34" s="1"/>
  <c r="G58" i="30"/>
  <c r="D63" i="30" s="1"/>
  <c r="G58" i="28"/>
  <c r="D63" i="28" s="1"/>
  <c r="J18" i="28"/>
  <c r="G58" i="31"/>
  <c r="D63" i="31" s="1"/>
  <c r="J16" i="22"/>
  <c r="J16" i="36"/>
  <c r="J18" i="32"/>
  <c r="J28" i="29"/>
  <c r="J16" i="26"/>
  <c r="J22" i="27"/>
  <c r="J18" i="31"/>
  <c r="J19" i="28"/>
  <c r="J19" i="30"/>
  <c r="J20" i="22"/>
  <c r="J19" i="27"/>
  <c r="J17" i="26"/>
  <c r="J20" i="26"/>
  <c r="J18" i="27"/>
  <c r="J17" i="22"/>
  <c r="G29" i="13"/>
  <c r="G30" i="13"/>
  <c r="G28" i="13"/>
  <c r="C60" i="5"/>
  <c r="C85" i="5"/>
  <c r="G35" i="30"/>
  <c r="H35" i="30" s="1"/>
  <c r="G33" i="26"/>
  <c r="H33" i="26" s="1"/>
  <c r="G31" i="21"/>
  <c r="F35" i="28"/>
  <c r="G35" i="28" s="1"/>
  <c r="G33" i="19"/>
  <c r="G33" i="36"/>
  <c r="H33" i="36" s="1"/>
  <c r="G35" i="31"/>
  <c r="H35" i="31" s="1"/>
  <c r="G26" i="20"/>
  <c r="G33" i="18"/>
  <c r="G31" i="16"/>
  <c r="G33" i="14"/>
  <c r="G33" i="17"/>
  <c r="G33" i="15"/>
  <c r="G33" i="22"/>
  <c r="H33" i="22" s="1"/>
  <c r="F35" i="32"/>
  <c r="G35" i="32" s="1"/>
  <c r="G33" i="12"/>
  <c r="G28" i="34"/>
  <c r="H28" i="34" s="1"/>
  <c r="G37" i="29"/>
  <c r="H37" i="29" s="1"/>
  <c r="G35" i="27"/>
  <c r="H35" i="27" s="1"/>
  <c r="J19" i="34"/>
  <c r="D54" i="34" s="1"/>
  <c r="G60" i="29"/>
  <c r="D65" i="29" s="1"/>
  <c r="G56" i="22"/>
  <c r="D61" i="22" s="1"/>
  <c r="G58" i="27"/>
  <c r="D63" i="27" s="1"/>
  <c r="G56" i="26"/>
  <c r="D61" i="26" s="1"/>
  <c r="J22" i="31"/>
  <c r="J20" i="36"/>
  <c r="J22" i="30"/>
  <c r="J22" i="32"/>
  <c r="J22" i="28"/>
  <c r="J19" i="31"/>
  <c r="J19" i="32"/>
  <c r="J18" i="30"/>
  <c r="J17" i="36"/>
  <c r="D21" i="5"/>
  <c r="C32" i="5" s="1"/>
  <c r="C35" i="5" s="1"/>
  <c r="G28" i="12" s="1"/>
  <c r="J24" i="26" l="1"/>
  <c r="D59" i="26" s="1"/>
  <c r="J24" i="22"/>
  <c r="D59" i="22" s="1"/>
  <c r="J26" i="27"/>
  <c r="D61" i="27" s="1"/>
  <c r="J26" i="28"/>
  <c r="D61" i="28" s="1"/>
  <c r="G31" i="30"/>
  <c r="H31" i="30" s="1"/>
  <c r="G29" i="26"/>
  <c r="H29" i="26" s="1"/>
  <c r="G27" i="21"/>
  <c r="G31" i="27"/>
  <c r="H31" i="27" s="1"/>
  <c r="G29" i="17"/>
  <c r="G29" i="15"/>
  <c r="G29" i="36"/>
  <c r="H29" i="36" s="1"/>
  <c r="G31" i="31"/>
  <c r="H31" i="31" s="1"/>
  <c r="G22" i="20"/>
  <c r="G29" i="18"/>
  <c r="G27" i="16"/>
  <c r="G29" i="14"/>
  <c r="G24" i="34"/>
  <c r="H24" i="34" s="1"/>
  <c r="G33" i="29"/>
  <c r="H33" i="29" s="1"/>
  <c r="G29" i="19"/>
  <c r="G29" i="22"/>
  <c r="H29" i="22" s="1"/>
  <c r="F31" i="32"/>
  <c r="G31" i="32" s="1"/>
  <c r="G29" i="12"/>
  <c r="F31" i="28"/>
  <c r="G31" i="28" s="1"/>
  <c r="G23" i="34"/>
  <c r="H23" i="34" s="1"/>
  <c r="G32" i="29"/>
  <c r="H32" i="29" s="1"/>
  <c r="G30" i="27"/>
  <c r="H30" i="27" s="1"/>
  <c r="G28" i="19"/>
  <c r="G28" i="17"/>
  <c r="G28" i="15"/>
  <c r="F30" i="28"/>
  <c r="G30" i="28" s="1"/>
  <c r="G28" i="14"/>
  <c r="G26" i="21"/>
  <c r="G30" i="30"/>
  <c r="H30" i="30" s="1"/>
  <c r="G28" i="26"/>
  <c r="H28" i="26" s="1"/>
  <c r="G28" i="36"/>
  <c r="H28" i="36" s="1"/>
  <c r="G30" i="31"/>
  <c r="H30" i="31" s="1"/>
  <c r="G21" i="20"/>
  <c r="G28" i="18"/>
  <c r="G26" i="16"/>
  <c r="G28" i="22"/>
  <c r="H28" i="22" s="1"/>
  <c r="F30" i="32"/>
  <c r="G30" i="32" s="1"/>
  <c r="G31" i="22"/>
  <c r="H31" i="22" s="1"/>
  <c r="G30" i="36"/>
  <c r="H30" i="36" s="1"/>
  <c r="G27" i="34"/>
  <c r="H27" i="34" s="1"/>
  <c r="F33" i="32"/>
  <c r="G33" i="32" s="1"/>
  <c r="G32" i="31"/>
  <c r="H32" i="31" s="1"/>
  <c r="G36" i="29"/>
  <c r="H36" i="29" s="1"/>
  <c r="F34" i="28"/>
  <c r="G34" i="28" s="1"/>
  <c r="G34" i="27"/>
  <c r="H34" i="27" s="1"/>
  <c r="G23" i="20"/>
  <c r="G32" i="19"/>
  <c r="G30" i="18"/>
  <c r="G32" i="17"/>
  <c r="G28" i="16"/>
  <c r="G32" i="15"/>
  <c r="G30" i="14"/>
  <c r="G31" i="12"/>
  <c r="G31" i="36"/>
  <c r="H31" i="36" s="1"/>
  <c r="F34" i="32"/>
  <c r="G34" i="32" s="1"/>
  <c r="G32" i="30"/>
  <c r="H32" i="30" s="1"/>
  <c r="G28" i="21"/>
  <c r="G30" i="22"/>
  <c r="H30" i="22" s="1"/>
  <c r="G26" i="34"/>
  <c r="H26" i="34" s="1"/>
  <c r="F32" i="32"/>
  <c r="G32" i="32" s="1"/>
  <c r="G34" i="30"/>
  <c r="H34" i="30" s="1"/>
  <c r="G35" i="29"/>
  <c r="H35" i="29" s="1"/>
  <c r="F33" i="28"/>
  <c r="G33" i="28" s="1"/>
  <c r="G33" i="27"/>
  <c r="H33" i="27" s="1"/>
  <c r="G32" i="26"/>
  <c r="H32" i="26" s="1"/>
  <c r="G30" i="21"/>
  <c r="G31" i="19"/>
  <c r="G31" i="17"/>
  <c r="G31" i="15"/>
  <c r="G30" i="12"/>
  <c r="G32" i="22"/>
  <c r="H32" i="22" s="1"/>
  <c r="G33" i="31"/>
  <c r="H33" i="31" s="1"/>
  <c r="G30" i="26"/>
  <c r="H30" i="26" s="1"/>
  <c r="G32" i="36"/>
  <c r="H32" i="36" s="1"/>
  <c r="G25" i="34"/>
  <c r="H25" i="34" s="1"/>
  <c r="G34" i="31"/>
  <c r="H34" i="31" s="1"/>
  <c r="G33" i="30"/>
  <c r="H33" i="30" s="1"/>
  <c r="G34" i="29"/>
  <c r="H34" i="29" s="1"/>
  <c r="F32" i="28"/>
  <c r="G32" i="28" s="1"/>
  <c r="G32" i="27"/>
  <c r="H32" i="27" s="1"/>
  <c r="G31" i="26"/>
  <c r="H31" i="26" s="1"/>
  <c r="G29" i="21"/>
  <c r="G25" i="20"/>
  <c r="G30" i="19"/>
  <c r="G32" i="18"/>
  <c r="G30" i="17"/>
  <c r="G30" i="16"/>
  <c r="G30" i="15"/>
  <c r="G32" i="14"/>
  <c r="G24" i="20"/>
  <c r="G31" i="18"/>
  <c r="G29" i="16"/>
  <c r="G31" i="14"/>
  <c r="G32" i="12"/>
  <c r="J24" i="36"/>
  <c r="D59" i="36" s="1"/>
  <c r="J26" i="32"/>
  <c r="D61" i="32" s="1"/>
  <c r="J26" i="31"/>
  <c r="D61" i="31" s="1"/>
  <c r="J26" i="30"/>
  <c r="D61" i="30" s="1"/>
  <c r="D63" i="29"/>
  <c r="G36" i="28" l="1"/>
  <c r="D62" i="28" s="1"/>
  <c r="D64" i="28" s="1"/>
  <c r="D66" i="28" s="1"/>
  <c r="H34" i="22"/>
  <c r="H36" i="31"/>
  <c r="D62" i="31" s="1"/>
  <c r="D64" i="31" s="1"/>
  <c r="D66" i="31" s="1"/>
  <c r="H38" i="29"/>
  <c r="D64" i="29" s="1"/>
  <c r="D66" i="29" s="1"/>
  <c r="D68" i="29" s="1"/>
  <c r="H36" i="27"/>
  <c r="D62" i="27" s="1"/>
  <c r="D64" i="27" s="1"/>
  <c r="D66" i="27" s="1"/>
  <c r="H34" i="36"/>
  <c r="D60" i="36" s="1"/>
  <c r="D62" i="36" s="1"/>
  <c r="D64" i="36" s="1"/>
  <c r="H29" i="34"/>
  <c r="D55" i="34" s="1"/>
  <c r="D57" i="34" s="1"/>
  <c r="D59" i="34" s="1"/>
  <c r="G36" i="32"/>
  <c r="D62" i="32" s="1"/>
  <c r="D64" i="32" s="1"/>
  <c r="D66" i="32" s="1"/>
  <c r="H36" i="30"/>
  <c r="D62" i="30" s="1"/>
  <c r="D64" i="30" s="1"/>
  <c r="D66" i="30" s="1"/>
  <c r="H34" i="26"/>
  <c r="D60" i="26" s="1"/>
  <c r="D62" i="26" s="1"/>
  <c r="D64" i="26" s="1"/>
  <c r="D60" i="22" l="1"/>
  <c r="D62" i="22" s="1"/>
  <c r="D64" i="22" s="1"/>
</calcChain>
</file>

<file path=xl/sharedStrings.xml><?xml version="1.0" encoding="utf-8"?>
<sst xmlns="http://schemas.openxmlformats.org/spreadsheetml/2006/main" count="2435" uniqueCount="265">
  <si>
    <t>Salario</t>
  </si>
  <si>
    <t>Aux Transporte</t>
  </si>
  <si>
    <t>Cesantías</t>
  </si>
  <si>
    <t>Intereses</t>
  </si>
  <si>
    <t>Primas</t>
  </si>
  <si>
    <t>Vacaciones</t>
  </si>
  <si>
    <t>Total Prestaciones</t>
  </si>
  <si>
    <t>Numero de Personas</t>
  </si>
  <si>
    <t>Valor Hora</t>
  </si>
  <si>
    <t>Yesica Paola Soza</t>
  </si>
  <si>
    <t>Mahly Smith Chaparro</t>
  </si>
  <si>
    <t>2:20 p. m.</t>
  </si>
  <si>
    <t>QUIMICO- TINTORERO</t>
  </si>
  <si>
    <t>Produccion -lider de procesos</t>
  </si>
  <si>
    <t>Salario mes</t>
  </si>
  <si>
    <t>Horas laboradas mes</t>
  </si>
  <si>
    <t>Area de trabajo</t>
  </si>
  <si>
    <t>OPERARIO MAQUINAS</t>
  </si>
  <si>
    <t>Produccion - auxiliar de procesos</t>
  </si>
  <si>
    <t>SUPER NUMERARIO</t>
  </si>
  <si>
    <t>Calidad y distribucion</t>
  </si>
  <si>
    <t>PRENSISTAS</t>
  </si>
  <si>
    <t>Planchado</t>
  </si>
  <si>
    <t>PRODUCCION</t>
  </si>
  <si>
    <t>Producto</t>
  </si>
  <si>
    <t>Unidad de Medida</t>
  </si>
  <si>
    <t>Cantidad</t>
  </si>
  <si>
    <t>Recolgeno E3R</t>
  </si>
  <si>
    <t>KG</t>
  </si>
  <si>
    <t xml:space="preserve">Valor </t>
  </si>
  <si>
    <t>Valor total</t>
  </si>
  <si>
    <t>Vr gramo</t>
  </si>
  <si>
    <t>Iva</t>
  </si>
  <si>
    <t>Recuest 1704</t>
  </si>
  <si>
    <t>Gama alcali special</t>
  </si>
  <si>
    <t>Gama sil LBC</t>
  </si>
  <si>
    <t>Gama enzyme ME B6000</t>
  </si>
  <si>
    <t>Bulto de sal industrial extraseca x 50 kg</t>
  </si>
  <si>
    <t>Vr kg</t>
  </si>
  <si>
    <t>LUZ</t>
  </si>
  <si>
    <t>GAS</t>
  </si>
  <si>
    <t>DETALLE PRENDA</t>
  </si>
  <si>
    <t>PESO KG</t>
  </si>
  <si>
    <t>SAL CRISTAL</t>
  </si>
  <si>
    <t>Peroxido hidrogeno 50% * 30 kg</t>
  </si>
  <si>
    <t>Negro quimiactive NN</t>
  </si>
  <si>
    <t>Valor total KG</t>
  </si>
  <si>
    <t>Novasintex Lig III</t>
  </si>
  <si>
    <t>Rojo Quimiactive B - 6BS</t>
  </si>
  <si>
    <t>Azul jakazol bleu HQC</t>
  </si>
  <si>
    <t>Rojo jakazol red HQ</t>
  </si>
  <si>
    <t>Amarillo quimiactive yellow HQ-C</t>
  </si>
  <si>
    <t>Suavisante QC en escamas</t>
  </si>
  <si>
    <t>Marvacol flex 40 - Seda</t>
  </si>
  <si>
    <t>Bisulfito de sodio * 25 kl</t>
  </si>
  <si>
    <t>Marino quimiactive B</t>
  </si>
  <si>
    <t>Amarillo quimiactive 3 G</t>
  </si>
  <si>
    <t>Gamadet CR conc</t>
  </si>
  <si>
    <t>Milagroso</t>
  </si>
  <si>
    <t>Consumo de Mayo</t>
  </si>
  <si>
    <t>Vr a pagar</t>
  </si>
  <si>
    <t>Valor dia</t>
  </si>
  <si>
    <t>Administracion 5%</t>
  </si>
  <si>
    <t>Manualidades 5 %</t>
  </si>
  <si>
    <t>Valor hora</t>
  </si>
  <si>
    <t>Dias de trabajo al mes</t>
  </si>
  <si>
    <t>Producción 
100 %</t>
  </si>
  <si>
    <t>Producción 
90 %</t>
  </si>
  <si>
    <t>PROCESO</t>
  </si>
  <si>
    <t>Agua</t>
  </si>
  <si>
    <t>M³ (619)</t>
  </si>
  <si>
    <t>LT</t>
  </si>
  <si>
    <t>Humectante (Recolpat)</t>
  </si>
  <si>
    <t>GR</t>
  </si>
  <si>
    <t>Secuestrante (Requesq 1704)</t>
  </si>
  <si>
    <t>Igualador (Recolgeno RDN)</t>
  </si>
  <si>
    <t>60°</t>
  </si>
  <si>
    <t>TEÑIDO</t>
  </si>
  <si>
    <t>Colorante negro nn (6%)</t>
  </si>
  <si>
    <t>Sal</t>
  </si>
  <si>
    <t>AGOTAMIENTO</t>
  </si>
  <si>
    <t>Alkali</t>
  </si>
  <si>
    <t>Enjuague - 3 veces</t>
  </si>
  <si>
    <t xml:space="preserve">Agua </t>
  </si>
  <si>
    <t>Jabon (Gamadet CR)</t>
  </si>
  <si>
    <t>80 °</t>
  </si>
  <si>
    <t xml:space="preserve">Vr litro </t>
  </si>
  <si>
    <t>TOTAL</t>
  </si>
  <si>
    <t>CENTRIFUGADO</t>
  </si>
  <si>
    <t>SECADO</t>
  </si>
  <si>
    <t>Gasolina</t>
  </si>
  <si>
    <t>Seguridad social</t>
  </si>
  <si>
    <t xml:space="preserve">Pension </t>
  </si>
  <si>
    <t>Salud</t>
  </si>
  <si>
    <t>Caja de compensacion</t>
  </si>
  <si>
    <t>ARL</t>
  </si>
  <si>
    <t>Valor</t>
  </si>
  <si>
    <t>Detalle</t>
  </si>
  <si>
    <t>Aporte empleador - Aporte empleado</t>
  </si>
  <si>
    <t>AUXILIARES</t>
  </si>
  <si>
    <t>COLORANTES</t>
  </si>
  <si>
    <t>Marvacol OFR</t>
  </si>
  <si>
    <t>Marvacol AD ASA</t>
  </si>
  <si>
    <t>Azul gamazol BB</t>
  </si>
  <si>
    <t>Rojo gamazol CD</t>
  </si>
  <si>
    <t>Amarillo gamazol RBF3</t>
  </si>
  <si>
    <t>Extreme gamazol DD</t>
  </si>
  <si>
    <t>Rose gamazol DD</t>
  </si>
  <si>
    <t>Indigo gamazol DD</t>
  </si>
  <si>
    <t>Merigold gamazol DD</t>
  </si>
  <si>
    <t>Cobalt gamazol DD</t>
  </si>
  <si>
    <t>Hipoclorito al 70%</t>
  </si>
  <si>
    <t>Azul quimiactive BTE</t>
  </si>
  <si>
    <t>Amarillo quimiactive 2 R</t>
  </si>
  <si>
    <t>Recolpat SFL-K</t>
  </si>
  <si>
    <t>Realdess oliva RC-A</t>
  </si>
  <si>
    <t xml:space="preserve">Rojo ED </t>
  </si>
  <si>
    <t>Naranja  gamazol 2RL</t>
  </si>
  <si>
    <t>Soda caustica es escamas* 25 kg</t>
  </si>
  <si>
    <t>ENERO</t>
  </si>
  <si>
    <t>FEBRERO</t>
  </si>
  <si>
    <t>MARZO</t>
  </si>
  <si>
    <t>ABRIL</t>
  </si>
  <si>
    <t>MAYO</t>
  </si>
  <si>
    <t>JUNIO</t>
  </si>
  <si>
    <t>MES</t>
  </si>
  <si>
    <t>TOTAL SEMENTRE</t>
  </si>
  <si>
    <t xml:space="preserve">MAQUINAS DE LAVADO </t>
  </si>
  <si>
    <t>ITEM</t>
  </si>
  <si>
    <t>LAVADORA DE MUESTRA</t>
  </si>
  <si>
    <t>CAPACIDAD</t>
  </si>
  <si>
    <t>10 KG</t>
  </si>
  <si>
    <t>20 KG</t>
  </si>
  <si>
    <t>MAQUINA DE LAVADO # 1</t>
  </si>
  <si>
    <t>MAQUINA DE LAVADO # 2</t>
  </si>
  <si>
    <t>MAQUINA DE LAVADO # 3</t>
  </si>
  <si>
    <t>MAQUINA DE LAVADO # 4</t>
  </si>
  <si>
    <t>MAQUINA DE LAVADO # 5</t>
  </si>
  <si>
    <t xml:space="preserve">50 KG </t>
  </si>
  <si>
    <t>100 KG</t>
  </si>
  <si>
    <t>35 KG</t>
  </si>
  <si>
    <t>15 KG</t>
  </si>
  <si>
    <t>SUAVISADO</t>
  </si>
  <si>
    <t xml:space="preserve">PANTALON NIÑO </t>
  </si>
  <si>
    <t>HUMECTACION</t>
  </si>
  <si>
    <t>Azul marino B</t>
  </si>
  <si>
    <t>ENJABONADO</t>
  </si>
  <si>
    <t xml:space="preserve">Amarillo 2R </t>
  </si>
  <si>
    <t>Azul 3G</t>
  </si>
  <si>
    <t>Rojo B</t>
  </si>
  <si>
    <t>Suavisante en escamas</t>
  </si>
  <si>
    <t xml:space="preserve">Seda </t>
  </si>
  <si>
    <t>NOTA: La seda se le agrega a los teñidos oscuros y el suavisante en escamas a los teñidos claros</t>
  </si>
  <si>
    <t>BERMUDA NIÑO</t>
  </si>
  <si>
    <t xml:space="preserve">Azul HQ </t>
  </si>
  <si>
    <t>Azul B</t>
  </si>
  <si>
    <t>SHORT NIÑA</t>
  </si>
  <si>
    <t>1. TEÑIDO AZUL OSCURO</t>
  </si>
  <si>
    <t>2. TEÑIDO NEGRO</t>
  </si>
  <si>
    <t>Soda caustica</t>
  </si>
  <si>
    <t xml:space="preserve">Peroxido </t>
  </si>
  <si>
    <t>Blanco optico</t>
  </si>
  <si>
    <t>COMBUSTIBLE</t>
  </si>
  <si>
    <t>Vr galon</t>
  </si>
  <si>
    <t>Ventas
100 %</t>
  </si>
  <si>
    <t>SECADOR MEDIANO</t>
  </si>
  <si>
    <t>SECADOR PEQUEÑO</t>
  </si>
  <si>
    <t>SECADORAS</t>
  </si>
  <si>
    <t>SERVICIOS</t>
  </si>
  <si>
    <t>AGUA</t>
  </si>
  <si>
    <t>VARIAS</t>
  </si>
  <si>
    <t>CENTRIFUGA</t>
  </si>
  <si>
    <t>PLANCHA VAPOR</t>
  </si>
  <si>
    <t>BERMUDA CABALLERO</t>
  </si>
  <si>
    <t>horas</t>
  </si>
  <si>
    <t>ARRIENDO</t>
  </si>
  <si>
    <t>Arriendo mensual</t>
  </si>
  <si>
    <t>Producción 
80 %</t>
  </si>
  <si>
    <t>MANTENIMIENTO</t>
  </si>
  <si>
    <t>Administracion10%</t>
  </si>
  <si>
    <t>Manualidades 10 %</t>
  </si>
  <si>
    <t>Resma de papel</t>
  </si>
  <si>
    <t>Producción 
40 %</t>
  </si>
  <si>
    <t>Administracion
60%</t>
  </si>
  <si>
    <t>Manualidades
20%</t>
  </si>
  <si>
    <t>REQUERIMIENTO</t>
  </si>
  <si>
    <t>CANTIDAD M.P</t>
  </si>
  <si>
    <t>UNIDAD DE MEDIDA</t>
  </si>
  <si>
    <t>TIEMPO/  MINUTOS</t>
  </si>
  <si>
    <t xml:space="preserve">NOTA: LOS SERVICIOS PUBLICOS SE PROMEDIARON DE ACUERDO A LOS DIAS LABORADOS AL MES (26 dias)
HORARIO: 6:00 AM - 6:00 PM (12 horas).                                                                                                                                                         La calera de vapor se enciende a las 6:00 AM - 6:00 PM (12 horas)  </t>
  </si>
  <si>
    <t/>
  </si>
  <si>
    <t>POR CADA KILO DE PRENDA 10 DE AGUA</t>
  </si>
  <si>
    <t>BERMUDA DE CABALLERO</t>
  </si>
  <si>
    <t>4. VERDE MILITAR</t>
  </si>
  <si>
    <t>SHORT DAMA</t>
  </si>
  <si>
    <t>8. CAPUCCINO</t>
  </si>
  <si>
    <t>9. BLANCO</t>
  </si>
  <si>
    <t>ENJUAGUE</t>
  </si>
  <si>
    <t>10. ROJO</t>
  </si>
  <si>
    <t>Rojo ED</t>
  </si>
  <si>
    <t>PROCESO DE TEÑIDO AZUL OSCURO</t>
  </si>
  <si>
    <t>MATERIA PRIMA</t>
  </si>
  <si>
    <t xml:space="preserve">COSTO </t>
  </si>
  <si>
    <t>Azul marino quimiactive B</t>
  </si>
  <si>
    <t>Alkali (Gamaalcali)</t>
  </si>
  <si>
    <t>MANO DE OBRA</t>
  </si>
  <si>
    <t>NECESIDAD</t>
  </si>
  <si>
    <t xml:space="preserve">UND MEDIDA </t>
  </si>
  <si>
    <t>TIEMPO/HORAS</t>
  </si>
  <si>
    <t>VR HORA CON PRESTACIONES</t>
  </si>
  <si>
    <t>QUIMICO TINTORERO</t>
  </si>
  <si>
    <t>OPERARIO MAQUINAD</t>
  </si>
  <si>
    <t>SUPERNUMERARIO CENTRIFUGADO</t>
  </si>
  <si>
    <t>SUPERNUMERARIO SECADO</t>
  </si>
  <si>
    <t>HORA</t>
  </si>
  <si>
    <t>TOTAL MANO DE OBRA</t>
  </si>
  <si>
    <t>TOTAL MATERIA PRIMA</t>
  </si>
  <si>
    <t>CIF</t>
  </si>
  <si>
    <t>TOTAL CIF</t>
  </si>
  <si>
    <t>PROCESOS EXTRAS</t>
  </si>
  <si>
    <t xml:space="preserve">PLANCHADO </t>
  </si>
  <si>
    <t>PLANCHADO - PRENSISTAS</t>
  </si>
  <si>
    <t>SUPERNUMERARIO ENTALLADO - VOLTEADO</t>
  </si>
  <si>
    <t>TIEMPO/MINUTOS</t>
  </si>
  <si>
    <t>RECOPILACION DE CIF</t>
  </si>
  <si>
    <t>HORAS</t>
  </si>
  <si>
    <t>UND MEDIDA</t>
  </si>
  <si>
    <t>MINUTOS</t>
  </si>
  <si>
    <t>VR UND MEDIDA</t>
  </si>
  <si>
    <t xml:space="preserve">VR HORA </t>
  </si>
  <si>
    <t>UNIDAD MEDIDA</t>
  </si>
  <si>
    <t>VR UNITARIO</t>
  </si>
  <si>
    <t>PROCESO DE TEÑIDO VERDE MILITAR</t>
  </si>
  <si>
    <t>PROCESO DE TEÑIDO KAKI</t>
  </si>
  <si>
    <t>PROCESO DE TEÑIDO NEGRO</t>
  </si>
  <si>
    <t>PROCESO DE TEÑIDO AZUL BB</t>
  </si>
  <si>
    <t>PROCESO DE TEÑIDO GRIS CLARO</t>
  </si>
  <si>
    <t>PROCESO DE TEÑIDO ARENA</t>
  </si>
  <si>
    <t>PROCESO DE TEÑIDO CAPUCCINO</t>
  </si>
  <si>
    <t>PROCESO DE TEÑIDO BLANCO</t>
  </si>
  <si>
    <t>BERMDUA NIÑO</t>
  </si>
  <si>
    <t>PROCESO DE TEÑIDO ROJO</t>
  </si>
  <si>
    <t>COSTOS INDIRECTOS DE FABRICACION</t>
  </si>
  <si>
    <t>SERVICIO</t>
  </si>
  <si>
    <t>VR UNID MEDIDA</t>
  </si>
  <si>
    <t>COSTO TOTAL DE FABRICACION</t>
  </si>
  <si>
    <t>TOTAL COSTO DE PRODUCCIÓN</t>
  </si>
  <si>
    <t>KILOS PROCESADOS</t>
  </si>
  <si>
    <t>COSTO POR KILO</t>
  </si>
  <si>
    <t>PRECIO COMERCIAL</t>
  </si>
  <si>
    <t>COMPRESOR DE AIRE</t>
  </si>
  <si>
    <t>CALDERA DE VAPOR</t>
  </si>
  <si>
    <t>SECADOR GRANDE</t>
  </si>
  <si>
    <t>AGUA - CONSUM0 PROMEDIO 619 M3</t>
  </si>
  <si>
    <t>MMTO PREVENTIVO</t>
  </si>
  <si>
    <t>PAPELERIA MENSUAL</t>
  </si>
  <si>
    <t>TEMP.</t>
  </si>
  <si>
    <t>%</t>
  </si>
  <si>
    <t>TEMP</t>
  </si>
  <si>
    <t>UND DE MEDIDA</t>
  </si>
  <si>
    <t>3. KAKY</t>
  </si>
  <si>
    <t>5. AZUL BB</t>
  </si>
  <si>
    <t>6. GRIS CLARO</t>
  </si>
  <si>
    <t>7. ARENA</t>
  </si>
  <si>
    <t>PRENDAS TEÑIDAS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</si>
</sst>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_-"/>
    <numFmt numFmtId="165" formatCode="_-&quot;$&quot;\ * #,##0_-;\-&quot;$&quot;\ * #,##0_-;_-&quot;$&quot;\ * &quot;-&quot;??_-;_-@_-"/>
    <numFmt numFmtId="166" formatCode="0.000%"/>
    <numFmt numFmtId="167" formatCode="0.0"/>
    <numFmt numFmtId="168" formatCode="_-* #,##0.0_-;\-* #,##0.0_-;_-* &quot;-&quot;??_-;_-@_-"/>
    <numFmt numFmtId="169" formatCode="_-* #,##0.0_-;\-* #,##0.0_-;_-* &quot;-&quot;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rgb="FFFF0000"/>
      <name val="Arial Narrow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 Narrow"/>
      <family val="2"/>
    </font>
    <font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404">
    <xf numFmtId="0" fontId="0" fillId="0" borderId="0" xfId="0"/>
    <xf numFmtId="0" fontId="3" fillId="0" borderId="0" xfId="0" applyFont="1"/>
    <xf numFmtId="164" fontId="3" fillId="0" borderId="0" xfId="1" applyNumberFormat="1" applyFont="1"/>
    <xf numFmtId="164" fontId="2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18" fontId="3" fillId="0" borderId="1" xfId="0" applyNumberFormat="1" applyFont="1" applyBorder="1"/>
    <xf numFmtId="0" fontId="3" fillId="0" borderId="1" xfId="0" applyFont="1" applyBorder="1" applyAlignment="1">
      <alignment horizontal="right"/>
    </xf>
    <xf numFmtId="164" fontId="3" fillId="0" borderId="0" xfId="1" applyNumberFormat="1" applyFont="1" applyBorder="1" applyAlignment="1">
      <alignment vertical="center"/>
    </xf>
    <xf numFmtId="0" fontId="2" fillId="0" borderId="0" xfId="0" applyFont="1"/>
    <xf numFmtId="164" fontId="3" fillId="0" borderId="0" xfId="0" applyNumberFormat="1" applyFont="1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44" fontId="6" fillId="0" borderId="0" xfId="2" applyFont="1"/>
    <xf numFmtId="0" fontId="5" fillId="0" borderId="0" xfId="0" applyFont="1" applyAlignment="1">
      <alignment horizontal="center" vertical="center" wrapText="1"/>
    </xf>
    <xf numFmtId="165" fontId="5" fillId="0" borderId="0" xfId="2" applyNumberFormat="1" applyFont="1" applyAlignment="1">
      <alignment horizontal="center" wrapText="1"/>
    </xf>
    <xf numFmtId="165" fontId="5" fillId="0" borderId="0" xfId="2" applyNumberFormat="1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165" fontId="6" fillId="0" borderId="0" xfId="2" applyNumberFormat="1" applyFont="1"/>
    <xf numFmtId="44" fontId="5" fillId="0" borderId="0" xfId="2" applyFont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65" fontId="4" fillId="0" borderId="1" xfId="2" applyNumberFormat="1" applyFont="1" applyBorder="1" applyAlignment="1">
      <alignment horizontal="center" wrapText="1"/>
    </xf>
    <xf numFmtId="165" fontId="4" fillId="0" borderId="1" xfId="2" applyNumberFormat="1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5" fontId="6" fillId="0" borderId="1" xfId="2" applyNumberFormat="1" applyFont="1" applyBorder="1"/>
    <xf numFmtId="165" fontId="5" fillId="0" borderId="1" xfId="2" applyNumberFormat="1" applyFont="1" applyBorder="1" applyAlignment="1">
      <alignment horizontal="center" vertical="center" wrapText="1"/>
    </xf>
    <xf numFmtId="44" fontId="6" fillId="0" borderId="1" xfId="2" applyFont="1" applyBorder="1"/>
    <xf numFmtId="44" fontId="5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65" fontId="5" fillId="0" borderId="1" xfId="2" applyNumberFormat="1" applyFont="1" applyBorder="1" applyAlignment="1">
      <alignment horizontal="center" wrapText="1"/>
    </xf>
    <xf numFmtId="0" fontId="0" fillId="0" borderId="1" xfId="0" applyBorder="1"/>
    <xf numFmtId="44" fontId="6" fillId="0" borderId="0" xfId="2" applyFont="1" applyBorder="1"/>
    <xf numFmtId="0" fontId="5" fillId="0" borderId="0" xfId="0" applyFont="1" applyAlignment="1">
      <alignment horizontal="left" wrapText="1"/>
    </xf>
    <xf numFmtId="165" fontId="5" fillId="0" borderId="0" xfId="2" applyNumberFormat="1" applyFont="1" applyBorder="1" applyAlignment="1">
      <alignment horizontal="center" wrapText="1"/>
    </xf>
    <xf numFmtId="165" fontId="5" fillId="0" borderId="0" xfId="2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5" fontId="0" fillId="0" borderId="0" xfId="2" applyNumberFormat="1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0" fillId="0" borderId="1" xfId="0" applyBorder="1" applyAlignment="1">
      <alignment horizontal="center"/>
    </xf>
    <xf numFmtId="0" fontId="6" fillId="0" borderId="11" xfId="0" applyFont="1" applyBorder="1"/>
    <xf numFmtId="0" fontId="11" fillId="0" borderId="0" xfId="4"/>
    <xf numFmtId="0" fontId="6" fillId="0" borderId="1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9" fillId="0" borderId="13" xfId="0" applyFont="1" applyBorder="1"/>
    <xf numFmtId="165" fontId="9" fillId="0" borderId="1" xfId="2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0" fillId="0" borderId="0" xfId="0" quotePrefix="1"/>
    <xf numFmtId="165" fontId="9" fillId="0" borderId="0" xfId="2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9" fontId="6" fillId="0" borderId="1" xfId="0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168" fontId="6" fillId="0" borderId="1" xfId="1" applyNumberFormat="1" applyFont="1" applyBorder="1" applyAlignment="1">
      <alignment vertical="center"/>
    </xf>
    <xf numFmtId="164" fontId="6" fillId="0" borderId="1" xfId="1" applyNumberFormat="1" applyFont="1" applyBorder="1" applyAlignment="1">
      <alignment vertical="center"/>
    </xf>
    <xf numFmtId="164" fontId="6" fillId="0" borderId="18" xfId="1" applyNumberFormat="1" applyFont="1" applyBorder="1" applyAlignment="1">
      <alignment vertical="center"/>
    </xf>
    <xf numFmtId="44" fontId="9" fillId="0" borderId="1" xfId="2" applyFont="1" applyBorder="1" applyAlignment="1"/>
    <xf numFmtId="0" fontId="6" fillId="0" borderId="0" xfId="0" applyFont="1" applyAlignment="1">
      <alignment horizontal="left"/>
    </xf>
    <xf numFmtId="44" fontId="9" fillId="0" borderId="0" xfId="2" applyFont="1" applyBorder="1" applyAlignment="1"/>
    <xf numFmtId="0" fontId="6" fillId="0" borderId="0" xfId="0" applyFont="1" applyAlignment="1">
      <alignment horizontal="left" vertical="center" wrapText="1"/>
    </xf>
    <xf numFmtId="43" fontId="6" fillId="0" borderId="0" xfId="1" applyFont="1" applyFill="1" applyBorder="1" applyAlignment="1">
      <alignment vertical="center"/>
    </xf>
    <xf numFmtId="43" fontId="9" fillId="0" borderId="0" xfId="1" applyFont="1" applyFill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4" fontId="6" fillId="0" borderId="0" xfId="1" applyNumberFormat="1" applyFont="1" applyBorder="1" applyAlignment="1">
      <alignment vertical="center"/>
    </xf>
    <xf numFmtId="43" fontId="6" fillId="0" borderId="0" xfId="1" applyFont="1" applyBorder="1" applyAlignment="1">
      <alignment vertical="center"/>
    </xf>
    <xf numFmtId="0" fontId="6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0" xfId="0" applyFont="1"/>
    <xf numFmtId="168" fontId="6" fillId="0" borderId="1" xfId="0" applyNumberFormat="1" applyFont="1" applyBorder="1" applyAlignment="1">
      <alignment horizontal="center" vertical="center"/>
    </xf>
    <xf numFmtId="169" fontId="6" fillId="0" borderId="1" xfId="0" applyNumberFormat="1" applyFont="1" applyBorder="1" applyAlignment="1">
      <alignment horizontal="center"/>
    </xf>
    <xf numFmtId="169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right"/>
    </xf>
    <xf numFmtId="0" fontId="9" fillId="0" borderId="18" xfId="0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168" fontId="6" fillId="0" borderId="0" xfId="1" applyNumberFormat="1" applyFont="1" applyBorder="1" applyAlignment="1">
      <alignment horizontal="center" vertical="center"/>
    </xf>
    <xf numFmtId="168" fontId="6" fillId="0" borderId="1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165" fontId="12" fillId="0" borderId="1" xfId="2" applyNumberFormat="1" applyFont="1" applyBorder="1"/>
    <xf numFmtId="44" fontId="6" fillId="0" borderId="1" xfId="2" applyFont="1" applyBorder="1" applyAlignment="1">
      <alignment vertical="center"/>
    </xf>
    <xf numFmtId="0" fontId="9" fillId="0" borderId="18" xfId="0" applyFont="1" applyBorder="1" applyAlignment="1">
      <alignment horizontal="center" vertical="center" wrapText="1"/>
    </xf>
    <xf numFmtId="164" fontId="6" fillId="0" borderId="0" xfId="0" applyNumberFormat="1" applyFont="1"/>
    <xf numFmtId="0" fontId="9" fillId="0" borderId="16" xfId="0" applyFont="1" applyBorder="1" applyAlignment="1">
      <alignment vertical="center" wrapText="1"/>
    </xf>
    <xf numFmtId="1" fontId="6" fillId="0" borderId="1" xfId="0" applyNumberFormat="1" applyFont="1" applyBorder="1"/>
    <xf numFmtId="0" fontId="9" fillId="0" borderId="2" xfId="0" applyFont="1" applyBorder="1" applyAlignment="1">
      <alignment horizontal="center"/>
    </xf>
    <xf numFmtId="44" fontId="6" fillId="0" borderId="18" xfId="2" applyFont="1" applyBorder="1" applyAlignment="1">
      <alignment vertical="center"/>
    </xf>
    <xf numFmtId="169" fontId="6" fillId="0" borderId="1" xfId="0" applyNumberFormat="1" applyFont="1" applyBorder="1" applyAlignment="1">
      <alignment horizontal="center" vertical="center" wrapText="1"/>
    </xf>
    <xf numFmtId="165" fontId="0" fillId="0" borderId="1" xfId="2" applyNumberFormat="1" applyFont="1" applyBorder="1"/>
    <xf numFmtId="0" fontId="3" fillId="2" borderId="0" xfId="0" applyFont="1" applyFill="1"/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7" xfId="0" applyFont="1" applyFill="1" applyBorder="1"/>
    <xf numFmtId="164" fontId="5" fillId="2" borderId="8" xfId="1" applyNumberFormat="1" applyFont="1" applyFill="1" applyBorder="1" applyAlignment="1">
      <alignment horizontal="center"/>
    </xf>
    <xf numFmtId="164" fontId="5" fillId="2" borderId="1" xfId="1" applyNumberFormat="1" applyFont="1" applyFill="1" applyBorder="1" applyAlignment="1">
      <alignment horizontal="center"/>
    </xf>
    <xf numFmtId="164" fontId="5" fillId="2" borderId="9" xfId="1" applyNumberFormat="1" applyFont="1" applyFill="1" applyBorder="1" applyAlignment="1">
      <alignment horizontal="center"/>
    </xf>
    <xf numFmtId="164" fontId="5" fillId="2" borderId="0" xfId="1" applyNumberFormat="1" applyFont="1" applyFill="1" applyBorder="1" applyAlignment="1">
      <alignment horizontal="center"/>
    </xf>
    <xf numFmtId="164" fontId="5" fillId="2" borderId="0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5" fillId="2" borderId="7" xfId="1" applyNumberFormat="1" applyFont="1" applyFill="1" applyBorder="1"/>
    <xf numFmtId="164" fontId="4" fillId="2" borderId="8" xfId="1" applyNumberFormat="1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164" fontId="4" fillId="2" borderId="0" xfId="1" applyNumberFormat="1" applyFont="1" applyFill="1" applyBorder="1" applyAlignment="1">
      <alignment horizontal="center"/>
    </xf>
    <xf numFmtId="164" fontId="4" fillId="2" borderId="7" xfId="1" applyNumberFormat="1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 wrapText="1"/>
    </xf>
    <xf numFmtId="164" fontId="4" fillId="2" borderId="9" xfId="1" applyNumberFormat="1" applyFont="1" applyFill="1" applyBorder="1" applyAlignment="1">
      <alignment horizontal="center" wrapText="1"/>
    </xf>
    <xf numFmtId="164" fontId="4" fillId="2" borderId="16" xfId="1" applyNumberFormat="1" applyFont="1" applyFill="1" applyBorder="1" applyAlignment="1">
      <alignment horizontal="center" wrapText="1"/>
    </xf>
    <xf numFmtId="9" fontId="5" fillId="2" borderId="1" xfId="3" applyFont="1" applyFill="1" applyBorder="1" applyAlignment="1">
      <alignment horizontal="center"/>
    </xf>
    <xf numFmtId="166" fontId="5" fillId="2" borderId="1" xfId="3" applyNumberFormat="1" applyFont="1" applyFill="1" applyBorder="1" applyAlignment="1">
      <alignment horizontal="center"/>
    </xf>
    <xf numFmtId="0" fontId="5" fillId="2" borderId="10" xfId="0" applyFont="1" applyFill="1" applyBorder="1"/>
    <xf numFmtId="0" fontId="5" fillId="2" borderId="11" xfId="0" applyFont="1" applyFill="1" applyBorder="1"/>
    <xf numFmtId="0" fontId="5" fillId="2" borderId="12" xfId="0" applyFont="1" applyFill="1" applyBorder="1"/>
    <xf numFmtId="44" fontId="5" fillId="2" borderId="1" xfId="2" applyFont="1" applyFill="1" applyBorder="1" applyAlignment="1">
      <alignment horizontal="center"/>
    </xf>
    <xf numFmtId="165" fontId="5" fillId="2" borderId="1" xfId="2" applyNumberFormat="1" applyFont="1" applyFill="1" applyBorder="1" applyAlignment="1">
      <alignment horizontal="center"/>
    </xf>
    <xf numFmtId="165" fontId="5" fillId="2" borderId="8" xfId="2" applyNumberFormat="1" applyFont="1" applyFill="1" applyBorder="1" applyAlignment="1">
      <alignment horizontal="center" vertical="center"/>
    </xf>
    <xf numFmtId="165" fontId="5" fillId="2" borderId="1" xfId="2" applyNumberFormat="1" applyFont="1" applyFill="1" applyBorder="1" applyAlignment="1">
      <alignment horizontal="center" vertical="center"/>
    </xf>
    <xf numFmtId="165" fontId="5" fillId="2" borderId="8" xfId="2" applyNumberFormat="1" applyFont="1" applyFill="1" applyBorder="1" applyAlignment="1">
      <alignment horizontal="center"/>
    </xf>
    <xf numFmtId="165" fontId="5" fillId="2" borderId="0" xfId="2" applyNumberFormat="1" applyFont="1" applyFill="1" applyAlignment="1">
      <alignment horizontal="center"/>
    </xf>
    <xf numFmtId="165" fontId="5" fillId="2" borderId="9" xfId="2" applyNumberFormat="1" applyFont="1" applyFill="1" applyBorder="1" applyAlignment="1">
      <alignment horizontal="center"/>
    </xf>
    <xf numFmtId="165" fontId="5" fillId="2" borderId="0" xfId="2" applyNumberFormat="1" applyFont="1" applyFill="1" applyBorder="1" applyAlignment="1">
      <alignment horizontal="center"/>
    </xf>
    <xf numFmtId="165" fontId="5" fillId="2" borderId="0" xfId="2" applyNumberFormat="1" applyFont="1" applyFill="1" applyBorder="1" applyAlignment="1">
      <alignment horizontal="center" vertical="center"/>
    </xf>
    <xf numFmtId="165" fontId="4" fillId="2" borderId="8" xfId="2" applyNumberFormat="1" applyFont="1" applyFill="1" applyBorder="1" applyAlignment="1">
      <alignment horizontal="center" vertical="center" wrapText="1"/>
    </xf>
    <xf numFmtId="165" fontId="4" fillId="2" borderId="1" xfId="2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0" fontId="6" fillId="2" borderId="11" xfId="0" applyFont="1" applyFill="1" applyBorder="1"/>
    <xf numFmtId="0" fontId="4" fillId="2" borderId="0" xfId="0" applyFont="1" applyFill="1"/>
    <xf numFmtId="0" fontId="4" fillId="2" borderId="0" xfId="0" applyFont="1" applyFill="1" applyAlignment="1">
      <alignment horizontal="center" vertical="center" wrapText="1"/>
    </xf>
    <xf numFmtId="165" fontId="4" fillId="2" borderId="0" xfId="2" applyNumberFormat="1" applyFont="1" applyFill="1" applyAlignment="1">
      <alignment horizontal="center" vertical="center" wrapText="1"/>
    </xf>
    <xf numFmtId="44" fontId="12" fillId="2" borderId="0" xfId="2" applyFont="1" applyFill="1"/>
    <xf numFmtId="44" fontId="8" fillId="2" borderId="0" xfId="2" applyFont="1" applyFill="1"/>
    <xf numFmtId="165" fontId="5" fillId="2" borderId="0" xfId="2" applyNumberFormat="1" applyFont="1" applyFill="1" applyAlignment="1">
      <alignment horizontal="center" vertical="center" wrapText="1"/>
    </xf>
    <xf numFmtId="44" fontId="6" fillId="2" borderId="0" xfId="2" applyFont="1" applyFill="1"/>
    <xf numFmtId="0" fontId="4" fillId="0" borderId="8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6" fillId="0" borderId="8" xfId="0" applyFont="1" applyBorder="1"/>
    <xf numFmtId="44" fontId="6" fillId="0" borderId="26" xfId="2" applyFont="1" applyBorder="1"/>
    <xf numFmtId="0" fontId="5" fillId="0" borderId="8" xfId="0" applyFont="1" applyBorder="1" applyAlignment="1">
      <alignment horizontal="left" wrapText="1"/>
    </xf>
    <xf numFmtId="0" fontId="6" fillId="0" borderId="8" xfId="0" applyFont="1" applyBorder="1" applyAlignment="1">
      <alignment horizontal="left"/>
    </xf>
    <xf numFmtId="0" fontId="5" fillId="0" borderId="27" xfId="0" applyFont="1" applyBorder="1" applyAlignment="1">
      <alignment horizontal="left" wrapText="1"/>
    </xf>
    <xf numFmtId="0" fontId="5" fillId="0" borderId="28" xfId="0" applyFont="1" applyBorder="1" applyAlignment="1">
      <alignment horizontal="center" wrapText="1"/>
    </xf>
    <xf numFmtId="0" fontId="5" fillId="0" borderId="28" xfId="0" applyFont="1" applyBorder="1" applyAlignment="1">
      <alignment horizontal="center" vertical="center" wrapText="1"/>
    </xf>
    <xf numFmtId="165" fontId="5" fillId="0" borderId="28" xfId="2" applyNumberFormat="1" applyFont="1" applyBorder="1" applyAlignment="1">
      <alignment horizontal="center" wrapText="1"/>
    </xf>
    <xf numFmtId="165" fontId="5" fillId="0" borderId="28" xfId="2" applyNumberFormat="1" applyFont="1" applyBorder="1" applyAlignment="1">
      <alignment horizontal="center" vertical="center" wrapText="1"/>
    </xf>
    <xf numFmtId="44" fontId="6" fillId="0" borderId="29" xfId="2" applyFont="1" applyBorder="1"/>
    <xf numFmtId="0" fontId="6" fillId="0" borderId="27" xfId="0" applyFont="1" applyBorder="1"/>
    <xf numFmtId="0" fontId="6" fillId="0" borderId="28" xfId="0" applyFont="1" applyBorder="1" applyAlignment="1">
      <alignment horizontal="center"/>
    </xf>
    <xf numFmtId="165" fontId="6" fillId="0" borderId="28" xfId="2" applyNumberFormat="1" applyFont="1" applyBorder="1"/>
    <xf numFmtId="44" fontId="5" fillId="0" borderId="28" xfId="2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wrapText="1"/>
    </xf>
    <xf numFmtId="165" fontId="6" fillId="0" borderId="29" xfId="2" applyNumberFormat="1" applyFont="1" applyBorder="1" applyAlignment="1">
      <alignment vertical="center"/>
    </xf>
    <xf numFmtId="0" fontId="6" fillId="0" borderId="31" xfId="0" applyFont="1" applyBorder="1"/>
    <xf numFmtId="0" fontId="6" fillId="0" borderId="21" xfId="0" applyFont="1" applyBorder="1"/>
    <xf numFmtId="0" fontId="6" fillId="0" borderId="32" xfId="0" applyFont="1" applyBorder="1"/>
    <xf numFmtId="0" fontId="6" fillId="0" borderId="9" xfId="0" applyFont="1" applyBorder="1"/>
    <xf numFmtId="0" fontId="6" fillId="0" borderId="7" xfId="0" applyFont="1" applyBorder="1"/>
    <xf numFmtId="0" fontId="6" fillId="0" borderId="10" xfId="0" applyFont="1" applyBorder="1"/>
    <xf numFmtId="0" fontId="6" fillId="0" borderId="1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4" xfId="0" applyFont="1" applyBorder="1"/>
    <xf numFmtId="0" fontId="3" fillId="0" borderId="5" xfId="0" applyFont="1" applyBorder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6" fillId="2" borderId="21" xfId="0" applyFont="1" applyFill="1" applyBorder="1"/>
    <xf numFmtId="0" fontId="6" fillId="2" borderId="32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5" xfId="0" applyFont="1" applyFill="1" applyBorder="1"/>
    <xf numFmtId="165" fontId="4" fillId="2" borderId="26" xfId="2" applyNumberFormat="1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wrapText="1"/>
    </xf>
    <xf numFmtId="165" fontId="5" fillId="2" borderId="28" xfId="2" applyNumberFormat="1" applyFont="1" applyFill="1" applyBorder="1" applyAlignment="1">
      <alignment horizontal="center" wrapText="1"/>
    </xf>
    <xf numFmtId="1" fontId="5" fillId="2" borderId="28" xfId="2" applyNumberFormat="1" applyFont="1" applyFill="1" applyBorder="1" applyAlignment="1">
      <alignment horizontal="center" vertical="center" wrapText="1"/>
    </xf>
    <xf numFmtId="165" fontId="13" fillId="2" borderId="28" xfId="2" applyNumberFormat="1" applyFont="1" applyFill="1" applyBorder="1" applyAlignment="1">
      <alignment horizontal="center" vertical="center" wrapText="1"/>
    </xf>
    <xf numFmtId="44" fontId="13" fillId="2" borderId="29" xfId="2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165" fontId="5" fillId="2" borderId="28" xfId="2" applyNumberFormat="1" applyFont="1" applyFill="1" applyBorder="1" applyAlignment="1">
      <alignment horizontal="center" vertical="center" wrapText="1"/>
    </xf>
    <xf numFmtId="44" fontId="6" fillId="2" borderId="28" xfId="2" applyFont="1" applyFill="1" applyBorder="1"/>
    <xf numFmtId="44" fontId="6" fillId="2" borderId="29" xfId="2" applyFont="1" applyFill="1" applyBorder="1"/>
    <xf numFmtId="165" fontId="5" fillId="2" borderId="29" xfId="2" applyNumberFormat="1" applyFont="1" applyFill="1" applyBorder="1" applyAlignment="1">
      <alignment horizontal="center" vertical="center" wrapText="1"/>
    </xf>
    <xf numFmtId="165" fontId="6" fillId="2" borderId="29" xfId="2" applyNumberFormat="1" applyFont="1" applyFill="1" applyBorder="1"/>
    <xf numFmtId="0" fontId="6" fillId="0" borderId="3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165" fontId="9" fillId="0" borderId="24" xfId="2" applyNumberFormat="1" applyFont="1" applyBorder="1" applyAlignment="1">
      <alignment horizontal="center" vertical="center" wrapText="1"/>
    </xf>
    <xf numFmtId="165" fontId="9" fillId="0" borderId="25" xfId="2" applyNumberFormat="1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 wrapText="1"/>
    </xf>
    <xf numFmtId="0" fontId="9" fillId="0" borderId="38" xfId="0" applyFont="1" applyBorder="1"/>
    <xf numFmtId="0" fontId="5" fillId="0" borderId="28" xfId="0" applyFont="1" applyBorder="1"/>
    <xf numFmtId="0" fontId="6" fillId="0" borderId="29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6" fillId="0" borderId="2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6" xfId="0" applyFont="1" applyBorder="1"/>
    <xf numFmtId="44" fontId="6" fillId="0" borderId="26" xfId="0" applyNumberFormat="1" applyFont="1" applyBorder="1"/>
    <xf numFmtId="0" fontId="9" fillId="0" borderId="38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/>
    </xf>
    <xf numFmtId="0" fontId="6" fillId="0" borderId="28" xfId="0" applyFont="1" applyBorder="1"/>
    <xf numFmtId="165" fontId="9" fillId="0" borderId="26" xfId="2" applyNumberFormat="1" applyFont="1" applyBorder="1" applyAlignment="1">
      <alignment horizontal="center" vertical="center" wrapText="1"/>
    </xf>
    <xf numFmtId="44" fontId="6" fillId="0" borderId="26" xfId="0" applyNumberFormat="1" applyFont="1" applyBorder="1" applyAlignment="1">
      <alignment horizontal="center" vertical="center"/>
    </xf>
    <xf numFmtId="44" fontId="6" fillId="0" borderId="26" xfId="0" applyNumberFormat="1" applyFont="1" applyBorder="1" applyAlignment="1">
      <alignment horizontal="center" vertical="center" wrapText="1"/>
    </xf>
    <xf numFmtId="44" fontId="6" fillId="0" borderId="26" xfId="2" applyFont="1" applyBorder="1" applyAlignment="1">
      <alignment horizontal="center" vertical="center" wrapText="1"/>
    </xf>
    <xf numFmtId="44" fontId="6" fillId="0" borderId="26" xfId="0" applyNumberFormat="1" applyFont="1" applyBorder="1" applyAlignment="1">
      <alignment horizontal="center"/>
    </xf>
    <xf numFmtId="44" fontId="9" fillId="0" borderId="29" xfId="2" applyFont="1" applyBorder="1" applyAlignment="1"/>
    <xf numFmtId="0" fontId="9" fillId="0" borderId="26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44" fontId="6" fillId="0" borderId="26" xfId="2" applyFont="1" applyBorder="1" applyAlignment="1">
      <alignment vertical="center"/>
    </xf>
    <xf numFmtId="44" fontId="9" fillId="0" borderId="29" xfId="2" applyFont="1" applyFill="1" applyBorder="1" applyAlignment="1">
      <alignment vertical="center"/>
    </xf>
    <xf numFmtId="0" fontId="6" fillId="0" borderId="17" xfId="0" applyFont="1" applyBorder="1" applyAlignment="1">
      <alignment vertical="center" wrapText="1"/>
    </xf>
    <xf numFmtId="168" fontId="6" fillId="0" borderId="26" xfId="1" applyNumberFormat="1" applyFont="1" applyBorder="1" applyAlignment="1">
      <alignment vertical="center"/>
    </xf>
    <xf numFmtId="0" fontId="6" fillId="0" borderId="48" xfId="0" applyFont="1" applyBorder="1" applyAlignment="1">
      <alignment vertical="center" wrapText="1"/>
    </xf>
    <xf numFmtId="0" fontId="6" fillId="0" borderId="49" xfId="0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168" fontId="6" fillId="0" borderId="29" xfId="1" applyNumberFormat="1" applyFont="1" applyBorder="1" applyAlignment="1">
      <alignment vertical="center"/>
    </xf>
    <xf numFmtId="0" fontId="9" fillId="0" borderId="26" xfId="0" applyFont="1" applyBorder="1" applyAlignment="1">
      <alignment horizontal="center" vertical="center" wrapText="1"/>
    </xf>
    <xf numFmtId="167" fontId="6" fillId="0" borderId="26" xfId="0" applyNumberFormat="1" applyFont="1" applyBorder="1" applyAlignment="1">
      <alignment horizontal="center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8" xfId="0" applyFont="1" applyBorder="1" applyAlignment="1">
      <alignment vertical="center" wrapText="1"/>
    </xf>
    <xf numFmtId="167" fontId="6" fillId="0" borderId="29" xfId="0" applyNumberFormat="1" applyFont="1" applyBorder="1" applyAlignment="1">
      <alignment horizontal="center" vertical="center" wrapText="1"/>
    </xf>
    <xf numFmtId="1" fontId="6" fillId="0" borderId="26" xfId="0" applyNumberFormat="1" applyFont="1" applyBorder="1"/>
    <xf numFmtId="0" fontId="6" fillId="0" borderId="40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9" fillId="0" borderId="30" xfId="0" applyFont="1" applyBorder="1" applyAlignment="1">
      <alignment horizontal="center" vertical="center"/>
    </xf>
    <xf numFmtId="43" fontId="6" fillId="0" borderId="28" xfId="1" applyFont="1" applyFill="1" applyBorder="1" applyAlignment="1">
      <alignment vertical="center"/>
    </xf>
    <xf numFmtId="43" fontId="9" fillId="0" borderId="29" xfId="1" applyFont="1" applyFill="1" applyBorder="1" applyAlignment="1">
      <alignment vertical="center"/>
    </xf>
    <xf numFmtId="0" fontId="9" fillId="0" borderId="49" xfId="0" applyFont="1" applyBorder="1" applyAlignment="1">
      <alignment vertical="center" wrapText="1"/>
    </xf>
    <xf numFmtId="0" fontId="6" fillId="0" borderId="41" xfId="0" applyFont="1" applyBorder="1" applyAlignment="1">
      <alignment vertical="center" wrapText="1"/>
    </xf>
    <xf numFmtId="0" fontId="9" fillId="0" borderId="30" xfId="0" applyFont="1" applyBorder="1" applyAlignment="1">
      <alignment vertical="center"/>
    </xf>
    <xf numFmtId="0" fontId="9" fillId="0" borderId="49" xfId="0" applyFont="1" applyBorder="1" applyAlignment="1">
      <alignment horizontal="center" vertical="center" wrapText="1"/>
    </xf>
    <xf numFmtId="44" fontId="6" fillId="0" borderId="28" xfId="2" applyFont="1" applyFill="1" applyBorder="1" applyAlignment="1">
      <alignment vertical="center"/>
    </xf>
    <xf numFmtId="44" fontId="6" fillId="0" borderId="29" xfId="2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44" fontId="9" fillId="0" borderId="2" xfId="2" applyFont="1" applyBorder="1" applyAlignment="1"/>
    <xf numFmtId="44" fontId="6" fillId="0" borderId="29" xfId="0" applyNumberFormat="1" applyFont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0" fillId="0" borderId="8" xfId="0" applyBorder="1"/>
    <xf numFmtId="164" fontId="0" fillId="0" borderId="26" xfId="1" applyNumberFormat="1" applyFont="1" applyBorder="1"/>
    <xf numFmtId="0" fontId="0" fillId="0" borderId="27" xfId="0" applyBorder="1"/>
    <xf numFmtId="164" fontId="0" fillId="0" borderId="29" xfId="1" applyNumberFormat="1" applyFont="1" applyBorder="1"/>
    <xf numFmtId="0" fontId="10" fillId="0" borderId="24" xfId="0" applyFont="1" applyBorder="1" applyAlignment="1">
      <alignment horizontal="center" vertical="center"/>
    </xf>
    <xf numFmtId="165" fontId="10" fillId="0" borderId="24" xfId="2" applyNumberFormat="1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/>
    <xf numFmtId="165" fontId="0" fillId="0" borderId="28" xfId="2" applyNumberFormat="1" applyFont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164" fontId="4" fillId="2" borderId="1" xfId="1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64" fontId="5" fillId="2" borderId="17" xfId="1" applyNumberFormat="1" applyFont="1" applyFill="1" applyBorder="1" applyAlignment="1">
      <alignment horizontal="center"/>
    </xf>
    <xf numFmtId="164" fontId="5" fillId="2" borderId="15" xfId="1" applyNumberFormat="1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/>
    </xf>
    <xf numFmtId="164" fontId="4" fillId="2" borderId="0" xfId="1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6" fillId="0" borderId="3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1" fontId="5" fillId="0" borderId="18" xfId="2" applyNumberFormat="1" applyFont="1" applyBorder="1" applyAlignment="1">
      <alignment horizontal="center" vertical="center" wrapText="1"/>
    </xf>
    <xf numFmtId="1" fontId="5" fillId="0" borderId="19" xfId="2" applyNumberFormat="1" applyFont="1" applyBorder="1" applyAlignment="1">
      <alignment horizontal="center" vertical="center" wrapText="1"/>
    </xf>
    <xf numFmtId="1" fontId="5" fillId="0" borderId="37" xfId="2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  <xf numFmtId="168" fontId="6" fillId="0" borderId="1" xfId="1" applyNumberFormat="1" applyFont="1" applyBorder="1" applyAlignment="1">
      <alignment horizontal="center" vertical="center"/>
    </xf>
    <xf numFmtId="168" fontId="6" fillId="0" borderId="26" xfId="1" applyNumberFormat="1" applyFont="1" applyBorder="1" applyAlignment="1">
      <alignment horizontal="center" vertical="center"/>
    </xf>
    <xf numFmtId="168" fontId="6" fillId="0" borderId="28" xfId="1" applyNumberFormat="1" applyFont="1" applyBorder="1" applyAlignment="1">
      <alignment horizontal="center" vertical="center"/>
    </xf>
    <xf numFmtId="168" fontId="6" fillId="0" borderId="29" xfId="1" applyNumberFormat="1" applyFont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9" fillId="0" borderId="4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6" fillId="0" borderId="40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5" fillId="0" borderId="33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" fontId="5" fillId="0" borderId="2" xfId="2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7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9" fillId="0" borderId="40" xfId="0" applyFont="1" applyBorder="1" applyAlignment="1">
      <alignment horizontal="left"/>
    </xf>
    <xf numFmtId="0" fontId="9" fillId="0" borderId="42" xfId="0" applyFont="1" applyBorder="1" applyAlignment="1">
      <alignment horizontal="left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13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3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9" fillId="0" borderId="43" xfId="0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49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left" vertical="center" wrapText="1"/>
    </xf>
    <xf numFmtId="0" fontId="6" fillId="0" borderId="49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50" xfId="0" applyFont="1" applyBorder="1" applyAlignment="1">
      <alignment horizontal="left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</cellXfs>
  <cellStyles count="5">
    <cellStyle name="Hipervínculo" xfId="4" builtinId="8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O.TE&#209;IDO AZUL BB'!&#193;rea_de_impresi&#243;n"/><Relationship Id="rId13" Type="http://schemas.openxmlformats.org/officeDocument/2006/relationships/hyperlink" Target="#'O.TE&#209;IDO ROJO'!&#193;rea_de_impresi&#243;n"/><Relationship Id="rId18" Type="http://schemas.openxmlformats.org/officeDocument/2006/relationships/hyperlink" Target="#'5. AZUL BB'!A1"/><Relationship Id="rId3" Type="http://schemas.openxmlformats.org/officeDocument/2006/relationships/hyperlink" Target="#CIF!A1"/><Relationship Id="rId21" Type="http://schemas.openxmlformats.org/officeDocument/2006/relationships/hyperlink" Target="#'8. CAPUCCINO '!A1"/><Relationship Id="rId7" Type="http://schemas.openxmlformats.org/officeDocument/2006/relationships/hyperlink" Target="#'O.TE&#209;IDO VERDE MILITAR'!A1"/><Relationship Id="rId12" Type="http://schemas.openxmlformats.org/officeDocument/2006/relationships/hyperlink" Target="#'O.TE&#209;IDO BLANCO'!&#193;rea_de_impresi&#243;n"/><Relationship Id="rId17" Type="http://schemas.openxmlformats.org/officeDocument/2006/relationships/hyperlink" Target="#'4. VERDE MILITAR'!A1"/><Relationship Id="rId2" Type="http://schemas.openxmlformats.org/officeDocument/2006/relationships/hyperlink" Target="#'MANO OBRA P.'!A1"/><Relationship Id="rId16" Type="http://schemas.openxmlformats.org/officeDocument/2006/relationships/hyperlink" Target="#'3. KAKY '!A1"/><Relationship Id="rId20" Type="http://schemas.openxmlformats.org/officeDocument/2006/relationships/hyperlink" Target="#'7. ARENA'!A1"/><Relationship Id="rId1" Type="http://schemas.openxmlformats.org/officeDocument/2006/relationships/hyperlink" Target="#'MATERIA PRIMA'!A1"/><Relationship Id="rId6" Type="http://schemas.openxmlformats.org/officeDocument/2006/relationships/hyperlink" Target="#'O.TE&#209;IDO KAKI'!A1"/><Relationship Id="rId11" Type="http://schemas.openxmlformats.org/officeDocument/2006/relationships/hyperlink" Target="#'O.TE&#209;IDO CAPUCCINO'!&#193;rea_de_impresi&#243;n"/><Relationship Id="rId5" Type="http://schemas.openxmlformats.org/officeDocument/2006/relationships/hyperlink" Target="#'O.TE&#209;IDO NEGRO'!A1"/><Relationship Id="rId15" Type="http://schemas.openxmlformats.org/officeDocument/2006/relationships/hyperlink" Target="#'2. NEGRO'!A1"/><Relationship Id="rId23" Type="http://schemas.openxmlformats.org/officeDocument/2006/relationships/hyperlink" Target="#'10. ROJO'!A1"/><Relationship Id="rId10" Type="http://schemas.openxmlformats.org/officeDocument/2006/relationships/hyperlink" Target="#'O.TE&#209;IDO ARENA'!&#193;rea_de_impresi&#243;n"/><Relationship Id="rId19" Type="http://schemas.openxmlformats.org/officeDocument/2006/relationships/hyperlink" Target="#'6. GRIS CLARO'!A1"/><Relationship Id="rId4" Type="http://schemas.openxmlformats.org/officeDocument/2006/relationships/hyperlink" Target="#'O.TE&#209;IDO AZUL'!A1"/><Relationship Id="rId9" Type="http://schemas.openxmlformats.org/officeDocument/2006/relationships/hyperlink" Target="#'O.TE&#209;IDO GRIS CLARO'!&#193;rea_de_impresi&#243;n"/><Relationship Id="rId14" Type="http://schemas.openxmlformats.org/officeDocument/2006/relationships/hyperlink" Target="#'1. AZUL OSCURO'!A1"/><Relationship Id="rId22" Type="http://schemas.openxmlformats.org/officeDocument/2006/relationships/hyperlink" Target="#'9. BLANCO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SISTEMA DE COSTEO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SISTEMA DE COSTEO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SISTEMA DE COSTEO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SISTEMA DE COSTEO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SISTEMA DE COSTEO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SISTEMA DE COSTEO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SISTEMA DE COSTEO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SISTEMA DE COSTEO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SISTEMA DE COSTEO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SISTEMA DE COSTEO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ISTEMA DE COSTEO'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SISTEMA DE COSTEO'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SISTEMA DE COSTEO'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SISTEMA DE COSTEO'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SISTEMA DE COSTEO'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'SISTEMA DE COSTEO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ISTEMA DE COSTEO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ISTEMA DE COSTEO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ISTEMA DE COSTEO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SISTEMA DE COSTEO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SISTEMA DE COSTEO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SISTEMA DE COSTEO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SISTEMA DE COSTEO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0</xdr:row>
      <xdr:rowOff>57150</xdr:rowOff>
    </xdr:from>
    <xdr:to>
      <xdr:col>10</xdr:col>
      <xdr:colOff>76201</xdr:colOff>
      <xdr:row>2</xdr:row>
      <xdr:rowOff>19050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C2CE4238-2418-4C9A-A665-8D83FDBF4E11}"/>
            </a:ext>
          </a:extLst>
        </xdr:cNvPr>
        <xdr:cNvSpPr/>
      </xdr:nvSpPr>
      <xdr:spPr>
        <a:xfrm>
          <a:off x="57151" y="57150"/>
          <a:ext cx="7639050" cy="342900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400" b="1"/>
            <a:t>SISTEMA</a:t>
          </a:r>
          <a:r>
            <a:rPr lang="es-CO" sz="2400" b="1" baseline="0"/>
            <a:t> DE COSTEO</a:t>
          </a:r>
          <a:endParaRPr lang="es-CO" sz="2400" b="1"/>
        </a:p>
      </xdr:txBody>
    </xdr:sp>
    <xdr:clientData/>
  </xdr:twoCellAnchor>
  <xdr:twoCellAnchor>
    <xdr:from>
      <xdr:col>0</xdr:col>
      <xdr:colOff>28575</xdr:colOff>
      <xdr:row>2</xdr:row>
      <xdr:rowOff>76200</xdr:rowOff>
    </xdr:from>
    <xdr:to>
      <xdr:col>4</xdr:col>
      <xdr:colOff>104775</xdr:colOff>
      <xdr:row>5</xdr:row>
      <xdr:rowOff>123825</xdr:rowOff>
    </xdr:to>
    <xdr:sp macro="[0]!ELEMENTOSDELCOSTO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7A624DC4-E306-48D1-8C2D-2B1DAC9BA7F1}"/>
            </a:ext>
          </a:extLst>
        </xdr:cNvPr>
        <xdr:cNvSpPr/>
      </xdr:nvSpPr>
      <xdr:spPr>
        <a:xfrm>
          <a:off x="28575" y="457200"/>
          <a:ext cx="3124200" cy="619125"/>
        </a:xfrm>
        <a:prstGeom prst="round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/>
            <a:t>ELEMENTOS DEL COSTO</a:t>
          </a:r>
        </a:p>
      </xdr:txBody>
    </xdr:sp>
    <xdr:clientData/>
  </xdr:twoCellAnchor>
  <xdr:twoCellAnchor>
    <xdr:from>
      <xdr:col>0</xdr:col>
      <xdr:colOff>57150</xdr:colOff>
      <xdr:row>5</xdr:row>
      <xdr:rowOff>161925</xdr:rowOff>
    </xdr:from>
    <xdr:to>
      <xdr:col>1</xdr:col>
      <xdr:colOff>495300</xdr:colOff>
      <xdr:row>9</xdr:row>
      <xdr:rowOff>19050</xdr:rowOff>
    </xdr:to>
    <xdr:sp macro="[0]!MATERIAPRIMA" textlink="">
      <xdr:nvSpPr>
        <xdr:cNvPr id="4" name="Rectángulo: esquinas redondeada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B6A91B-434F-4D83-912F-1957DED40ECC}"/>
            </a:ext>
          </a:extLst>
        </xdr:cNvPr>
        <xdr:cNvSpPr/>
      </xdr:nvSpPr>
      <xdr:spPr>
        <a:xfrm>
          <a:off x="57150" y="1114425"/>
          <a:ext cx="1200150" cy="619125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400" b="1"/>
            <a:t>MATERIA PRIMA</a:t>
          </a:r>
        </a:p>
      </xdr:txBody>
    </xdr:sp>
    <xdr:clientData/>
  </xdr:twoCellAnchor>
  <xdr:twoCellAnchor>
    <xdr:from>
      <xdr:col>1</xdr:col>
      <xdr:colOff>533400</xdr:colOff>
      <xdr:row>5</xdr:row>
      <xdr:rowOff>161925</xdr:rowOff>
    </xdr:from>
    <xdr:to>
      <xdr:col>3</xdr:col>
      <xdr:colOff>95250</xdr:colOff>
      <xdr:row>9</xdr:row>
      <xdr:rowOff>19050</xdr:rowOff>
    </xdr:to>
    <xdr:sp macro="" textlink="">
      <xdr:nvSpPr>
        <xdr:cNvPr id="5" name="Rectángulo: esquinas redondeada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CDCCDF-1739-4BCD-90EC-5DE73B5AF114}"/>
            </a:ext>
          </a:extLst>
        </xdr:cNvPr>
        <xdr:cNvSpPr/>
      </xdr:nvSpPr>
      <xdr:spPr>
        <a:xfrm>
          <a:off x="1295400" y="1114425"/>
          <a:ext cx="1085850" cy="619125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400" b="1"/>
            <a:t>MANO</a:t>
          </a:r>
          <a:r>
            <a:rPr lang="es-CO" sz="1400" b="1" baseline="0"/>
            <a:t> OBRA P.</a:t>
          </a:r>
          <a:endParaRPr lang="es-CO" sz="1400" b="1"/>
        </a:p>
      </xdr:txBody>
    </xdr:sp>
    <xdr:clientData/>
  </xdr:twoCellAnchor>
  <xdr:twoCellAnchor>
    <xdr:from>
      <xdr:col>3</xdr:col>
      <xdr:colOff>142875</xdr:colOff>
      <xdr:row>5</xdr:row>
      <xdr:rowOff>161925</xdr:rowOff>
    </xdr:from>
    <xdr:to>
      <xdr:col>4</xdr:col>
      <xdr:colOff>104775</xdr:colOff>
      <xdr:row>9</xdr:row>
      <xdr:rowOff>19050</xdr:rowOff>
    </xdr:to>
    <xdr:sp macro="" textlink="">
      <xdr:nvSpPr>
        <xdr:cNvPr id="6" name="Rectángulo: esquinas redondeada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137920-97BE-46F9-BBE4-E2FFEF8CB004}"/>
            </a:ext>
          </a:extLst>
        </xdr:cNvPr>
        <xdr:cNvSpPr/>
      </xdr:nvSpPr>
      <xdr:spPr>
        <a:xfrm>
          <a:off x="2428875" y="1114425"/>
          <a:ext cx="723900" cy="619125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400" b="1"/>
            <a:t>CIF</a:t>
          </a:r>
        </a:p>
      </xdr:txBody>
    </xdr:sp>
    <xdr:clientData/>
  </xdr:twoCellAnchor>
  <xdr:twoCellAnchor>
    <xdr:from>
      <xdr:col>4</xdr:col>
      <xdr:colOff>152400</xdr:colOff>
      <xdr:row>2</xdr:row>
      <xdr:rowOff>76200</xdr:rowOff>
    </xdr:from>
    <xdr:to>
      <xdr:col>7</xdr:col>
      <xdr:colOff>57150</xdr:colOff>
      <xdr:row>5</xdr:row>
      <xdr:rowOff>123825</xdr:rowOff>
    </xdr:to>
    <xdr:sp macro="" textlink="">
      <xdr:nvSpPr>
        <xdr:cNvPr id="7" name="Rectángulo: esquinas redondeadas 6">
          <a:extLst>
            <a:ext uri="{FF2B5EF4-FFF2-40B4-BE49-F238E27FC236}">
              <a16:creationId xmlns:a16="http://schemas.microsoft.com/office/drawing/2014/main" id="{D00064A8-AB00-427F-A4C1-26C354A3219C}"/>
            </a:ext>
          </a:extLst>
        </xdr:cNvPr>
        <xdr:cNvSpPr/>
      </xdr:nvSpPr>
      <xdr:spPr>
        <a:xfrm>
          <a:off x="3200400" y="457200"/>
          <a:ext cx="2190750" cy="619125"/>
        </a:xfrm>
        <a:prstGeom prst="round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/>
            <a:t>FICHA TECNICA DE PRODUCTOS</a:t>
          </a:r>
        </a:p>
      </xdr:txBody>
    </xdr:sp>
    <xdr:clientData/>
  </xdr:twoCellAnchor>
  <xdr:twoCellAnchor>
    <xdr:from>
      <xdr:col>7</xdr:col>
      <xdr:colOff>133350</xdr:colOff>
      <xdr:row>2</xdr:row>
      <xdr:rowOff>76200</xdr:rowOff>
    </xdr:from>
    <xdr:to>
      <xdr:col>10</xdr:col>
      <xdr:colOff>38100</xdr:colOff>
      <xdr:row>5</xdr:row>
      <xdr:rowOff>123825</xdr:rowOff>
    </xdr:to>
    <xdr:sp macro="" textlink="">
      <xdr:nvSpPr>
        <xdr:cNvPr id="8" name="Rectángulo: esquinas redondeadas 7">
          <a:extLst>
            <a:ext uri="{FF2B5EF4-FFF2-40B4-BE49-F238E27FC236}">
              <a16:creationId xmlns:a16="http://schemas.microsoft.com/office/drawing/2014/main" id="{EE56A057-73FF-4864-A7A1-7BEE4ED082C3}"/>
            </a:ext>
          </a:extLst>
        </xdr:cNvPr>
        <xdr:cNvSpPr/>
      </xdr:nvSpPr>
      <xdr:spPr>
        <a:xfrm>
          <a:off x="5467350" y="457200"/>
          <a:ext cx="2190750" cy="619125"/>
        </a:xfrm>
        <a:prstGeom prst="round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="1"/>
            <a:t>COSTEO ORDEN DE</a:t>
          </a:r>
          <a:r>
            <a:rPr lang="es-CO" sz="1400" b="1" baseline="0"/>
            <a:t> FABRICACION</a:t>
          </a:r>
          <a:endParaRPr lang="es-CO" sz="1400" b="1"/>
        </a:p>
      </xdr:txBody>
    </xdr:sp>
    <xdr:clientData/>
  </xdr:twoCellAnchor>
  <xdr:twoCellAnchor>
    <xdr:from>
      <xdr:col>7</xdr:col>
      <xdr:colOff>171450</xdr:colOff>
      <xdr:row>6</xdr:row>
      <xdr:rowOff>0</xdr:rowOff>
    </xdr:from>
    <xdr:to>
      <xdr:col>10</xdr:col>
      <xdr:colOff>38100</xdr:colOff>
      <xdr:row>9</xdr:row>
      <xdr:rowOff>28575</xdr:rowOff>
    </xdr:to>
    <xdr:sp macro="" textlink="">
      <xdr:nvSpPr>
        <xdr:cNvPr id="20" name="Rectángulo: esquinas redondeadas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3E97C8-88CD-43EB-912E-4F3DF9E7EE1E}"/>
            </a:ext>
          </a:extLst>
        </xdr:cNvPr>
        <xdr:cNvSpPr/>
      </xdr:nvSpPr>
      <xdr:spPr>
        <a:xfrm>
          <a:off x="5505450" y="1143000"/>
          <a:ext cx="2152650" cy="600075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="1" baseline="0"/>
            <a:t>O.F TEÑIDO AZUL OSCURO</a:t>
          </a:r>
          <a:endParaRPr lang="es-CO" sz="1400" b="1"/>
        </a:p>
      </xdr:txBody>
    </xdr:sp>
    <xdr:clientData/>
  </xdr:twoCellAnchor>
  <xdr:twoCellAnchor>
    <xdr:from>
      <xdr:col>7</xdr:col>
      <xdr:colOff>219075</xdr:colOff>
      <xdr:row>9</xdr:row>
      <xdr:rowOff>104775</xdr:rowOff>
    </xdr:from>
    <xdr:to>
      <xdr:col>10</xdr:col>
      <xdr:colOff>85725</xdr:colOff>
      <xdr:row>12</xdr:row>
      <xdr:rowOff>133350</xdr:rowOff>
    </xdr:to>
    <xdr:sp macro="" textlink="">
      <xdr:nvSpPr>
        <xdr:cNvPr id="21" name="Rectángulo: esquinas redondeadas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E21DE5B-3C9E-42F2-A5E1-75039B31935A}"/>
            </a:ext>
          </a:extLst>
        </xdr:cNvPr>
        <xdr:cNvSpPr/>
      </xdr:nvSpPr>
      <xdr:spPr>
        <a:xfrm>
          <a:off x="5553075" y="1819275"/>
          <a:ext cx="2152650" cy="600075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="1"/>
            <a:t>O. F PROCESO</a:t>
          </a:r>
          <a:r>
            <a:rPr lang="es-CO" sz="1400" b="1" baseline="0"/>
            <a:t> TEÑIDO NEGRO</a:t>
          </a:r>
          <a:endParaRPr lang="es-CO" sz="1400" b="1"/>
        </a:p>
      </xdr:txBody>
    </xdr:sp>
    <xdr:clientData/>
  </xdr:twoCellAnchor>
  <xdr:twoCellAnchor>
    <xdr:from>
      <xdr:col>7</xdr:col>
      <xdr:colOff>219075</xdr:colOff>
      <xdr:row>13</xdr:row>
      <xdr:rowOff>28575</xdr:rowOff>
    </xdr:from>
    <xdr:to>
      <xdr:col>10</xdr:col>
      <xdr:colOff>85725</xdr:colOff>
      <xdr:row>16</xdr:row>
      <xdr:rowOff>57150</xdr:rowOff>
    </xdr:to>
    <xdr:sp macro="" textlink="">
      <xdr:nvSpPr>
        <xdr:cNvPr id="22" name="Rectángulo: esquinas redondeadas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45587C8-3511-4064-89E9-E335CF595339}"/>
            </a:ext>
          </a:extLst>
        </xdr:cNvPr>
        <xdr:cNvSpPr/>
      </xdr:nvSpPr>
      <xdr:spPr>
        <a:xfrm>
          <a:off x="5553075" y="2505075"/>
          <a:ext cx="2152650" cy="600075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="1"/>
            <a:t>O.F PROCESO</a:t>
          </a:r>
          <a:r>
            <a:rPr lang="es-CO" sz="1400" b="1" baseline="0"/>
            <a:t> TEÑIDO  KAKY</a:t>
          </a:r>
          <a:endParaRPr lang="es-CO" sz="1400" b="1"/>
        </a:p>
      </xdr:txBody>
    </xdr:sp>
    <xdr:clientData/>
  </xdr:twoCellAnchor>
  <xdr:twoCellAnchor>
    <xdr:from>
      <xdr:col>7</xdr:col>
      <xdr:colOff>238125</xdr:colOff>
      <xdr:row>16</xdr:row>
      <xdr:rowOff>104775</xdr:rowOff>
    </xdr:from>
    <xdr:to>
      <xdr:col>10</xdr:col>
      <xdr:colOff>104775</xdr:colOff>
      <xdr:row>19</xdr:row>
      <xdr:rowOff>133350</xdr:rowOff>
    </xdr:to>
    <xdr:sp macro="" textlink="">
      <xdr:nvSpPr>
        <xdr:cNvPr id="23" name="Rectángulo: esquinas redondeadas 2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14B9971-F51C-4011-83E6-934B1028773D}"/>
            </a:ext>
          </a:extLst>
        </xdr:cNvPr>
        <xdr:cNvSpPr/>
      </xdr:nvSpPr>
      <xdr:spPr>
        <a:xfrm>
          <a:off x="5572125" y="3152775"/>
          <a:ext cx="2152650" cy="600075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="1"/>
            <a:t>O.F PROCESO</a:t>
          </a:r>
          <a:r>
            <a:rPr lang="es-CO" sz="1400" b="1" baseline="0"/>
            <a:t> TEÑIDO </a:t>
          </a:r>
        </a:p>
        <a:p>
          <a:pPr algn="ctr"/>
          <a:r>
            <a:rPr lang="es-CO" sz="1400" b="1" baseline="0"/>
            <a:t> VERDE MILITAR</a:t>
          </a:r>
          <a:endParaRPr lang="es-CO" sz="1400" b="1"/>
        </a:p>
      </xdr:txBody>
    </xdr:sp>
    <xdr:clientData/>
  </xdr:twoCellAnchor>
  <xdr:twoCellAnchor>
    <xdr:from>
      <xdr:col>7</xdr:col>
      <xdr:colOff>247650</xdr:colOff>
      <xdr:row>20</xdr:row>
      <xdr:rowOff>9525</xdr:rowOff>
    </xdr:from>
    <xdr:to>
      <xdr:col>10</xdr:col>
      <xdr:colOff>114300</xdr:colOff>
      <xdr:row>23</xdr:row>
      <xdr:rowOff>38100</xdr:rowOff>
    </xdr:to>
    <xdr:sp macro="" textlink="">
      <xdr:nvSpPr>
        <xdr:cNvPr id="24" name="Rectángulo: esquinas redondeadas 2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F70584F-1C19-41C3-B6D8-90F90008C639}"/>
            </a:ext>
          </a:extLst>
        </xdr:cNvPr>
        <xdr:cNvSpPr/>
      </xdr:nvSpPr>
      <xdr:spPr>
        <a:xfrm>
          <a:off x="5581650" y="3819525"/>
          <a:ext cx="2152650" cy="600075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="1"/>
            <a:t>O.F PROCESO</a:t>
          </a:r>
          <a:r>
            <a:rPr lang="es-CO" sz="1400" b="1" baseline="0"/>
            <a:t> TEÑIDO             AZUL BB</a:t>
          </a:r>
          <a:endParaRPr lang="es-CO" sz="1400" b="1"/>
        </a:p>
      </xdr:txBody>
    </xdr:sp>
    <xdr:clientData/>
  </xdr:twoCellAnchor>
  <xdr:twoCellAnchor>
    <xdr:from>
      <xdr:col>7</xdr:col>
      <xdr:colOff>257175</xdr:colOff>
      <xdr:row>23</xdr:row>
      <xdr:rowOff>104775</xdr:rowOff>
    </xdr:from>
    <xdr:to>
      <xdr:col>10</xdr:col>
      <xdr:colOff>123825</xdr:colOff>
      <xdr:row>26</xdr:row>
      <xdr:rowOff>133350</xdr:rowOff>
    </xdr:to>
    <xdr:sp macro="" textlink="">
      <xdr:nvSpPr>
        <xdr:cNvPr id="25" name="Rectángulo: esquinas redondeadas 2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255F064-A1A8-4474-B3EC-EC17F1546C61}"/>
            </a:ext>
          </a:extLst>
        </xdr:cNvPr>
        <xdr:cNvSpPr/>
      </xdr:nvSpPr>
      <xdr:spPr>
        <a:xfrm>
          <a:off x="5591175" y="4486275"/>
          <a:ext cx="2152650" cy="600075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="1"/>
            <a:t>O.F PROCESO</a:t>
          </a:r>
          <a:r>
            <a:rPr lang="es-CO" sz="1400" b="1" baseline="0"/>
            <a:t> TEÑIDO GRIS CLARO</a:t>
          </a:r>
          <a:endParaRPr lang="es-CO" sz="1400" b="1"/>
        </a:p>
      </xdr:txBody>
    </xdr:sp>
    <xdr:clientData/>
  </xdr:twoCellAnchor>
  <xdr:twoCellAnchor>
    <xdr:from>
      <xdr:col>7</xdr:col>
      <xdr:colOff>266700</xdr:colOff>
      <xdr:row>27</xdr:row>
      <xdr:rowOff>0</xdr:rowOff>
    </xdr:from>
    <xdr:to>
      <xdr:col>10</xdr:col>
      <xdr:colOff>133350</xdr:colOff>
      <xdr:row>30</xdr:row>
      <xdr:rowOff>28575</xdr:rowOff>
    </xdr:to>
    <xdr:sp macro="" textlink="">
      <xdr:nvSpPr>
        <xdr:cNvPr id="26" name="Rectángulo: esquinas redondeadas 2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81A9412-F681-4EC6-819C-C6CE4550376B}"/>
            </a:ext>
          </a:extLst>
        </xdr:cNvPr>
        <xdr:cNvSpPr/>
      </xdr:nvSpPr>
      <xdr:spPr>
        <a:xfrm>
          <a:off x="5600700" y="5143500"/>
          <a:ext cx="2152650" cy="600075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="1"/>
            <a:t>O.F PROCESO</a:t>
          </a:r>
          <a:r>
            <a:rPr lang="es-CO" sz="1400" b="1" baseline="0"/>
            <a:t> TEÑIDO ARENA</a:t>
          </a:r>
          <a:endParaRPr lang="es-CO" sz="1400" b="1"/>
        </a:p>
      </xdr:txBody>
    </xdr:sp>
    <xdr:clientData/>
  </xdr:twoCellAnchor>
  <xdr:twoCellAnchor>
    <xdr:from>
      <xdr:col>7</xdr:col>
      <xdr:colOff>276225</xdr:colOff>
      <xdr:row>30</xdr:row>
      <xdr:rowOff>85725</xdr:rowOff>
    </xdr:from>
    <xdr:to>
      <xdr:col>10</xdr:col>
      <xdr:colOff>142875</xdr:colOff>
      <xdr:row>33</xdr:row>
      <xdr:rowOff>114300</xdr:rowOff>
    </xdr:to>
    <xdr:sp macro="" textlink="">
      <xdr:nvSpPr>
        <xdr:cNvPr id="27" name="Rectángulo: esquinas redondeadas 2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60ACB30-35E8-40E0-BF05-DBFCDB50E4C5}"/>
            </a:ext>
          </a:extLst>
        </xdr:cNvPr>
        <xdr:cNvSpPr/>
      </xdr:nvSpPr>
      <xdr:spPr>
        <a:xfrm>
          <a:off x="5610225" y="5800725"/>
          <a:ext cx="2152650" cy="600075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="1"/>
            <a:t>O.F PROCESO</a:t>
          </a:r>
          <a:r>
            <a:rPr lang="es-CO" sz="1400" b="1" baseline="0"/>
            <a:t> TEÑIDO PUCCINO</a:t>
          </a:r>
          <a:endParaRPr lang="es-CO" sz="1400" b="1"/>
        </a:p>
      </xdr:txBody>
    </xdr:sp>
    <xdr:clientData/>
  </xdr:twoCellAnchor>
  <xdr:twoCellAnchor>
    <xdr:from>
      <xdr:col>7</xdr:col>
      <xdr:colOff>266700</xdr:colOff>
      <xdr:row>33</xdr:row>
      <xdr:rowOff>171450</xdr:rowOff>
    </xdr:from>
    <xdr:to>
      <xdr:col>10</xdr:col>
      <xdr:colOff>133350</xdr:colOff>
      <xdr:row>37</xdr:row>
      <xdr:rowOff>9525</xdr:rowOff>
    </xdr:to>
    <xdr:sp macro="" textlink="">
      <xdr:nvSpPr>
        <xdr:cNvPr id="28" name="Rectángulo: esquinas redondeadas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525CC7C4-6FFA-4212-B895-6D1A78E6E7A1}"/>
            </a:ext>
          </a:extLst>
        </xdr:cNvPr>
        <xdr:cNvSpPr/>
      </xdr:nvSpPr>
      <xdr:spPr>
        <a:xfrm>
          <a:off x="5600700" y="6743700"/>
          <a:ext cx="2152650" cy="600075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="1"/>
            <a:t>O.F PROCESO</a:t>
          </a:r>
          <a:r>
            <a:rPr lang="es-CO" sz="1400" b="1" baseline="0"/>
            <a:t> TEÑIDO BLANCO</a:t>
          </a:r>
          <a:endParaRPr lang="es-CO" sz="1400" b="1"/>
        </a:p>
      </xdr:txBody>
    </xdr:sp>
    <xdr:clientData/>
  </xdr:twoCellAnchor>
  <xdr:twoCellAnchor>
    <xdr:from>
      <xdr:col>7</xdr:col>
      <xdr:colOff>295275</xdr:colOff>
      <xdr:row>37</xdr:row>
      <xdr:rowOff>114300</xdr:rowOff>
    </xdr:from>
    <xdr:to>
      <xdr:col>10</xdr:col>
      <xdr:colOff>161925</xdr:colOff>
      <xdr:row>40</xdr:row>
      <xdr:rowOff>142875</xdr:rowOff>
    </xdr:to>
    <xdr:sp macro="" textlink="">
      <xdr:nvSpPr>
        <xdr:cNvPr id="29" name="Rectángulo: esquinas redondeadas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20D34C45-0460-40D9-8385-6E2310DA48CB}"/>
            </a:ext>
          </a:extLst>
        </xdr:cNvPr>
        <xdr:cNvSpPr/>
      </xdr:nvSpPr>
      <xdr:spPr>
        <a:xfrm>
          <a:off x="5629275" y="7448550"/>
          <a:ext cx="2152650" cy="600075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="1"/>
            <a:t>O.F PROCESO</a:t>
          </a:r>
          <a:r>
            <a:rPr lang="es-CO" sz="1400" b="1" baseline="0"/>
            <a:t> TEÑIDO ROJO</a:t>
          </a:r>
          <a:endParaRPr lang="es-CO" sz="1400" b="1"/>
        </a:p>
      </xdr:txBody>
    </xdr:sp>
    <xdr:clientData/>
  </xdr:twoCellAnchor>
  <xdr:twoCellAnchor>
    <xdr:from>
      <xdr:col>4</xdr:col>
      <xdr:colOff>190500</xdr:colOff>
      <xdr:row>5</xdr:row>
      <xdr:rowOff>190499</xdr:rowOff>
    </xdr:from>
    <xdr:to>
      <xdr:col>7</xdr:col>
      <xdr:colOff>57150</xdr:colOff>
      <xdr:row>9</xdr:row>
      <xdr:rowOff>28574</xdr:rowOff>
    </xdr:to>
    <xdr:sp macro="" textlink="">
      <xdr:nvSpPr>
        <xdr:cNvPr id="30" name="Rectángulo: esquinas redondeadas 2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1EFF327-F19D-499F-B262-E291ACE66022}"/>
            </a:ext>
          </a:extLst>
        </xdr:cNvPr>
        <xdr:cNvSpPr/>
      </xdr:nvSpPr>
      <xdr:spPr>
        <a:xfrm>
          <a:off x="3238500" y="1142999"/>
          <a:ext cx="2152650" cy="600075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="1" baseline="0"/>
            <a:t>1. AZUL OSCURO</a:t>
          </a:r>
          <a:endParaRPr lang="es-CO" sz="1400" b="1"/>
        </a:p>
      </xdr:txBody>
    </xdr:sp>
    <xdr:clientData/>
  </xdr:twoCellAnchor>
  <xdr:twoCellAnchor>
    <xdr:from>
      <xdr:col>4</xdr:col>
      <xdr:colOff>171450</xdr:colOff>
      <xdr:row>9</xdr:row>
      <xdr:rowOff>95250</xdr:rowOff>
    </xdr:from>
    <xdr:to>
      <xdr:col>7</xdr:col>
      <xdr:colOff>38100</xdr:colOff>
      <xdr:row>12</xdr:row>
      <xdr:rowOff>123825</xdr:rowOff>
    </xdr:to>
    <xdr:sp macro="" textlink="">
      <xdr:nvSpPr>
        <xdr:cNvPr id="31" name="Rectángulo: esquinas redondeadas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60039F37-4F54-4005-8D30-C61B0FB2D995}"/>
            </a:ext>
          </a:extLst>
        </xdr:cNvPr>
        <xdr:cNvSpPr/>
      </xdr:nvSpPr>
      <xdr:spPr>
        <a:xfrm>
          <a:off x="3219450" y="2095500"/>
          <a:ext cx="2152650" cy="600075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="1" baseline="0"/>
            <a:t>2. NEGRO</a:t>
          </a:r>
          <a:endParaRPr lang="es-CO" sz="1400" b="1"/>
        </a:p>
      </xdr:txBody>
    </xdr:sp>
    <xdr:clientData/>
  </xdr:twoCellAnchor>
  <xdr:twoCellAnchor>
    <xdr:from>
      <xdr:col>4</xdr:col>
      <xdr:colOff>190500</xdr:colOff>
      <xdr:row>13</xdr:row>
      <xdr:rowOff>9525</xdr:rowOff>
    </xdr:from>
    <xdr:to>
      <xdr:col>7</xdr:col>
      <xdr:colOff>57150</xdr:colOff>
      <xdr:row>16</xdr:row>
      <xdr:rowOff>38100</xdr:rowOff>
    </xdr:to>
    <xdr:sp macro="" textlink="">
      <xdr:nvSpPr>
        <xdr:cNvPr id="32" name="Rectángulo: esquinas redondeadas 3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F623A6D-CB2E-451D-B07A-6570DDEBB738}"/>
            </a:ext>
          </a:extLst>
        </xdr:cNvPr>
        <xdr:cNvSpPr/>
      </xdr:nvSpPr>
      <xdr:spPr>
        <a:xfrm>
          <a:off x="3238500" y="2771775"/>
          <a:ext cx="2152650" cy="600075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="1"/>
            <a:t>3. KAKY</a:t>
          </a:r>
        </a:p>
      </xdr:txBody>
    </xdr:sp>
    <xdr:clientData/>
  </xdr:twoCellAnchor>
  <xdr:twoCellAnchor>
    <xdr:from>
      <xdr:col>4</xdr:col>
      <xdr:colOff>190500</xdr:colOff>
      <xdr:row>16</xdr:row>
      <xdr:rowOff>85725</xdr:rowOff>
    </xdr:from>
    <xdr:to>
      <xdr:col>7</xdr:col>
      <xdr:colOff>57150</xdr:colOff>
      <xdr:row>19</xdr:row>
      <xdr:rowOff>114300</xdr:rowOff>
    </xdr:to>
    <xdr:sp macro="" textlink="">
      <xdr:nvSpPr>
        <xdr:cNvPr id="33" name="Rectángulo: esquinas redondeadas 3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AF87CFAE-A9BF-49B3-8956-94C17E3251C3}"/>
            </a:ext>
          </a:extLst>
        </xdr:cNvPr>
        <xdr:cNvSpPr/>
      </xdr:nvSpPr>
      <xdr:spPr>
        <a:xfrm>
          <a:off x="3238500" y="3419475"/>
          <a:ext cx="2152650" cy="600075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="1"/>
            <a:t>4. VERDE MILITAR</a:t>
          </a:r>
        </a:p>
      </xdr:txBody>
    </xdr:sp>
    <xdr:clientData/>
  </xdr:twoCellAnchor>
  <xdr:twoCellAnchor>
    <xdr:from>
      <xdr:col>4</xdr:col>
      <xdr:colOff>200025</xdr:colOff>
      <xdr:row>19</xdr:row>
      <xdr:rowOff>171450</xdr:rowOff>
    </xdr:from>
    <xdr:to>
      <xdr:col>7</xdr:col>
      <xdr:colOff>66675</xdr:colOff>
      <xdr:row>23</xdr:row>
      <xdr:rowOff>9525</xdr:rowOff>
    </xdr:to>
    <xdr:sp macro="" textlink="">
      <xdr:nvSpPr>
        <xdr:cNvPr id="34" name="Rectángulo: esquinas redondeadas 33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CD1AF0C8-F490-4A3A-B4B8-AF1BB7D122C4}"/>
            </a:ext>
          </a:extLst>
        </xdr:cNvPr>
        <xdr:cNvSpPr/>
      </xdr:nvSpPr>
      <xdr:spPr>
        <a:xfrm>
          <a:off x="3248025" y="4076700"/>
          <a:ext cx="2152650" cy="600075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="1"/>
            <a:t>5.</a:t>
          </a:r>
          <a:r>
            <a:rPr lang="es-CO" sz="1400" b="1" baseline="0"/>
            <a:t> AZUL BB</a:t>
          </a:r>
          <a:endParaRPr lang="es-CO" sz="1400" b="1"/>
        </a:p>
      </xdr:txBody>
    </xdr:sp>
    <xdr:clientData/>
  </xdr:twoCellAnchor>
  <xdr:twoCellAnchor>
    <xdr:from>
      <xdr:col>4</xdr:col>
      <xdr:colOff>209550</xdr:colOff>
      <xdr:row>23</xdr:row>
      <xdr:rowOff>85725</xdr:rowOff>
    </xdr:from>
    <xdr:to>
      <xdr:col>7</xdr:col>
      <xdr:colOff>76200</xdr:colOff>
      <xdr:row>26</xdr:row>
      <xdr:rowOff>114300</xdr:rowOff>
    </xdr:to>
    <xdr:sp macro="" textlink="">
      <xdr:nvSpPr>
        <xdr:cNvPr id="35" name="Rectángulo: esquinas redondeadas 34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438FD743-6085-4786-A0E1-78B2AE61BD76}"/>
            </a:ext>
          </a:extLst>
        </xdr:cNvPr>
        <xdr:cNvSpPr/>
      </xdr:nvSpPr>
      <xdr:spPr>
        <a:xfrm>
          <a:off x="3257550" y="4752975"/>
          <a:ext cx="2152650" cy="600075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="1"/>
            <a:t>6. GRIS CLARO</a:t>
          </a:r>
        </a:p>
      </xdr:txBody>
    </xdr:sp>
    <xdr:clientData/>
  </xdr:twoCellAnchor>
  <xdr:twoCellAnchor>
    <xdr:from>
      <xdr:col>4</xdr:col>
      <xdr:colOff>209550</xdr:colOff>
      <xdr:row>27</xdr:row>
      <xdr:rowOff>0</xdr:rowOff>
    </xdr:from>
    <xdr:to>
      <xdr:col>7</xdr:col>
      <xdr:colOff>76200</xdr:colOff>
      <xdr:row>30</xdr:row>
      <xdr:rowOff>28575</xdr:rowOff>
    </xdr:to>
    <xdr:sp macro="" textlink="">
      <xdr:nvSpPr>
        <xdr:cNvPr id="36" name="Rectángulo: esquinas redondeadas 35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48763943-FB0D-47C4-83B0-86B36E23EF68}"/>
            </a:ext>
          </a:extLst>
        </xdr:cNvPr>
        <xdr:cNvSpPr/>
      </xdr:nvSpPr>
      <xdr:spPr>
        <a:xfrm>
          <a:off x="3257550" y="5429250"/>
          <a:ext cx="2152650" cy="600075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="1"/>
            <a:t>7. ARENA</a:t>
          </a:r>
        </a:p>
      </xdr:txBody>
    </xdr:sp>
    <xdr:clientData/>
  </xdr:twoCellAnchor>
  <xdr:twoCellAnchor>
    <xdr:from>
      <xdr:col>4</xdr:col>
      <xdr:colOff>209550</xdr:colOff>
      <xdr:row>30</xdr:row>
      <xdr:rowOff>95250</xdr:rowOff>
    </xdr:from>
    <xdr:to>
      <xdr:col>7</xdr:col>
      <xdr:colOff>76200</xdr:colOff>
      <xdr:row>33</xdr:row>
      <xdr:rowOff>123825</xdr:rowOff>
    </xdr:to>
    <xdr:sp macro="" textlink="">
      <xdr:nvSpPr>
        <xdr:cNvPr id="37" name="Rectángulo: esquinas redondeadas 36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E82EF068-05ED-49C1-8614-986560BB6149}"/>
            </a:ext>
          </a:extLst>
        </xdr:cNvPr>
        <xdr:cNvSpPr/>
      </xdr:nvSpPr>
      <xdr:spPr>
        <a:xfrm>
          <a:off x="3257550" y="6096000"/>
          <a:ext cx="2152650" cy="600075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="1"/>
            <a:t>8. CAPICCINO</a:t>
          </a:r>
        </a:p>
      </xdr:txBody>
    </xdr:sp>
    <xdr:clientData/>
  </xdr:twoCellAnchor>
  <xdr:twoCellAnchor>
    <xdr:from>
      <xdr:col>4</xdr:col>
      <xdr:colOff>219075</xdr:colOff>
      <xdr:row>33</xdr:row>
      <xdr:rowOff>180975</xdr:rowOff>
    </xdr:from>
    <xdr:to>
      <xdr:col>7</xdr:col>
      <xdr:colOff>85725</xdr:colOff>
      <xdr:row>37</xdr:row>
      <xdr:rowOff>19050</xdr:rowOff>
    </xdr:to>
    <xdr:sp macro="" textlink="">
      <xdr:nvSpPr>
        <xdr:cNvPr id="38" name="Rectángulo: esquinas redondeadas 37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AA362F70-726B-4669-B562-BC9061D5D780}"/>
            </a:ext>
          </a:extLst>
        </xdr:cNvPr>
        <xdr:cNvSpPr/>
      </xdr:nvSpPr>
      <xdr:spPr>
        <a:xfrm>
          <a:off x="3267075" y="6753225"/>
          <a:ext cx="2152650" cy="600075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="1"/>
            <a:t>9. BLANCO</a:t>
          </a:r>
        </a:p>
      </xdr:txBody>
    </xdr:sp>
    <xdr:clientData/>
  </xdr:twoCellAnchor>
  <xdr:twoCellAnchor>
    <xdr:from>
      <xdr:col>4</xdr:col>
      <xdr:colOff>228600</xdr:colOff>
      <xdr:row>37</xdr:row>
      <xdr:rowOff>85725</xdr:rowOff>
    </xdr:from>
    <xdr:to>
      <xdr:col>7</xdr:col>
      <xdr:colOff>95250</xdr:colOff>
      <xdr:row>40</xdr:row>
      <xdr:rowOff>114300</xdr:rowOff>
    </xdr:to>
    <xdr:sp macro="" textlink="">
      <xdr:nvSpPr>
        <xdr:cNvPr id="39" name="Rectángulo: esquinas redondeadas 38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A8CA0E35-EAEC-49D5-8B5C-2CBB447BEB56}"/>
            </a:ext>
          </a:extLst>
        </xdr:cNvPr>
        <xdr:cNvSpPr/>
      </xdr:nvSpPr>
      <xdr:spPr>
        <a:xfrm>
          <a:off x="3276600" y="7419975"/>
          <a:ext cx="2152650" cy="600075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CO" sz="1400" b="1"/>
            <a:t>10 ROJO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785813</xdr:colOff>
      <xdr:row>0</xdr:row>
      <xdr:rowOff>128169</xdr:rowOff>
    </xdr:from>
    <xdr:to>
      <xdr:col>6</xdr:col>
      <xdr:colOff>154782</xdr:colOff>
      <xdr:row>6</xdr:row>
      <xdr:rowOff>107156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CF799A-9313-4383-A549-3E090E39C7B0}"/>
            </a:ext>
          </a:extLst>
        </xdr:cNvPr>
        <xdr:cNvSpPr/>
      </xdr:nvSpPr>
      <xdr:spPr>
        <a:xfrm>
          <a:off x="5584032" y="128169"/>
          <a:ext cx="2476500" cy="1264862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800" b="1"/>
            <a:t>Menú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702469</xdr:colOff>
      <xdr:row>0</xdr:row>
      <xdr:rowOff>44825</xdr:rowOff>
    </xdr:from>
    <xdr:to>
      <xdr:col>7</xdr:col>
      <xdr:colOff>440531</xdr:colOff>
      <xdr:row>6</xdr:row>
      <xdr:rowOff>47625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D54FEB-A559-4DE6-AC5C-6208EBACD416}"/>
            </a:ext>
          </a:extLst>
        </xdr:cNvPr>
        <xdr:cNvSpPr/>
      </xdr:nvSpPr>
      <xdr:spPr>
        <a:xfrm>
          <a:off x="5715000" y="44825"/>
          <a:ext cx="2393156" cy="1288675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800" b="1"/>
            <a:t>Menú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571499</xdr:colOff>
      <xdr:row>0</xdr:row>
      <xdr:rowOff>32920</xdr:rowOff>
    </xdr:from>
    <xdr:to>
      <xdr:col>5</xdr:col>
      <xdr:colOff>1774031</xdr:colOff>
      <xdr:row>6</xdr:row>
      <xdr:rowOff>83345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5DC58D-6DCE-4EAC-B8A6-1C6AE2EE6ACB}"/>
            </a:ext>
          </a:extLst>
        </xdr:cNvPr>
        <xdr:cNvSpPr/>
      </xdr:nvSpPr>
      <xdr:spPr>
        <a:xfrm>
          <a:off x="5691187" y="32920"/>
          <a:ext cx="2464594" cy="1336300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800" b="1"/>
            <a:t>Menú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59530</xdr:colOff>
      <xdr:row>0</xdr:row>
      <xdr:rowOff>68638</xdr:rowOff>
    </xdr:from>
    <xdr:to>
      <xdr:col>6</xdr:col>
      <xdr:colOff>678655</xdr:colOff>
      <xdr:row>6</xdr:row>
      <xdr:rowOff>35719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D52C2A-7009-4EEA-9B28-C7FC461351E3}"/>
            </a:ext>
          </a:extLst>
        </xdr:cNvPr>
        <xdr:cNvSpPr/>
      </xdr:nvSpPr>
      <xdr:spPr>
        <a:xfrm>
          <a:off x="5631655" y="68638"/>
          <a:ext cx="2369344" cy="1252956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3200" b="1"/>
            <a:t>Menú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523874</xdr:colOff>
      <xdr:row>0</xdr:row>
      <xdr:rowOff>80544</xdr:rowOff>
    </xdr:from>
    <xdr:to>
      <xdr:col>5</xdr:col>
      <xdr:colOff>1607343</xdr:colOff>
      <xdr:row>5</xdr:row>
      <xdr:rowOff>202406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D755D1-B44D-41FE-9EC1-3E241DC7926E}"/>
            </a:ext>
          </a:extLst>
        </xdr:cNvPr>
        <xdr:cNvSpPr/>
      </xdr:nvSpPr>
      <xdr:spPr>
        <a:xfrm>
          <a:off x="5357812" y="80544"/>
          <a:ext cx="2381250" cy="1193425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3200" b="1"/>
            <a:t>Menú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97897</xdr:colOff>
      <xdr:row>0</xdr:row>
      <xdr:rowOff>54240</xdr:rowOff>
    </xdr:from>
    <xdr:to>
      <xdr:col>5</xdr:col>
      <xdr:colOff>656167</xdr:colOff>
      <xdr:row>6</xdr:row>
      <xdr:rowOff>95251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9F26A5-EF29-4BC1-83F6-38866E8ADD14}"/>
            </a:ext>
          </a:extLst>
        </xdr:cNvPr>
        <xdr:cNvSpPr/>
      </xdr:nvSpPr>
      <xdr:spPr>
        <a:xfrm>
          <a:off x="5188480" y="54240"/>
          <a:ext cx="2145770" cy="1311011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400" b="1"/>
            <a:t>Menú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933980</xdr:colOff>
      <xdr:row>0</xdr:row>
      <xdr:rowOff>54240</xdr:rowOff>
    </xdr:from>
    <xdr:to>
      <xdr:col>6</xdr:col>
      <xdr:colOff>709084</xdr:colOff>
      <xdr:row>6</xdr:row>
      <xdr:rowOff>148167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AD6CD6-04FB-455D-9A02-424012EBF6CD}"/>
            </a:ext>
          </a:extLst>
        </xdr:cNvPr>
        <xdr:cNvSpPr/>
      </xdr:nvSpPr>
      <xdr:spPr>
        <a:xfrm>
          <a:off x="5326063" y="54240"/>
          <a:ext cx="2346854" cy="1363927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400" b="1"/>
            <a:t>Menú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1389063</xdr:colOff>
      <xdr:row>0</xdr:row>
      <xdr:rowOff>64823</xdr:rowOff>
    </xdr:from>
    <xdr:to>
      <xdr:col>7</xdr:col>
      <xdr:colOff>127000</xdr:colOff>
      <xdr:row>6</xdr:row>
      <xdr:rowOff>137584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742301-C698-4C0D-9107-7DE16ED102F0}"/>
            </a:ext>
          </a:extLst>
        </xdr:cNvPr>
        <xdr:cNvSpPr/>
      </xdr:nvSpPr>
      <xdr:spPr>
        <a:xfrm>
          <a:off x="5304896" y="64823"/>
          <a:ext cx="2061104" cy="1342761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400" b="1"/>
            <a:t>Menú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1367895</xdr:colOff>
      <xdr:row>0</xdr:row>
      <xdr:rowOff>54240</xdr:rowOff>
    </xdr:from>
    <xdr:to>
      <xdr:col>7</xdr:col>
      <xdr:colOff>211665</xdr:colOff>
      <xdr:row>6</xdr:row>
      <xdr:rowOff>95251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A76784-BD91-4C66-B1AA-2F4C4954B886}"/>
            </a:ext>
          </a:extLst>
        </xdr:cNvPr>
        <xdr:cNvSpPr/>
      </xdr:nvSpPr>
      <xdr:spPr>
        <a:xfrm>
          <a:off x="5357812" y="54240"/>
          <a:ext cx="2114020" cy="1311011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400" b="1"/>
            <a:t>Menú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1187980</xdr:colOff>
      <xdr:row>1</xdr:row>
      <xdr:rowOff>64822</xdr:rowOff>
    </xdr:from>
    <xdr:to>
      <xdr:col>7</xdr:col>
      <xdr:colOff>211667</xdr:colOff>
      <xdr:row>7</xdr:row>
      <xdr:rowOff>158749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08A73E-A9C1-4472-9663-B3F42C8612E0}"/>
            </a:ext>
          </a:extLst>
        </xdr:cNvPr>
        <xdr:cNvSpPr/>
      </xdr:nvSpPr>
      <xdr:spPr>
        <a:xfrm>
          <a:off x="5093230" y="276489"/>
          <a:ext cx="2368020" cy="1363927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400" b="1"/>
            <a:t>Menú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762000</xdr:colOff>
      <xdr:row>1</xdr:row>
      <xdr:rowOff>104775</xdr:rowOff>
    </xdr:from>
    <xdr:to>
      <xdr:col>4</xdr:col>
      <xdr:colOff>609600</xdr:colOff>
      <xdr:row>6</xdr:row>
      <xdr:rowOff>9525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7C69F1-EFE0-405D-8B01-559E2CFF69BF}"/>
            </a:ext>
          </a:extLst>
        </xdr:cNvPr>
        <xdr:cNvSpPr/>
      </xdr:nvSpPr>
      <xdr:spPr>
        <a:xfrm>
          <a:off x="3648075" y="314325"/>
          <a:ext cx="1885950" cy="952500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400" b="1"/>
            <a:t>Menú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1113895</xdr:colOff>
      <xdr:row>0</xdr:row>
      <xdr:rowOff>85990</xdr:rowOff>
    </xdr:from>
    <xdr:to>
      <xdr:col>6</xdr:col>
      <xdr:colOff>814915</xdr:colOff>
      <xdr:row>6</xdr:row>
      <xdr:rowOff>74084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663E40-52F3-4D76-91BF-AA51E8B3C8EE}"/>
            </a:ext>
          </a:extLst>
        </xdr:cNvPr>
        <xdr:cNvSpPr/>
      </xdr:nvSpPr>
      <xdr:spPr>
        <a:xfrm>
          <a:off x="5103812" y="85990"/>
          <a:ext cx="2177520" cy="1258094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400" b="1"/>
            <a:t>Menú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500062</xdr:colOff>
      <xdr:row>0</xdr:row>
      <xdr:rowOff>54240</xdr:rowOff>
    </xdr:from>
    <xdr:to>
      <xdr:col>6</xdr:col>
      <xdr:colOff>52916</xdr:colOff>
      <xdr:row>6</xdr:row>
      <xdr:rowOff>74084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93C000-14A0-4111-B2E1-0ACD0C45EC95}"/>
            </a:ext>
          </a:extLst>
        </xdr:cNvPr>
        <xdr:cNvSpPr/>
      </xdr:nvSpPr>
      <xdr:spPr>
        <a:xfrm>
          <a:off x="5124979" y="54240"/>
          <a:ext cx="2135187" cy="1289844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400" b="1"/>
            <a:t>Menú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288394</xdr:colOff>
      <xdr:row>0</xdr:row>
      <xdr:rowOff>128323</xdr:rowOff>
    </xdr:from>
    <xdr:to>
      <xdr:col>6</xdr:col>
      <xdr:colOff>127000</xdr:colOff>
      <xdr:row>6</xdr:row>
      <xdr:rowOff>137584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B59A8A-B3FD-4E3E-B3E4-A76A9A6FBB27}"/>
            </a:ext>
          </a:extLst>
        </xdr:cNvPr>
        <xdr:cNvSpPr/>
      </xdr:nvSpPr>
      <xdr:spPr>
        <a:xfrm>
          <a:off x="5103811" y="128323"/>
          <a:ext cx="2145772" cy="1279261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400" b="1"/>
            <a:t>Menú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415396</xdr:colOff>
      <xdr:row>0</xdr:row>
      <xdr:rowOff>54239</xdr:rowOff>
    </xdr:from>
    <xdr:to>
      <xdr:col>6</xdr:col>
      <xdr:colOff>306916</xdr:colOff>
      <xdr:row>6</xdr:row>
      <xdr:rowOff>116416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9AB2C7-F64A-4D48-A124-0CEF70B38AC5}"/>
            </a:ext>
          </a:extLst>
        </xdr:cNvPr>
        <xdr:cNvSpPr/>
      </xdr:nvSpPr>
      <xdr:spPr>
        <a:xfrm>
          <a:off x="5188479" y="54239"/>
          <a:ext cx="2103437" cy="1332177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400" b="1"/>
            <a:t>Menú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785813</xdr:colOff>
      <xdr:row>0</xdr:row>
      <xdr:rowOff>96574</xdr:rowOff>
    </xdr:from>
    <xdr:to>
      <xdr:col>6</xdr:col>
      <xdr:colOff>264583</xdr:colOff>
      <xdr:row>6</xdr:row>
      <xdr:rowOff>84668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AF9FE6-6639-467F-A2A0-D841E426A374}"/>
            </a:ext>
          </a:extLst>
        </xdr:cNvPr>
        <xdr:cNvSpPr/>
      </xdr:nvSpPr>
      <xdr:spPr>
        <a:xfrm>
          <a:off x="5072063" y="96574"/>
          <a:ext cx="1987020" cy="1258094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400" b="1"/>
            <a:t>Menú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1009650</xdr:colOff>
      <xdr:row>2</xdr:row>
      <xdr:rowOff>171450</xdr:rowOff>
    </xdr:from>
    <xdr:to>
      <xdr:col>4</xdr:col>
      <xdr:colOff>466725</xdr:colOff>
      <xdr:row>7</xdr:row>
      <xdr:rowOff>19050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756F0C-C8B3-432A-A2F0-B9CAB6BB71FA}"/>
            </a:ext>
          </a:extLst>
        </xdr:cNvPr>
        <xdr:cNvSpPr/>
      </xdr:nvSpPr>
      <xdr:spPr>
        <a:xfrm>
          <a:off x="3219450" y="590550"/>
          <a:ext cx="1847850" cy="895350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400" b="1"/>
            <a:t>Menú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876300</xdr:colOff>
      <xdr:row>0</xdr:row>
      <xdr:rowOff>142875</xdr:rowOff>
    </xdr:from>
    <xdr:to>
      <xdr:col>5</xdr:col>
      <xdr:colOff>142876</xdr:colOff>
      <xdr:row>5</xdr:row>
      <xdr:rowOff>85725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8641FC-13CB-4EFE-8F0C-5C4A776EA83D}"/>
            </a:ext>
          </a:extLst>
        </xdr:cNvPr>
        <xdr:cNvSpPr/>
      </xdr:nvSpPr>
      <xdr:spPr>
        <a:xfrm>
          <a:off x="3057525" y="142875"/>
          <a:ext cx="1971676" cy="990600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400" b="1"/>
            <a:t>Menú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916782</xdr:colOff>
      <xdr:row>0</xdr:row>
      <xdr:rowOff>71437</xdr:rowOff>
    </xdr:from>
    <xdr:to>
      <xdr:col>6</xdr:col>
      <xdr:colOff>702469</xdr:colOff>
      <xdr:row>6</xdr:row>
      <xdr:rowOff>130968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2AD81F-EC84-4F4D-AA59-36CA650E07AE}"/>
            </a:ext>
          </a:extLst>
        </xdr:cNvPr>
        <xdr:cNvSpPr/>
      </xdr:nvSpPr>
      <xdr:spPr>
        <a:xfrm>
          <a:off x="5012532" y="71437"/>
          <a:ext cx="2583656" cy="1345406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3200" b="1"/>
            <a:t>Menú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1214439</xdr:colOff>
      <xdr:row>0</xdr:row>
      <xdr:rowOff>59532</xdr:rowOff>
    </xdr:from>
    <xdr:to>
      <xdr:col>6</xdr:col>
      <xdr:colOff>107156</xdr:colOff>
      <xdr:row>6</xdr:row>
      <xdr:rowOff>130969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41B027-B8DB-460E-B5F4-B0DA10DFA0CF}"/>
            </a:ext>
          </a:extLst>
        </xdr:cNvPr>
        <xdr:cNvSpPr/>
      </xdr:nvSpPr>
      <xdr:spPr>
        <a:xfrm>
          <a:off x="5857877" y="59532"/>
          <a:ext cx="2440779" cy="1357312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800" b="1"/>
            <a:t>Menú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1012031</xdr:colOff>
      <xdr:row>0</xdr:row>
      <xdr:rowOff>9107</xdr:rowOff>
    </xdr:from>
    <xdr:to>
      <xdr:col>6</xdr:col>
      <xdr:colOff>428624</xdr:colOff>
      <xdr:row>6</xdr:row>
      <xdr:rowOff>154782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1FFD62-78F6-4455-A996-94C10FCB1A5E}"/>
            </a:ext>
          </a:extLst>
        </xdr:cNvPr>
        <xdr:cNvSpPr/>
      </xdr:nvSpPr>
      <xdr:spPr>
        <a:xfrm>
          <a:off x="5488781" y="9107"/>
          <a:ext cx="2452687" cy="1431550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800" b="1"/>
            <a:t>Menú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726280</xdr:colOff>
      <xdr:row>0</xdr:row>
      <xdr:rowOff>0</xdr:rowOff>
    </xdr:from>
    <xdr:to>
      <xdr:col>6</xdr:col>
      <xdr:colOff>83344</xdr:colOff>
      <xdr:row>6</xdr:row>
      <xdr:rowOff>86143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ECB187-7604-4280-9189-3E918D2E96EF}"/>
            </a:ext>
          </a:extLst>
        </xdr:cNvPr>
        <xdr:cNvSpPr/>
      </xdr:nvSpPr>
      <xdr:spPr>
        <a:xfrm>
          <a:off x="5703093" y="0"/>
          <a:ext cx="2440782" cy="1372018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800" b="1"/>
            <a:t>Menú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47625</xdr:colOff>
      <xdr:row>0</xdr:row>
      <xdr:rowOff>107156</xdr:rowOff>
    </xdr:from>
    <xdr:to>
      <xdr:col>5</xdr:col>
      <xdr:colOff>1345405</xdr:colOff>
      <xdr:row>6</xdr:row>
      <xdr:rowOff>95250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C8A773-C16A-4BD9-BA56-6445863F6385}"/>
            </a:ext>
          </a:extLst>
        </xdr:cNvPr>
        <xdr:cNvSpPr/>
      </xdr:nvSpPr>
      <xdr:spPr>
        <a:xfrm>
          <a:off x="5060156" y="107156"/>
          <a:ext cx="2500312" cy="1273969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2800" b="1"/>
            <a:t>Menú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B18E4-EB26-4ED5-A118-8459F01A4EE0}">
  <sheetPr codeName="Hoja11"/>
  <dimension ref="K1:L19"/>
  <sheetViews>
    <sheetView showGridLines="0" topLeftCell="A16" zoomScale="110" zoomScaleNormal="110" workbookViewId="0"/>
  </sheetViews>
  <sheetFormatPr baseColWidth="10" defaultRowHeight="15" x14ac:dyDescent="0.25"/>
  <sheetData>
    <row r="1" spans="12:12" ht="27.75" customHeight="1" x14ac:dyDescent="0.25"/>
    <row r="2" spans="12:12" ht="37.5" customHeight="1" x14ac:dyDescent="0.25"/>
    <row r="15" spans="12:12" x14ac:dyDescent="0.25">
      <c r="L15" s="54" t="s">
        <v>190</v>
      </c>
    </row>
    <row r="19" spans="11:11" x14ac:dyDescent="0.25">
      <c r="K19" s="47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CA5E0-ABC9-4674-BC71-120B7798311C}">
  <dimension ref="A1:AI111"/>
  <sheetViews>
    <sheetView showGridLines="0" topLeftCell="A6" zoomScale="80" zoomScaleNormal="80" workbookViewId="0">
      <selection activeCell="B35" sqref="B35:D40"/>
    </sheetView>
  </sheetViews>
  <sheetFormatPr baseColWidth="10" defaultColWidth="11.42578125" defaultRowHeight="16.5" x14ac:dyDescent="0.3"/>
  <cols>
    <col min="1" max="1" width="11.42578125" style="12"/>
    <col min="2" max="4" width="20.140625" style="12" customWidth="1"/>
    <col min="5" max="5" width="19.85546875" style="12" customWidth="1"/>
    <col min="6" max="6" width="26.85546875" style="12" customWidth="1"/>
    <col min="7" max="7" width="10.28515625" style="12" customWidth="1"/>
    <col min="8" max="8" width="10.7109375" style="12" customWidth="1"/>
    <col min="9" max="10" width="11.42578125" style="12" customWidth="1"/>
    <col min="11" max="11" width="10.7109375" style="19" customWidth="1"/>
    <col min="12" max="12" width="11.42578125" style="12"/>
    <col min="13" max="13" width="13" style="12" customWidth="1"/>
    <col min="14" max="16384" width="11.42578125" style="12"/>
  </cols>
  <sheetData>
    <row r="1" spans="1:35" x14ac:dyDescent="0.3">
      <c r="B1" s="169"/>
      <c r="C1" s="170"/>
      <c r="D1" s="170"/>
      <c r="E1" s="170"/>
      <c r="F1" s="170"/>
      <c r="G1" s="170"/>
      <c r="H1" s="170"/>
      <c r="I1" s="170"/>
      <c r="J1" s="170"/>
      <c r="K1" s="199"/>
    </row>
    <row r="2" spans="1:35" x14ac:dyDescent="0.3">
      <c r="B2" s="172"/>
      <c r="K2" s="200"/>
    </row>
    <row r="3" spans="1:35" x14ac:dyDescent="0.3">
      <c r="B3" s="172"/>
      <c r="K3" s="200"/>
    </row>
    <row r="4" spans="1:35" x14ac:dyDescent="0.3">
      <c r="B4" s="172"/>
      <c r="K4" s="200"/>
    </row>
    <row r="5" spans="1:35" x14ac:dyDescent="0.3">
      <c r="B5" s="172"/>
      <c r="K5" s="200"/>
    </row>
    <row r="6" spans="1:35" x14ac:dyDescent="0.3">
      <c r="B6" s="172"/>
      <c r="K6" s="200"/>
    </row>
    <row r="7" spans="1:35" s="46" customFormat="1" ht="17.25" thickBot="1" x14ac:dyDescent="0.35">
      <c r="A7" s="12"/>
      <c r="B7" s="174"/>
      <c r="K7" s="201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1:35" ht="17.25" thickBot="1" x14ac:dyDescent="0.35"/>
    <row r="9" spans="1:35" ht="67.5" customHeight="1" x14ac:dyDescent="0.3">
      <c r="B9" s="202" t="s">
        <v>77</v>
      </c>
      <c r="C9" s="203" t="s">
        <v>41</v>
      </c>
      <c r="D9" s="203" t="s">
        <v>42</v>
      </c>
      <c r="E9" s="204" t="s">
        <v>68</v>
      </c>
      <c r="F9" s="204" t="s">
        <v>185</v>
      </c>
      <c r="G9" s="203" t="s">
        <v>186</v>
      </c>
      <c r="H9" s="203" t="s">
        <v>187</v>
      </c>
      <c r="I9" s="205" t="s">
        <v>257</v>
      </c>
      <c r="J9" s="203" t="s">
        <v>188</v>
      </c>
      <c r="K9" s="206" t="s">
        <v>258</v>
      </c>
    </row>
    <row r="10" spans="1:35" ht="14.25" customHeight="1" x14ac:dyDescent="0.3">
      <c r="B10" s="324" t="s">
        <v>262</v>
      </c>
      <c r="C10" s="294" t="s">
        <v>153</v>
      </c>
      <c r="D10" s="300">
        <v>1</v>
      </c>
      <c r="E10" s="303" t="s">
        <v>144</v>
      </c>
      <c r="F10" s="53" t="s">
        <v>69</v>
      </c>
      <c r="G10" s="27">
        <f>+D10*I10</f>
        <v>10</v>
      </c>
      <c r="H10" s="27" t="s">
        <v>71</v>
      </c>
      <c r="I10" s="27">
        <v>10</v>
      </c>
      <c r="J10" s="27">
        <v>15</v>
      </c>
      <c r="K10" s="207" t="s">
        <v>76</v>
      </c>
    </row>
    <row r="11" spans="1:35" ht="14.25" customHeight="1" x14ac:dyDescent="0.3">
      <c r="B11" s="325"/>
      <c r="C11" s="295"/>
      <c r="D11" s="301"/>
      <c r="E11" s="304"/>
      <c r="F11" s="53" t="s">
        <v>72</v>
      </c>
      <c r="G11" s="27">
        <f>+G10*I11</f>
        <v>5</v>
      </c>
      <c r="H11" s="27" t="s">
        <v>73</v>
      </c>
      <c r="I11" s="27">
        <v>0.5</v>
      </c>
      <c r="J11" s="27">
        <v>0</v>
      </c>
      <c r="K11" s="207" t="s">
        <v>76</v>
      </c>
    </row>
    <row r="12" spans="1:35" ht="14.25" customHeight="1" x14ac:dyDescent="0.3">
      <c r="B12" s="325"/>
      <c r="C12" s="295"/>
      <c r="D12" s="301"/>
      <c r="E12" s="304"/>
      <c r="F12" s="53" t="s">
        <v>74</v>
      </c>
      <c r="G12" s="27">
        <f>+G10*I12</f>
        <v>5</v>
      </c>
      <c r="H12" s="27" t="s">
        <v>73</v>
      </c>
      <c r="I12" s="27">
        <v>0.5</v>
      </c>
      <c r="J12" s="27">
        <v>0</v>
      </c>
      <c r="K12" s="207" t="s">
        <v>76</v>
      </c>
    </row>
    <row r="13" spans="1:35" ht="14.25" customHeight="1" x14ac:dyDescent="0.3">
      <c r="B13" s="325"/>
      <c r="C13" s="295"/>
      <c r="D13" s="301"/>
      <c r="E13" s="305"/>
      <c r="F13" s="53" t="s">
        <v>75</v>
      </c>
      <c r="G13" s="27">
        <f>+G10*I13</f>
        <v>10</v>
      </c>
      <c r="H13" s="27" t="s">
        <v>73</v>
      </c>
      <c r="I13" s="27">
        <v>1</v>
      </c>
      <c r="J13" s="27">
        <v>0</v>
      </c>
      <c r="K13" s="207" t="s">
        <v>76</v>
      </c>
    </row>
    <row r="14" spans="1:35" ht="14.25" customHeight="1" x14ac:dyDescent="0.3">
      <c r="B14" s="325"/>
      <c r="C14" s="295"/>
      <c r="D14" s="301"/>
      <c r="E14" s="303" t="s">
        <v>77</v>
      </c>
      <c r="F14" s="26" t="s">
        <v>147</v>
      </c>
      <c r="G14" s="27">
        <f>(D10*1000)*I14</f>
        <v>0.48000000000000004</v>
      </c>
      <c r="H14" s="27" t="s">
        <v>73</v>
      </c>
      <c r="I14" s="59">
        <v>4.8000000000000001E-4</v>
      </c>
      <c r="J14" s="327">
        <v>10</v>
      </c>
      <c r="K14" s="208" t="s">
        <v>76</v>
      </c>
    </row>
    <row r="15" spans="1:35" ht="14.25" customHeight="1" x14ac:dyDescent="0.3">
      <c r="B15" s="325"/>
      <c r="C15" s="295"/>
      <c r="D15" s="301"/>
      <c r="E15" s="304"/>
      <c r="F15" s="26" t="s">
        <v>149</v>
      </c>
      <c r="G15" s="27">
        <f>(D10*1000)*I15</f>
        <v>0.27</v>
      </c>
      <c r="H15" s="27" t="s">
        <v>73</v>
      </c>
      <c r="I15" s="59">
        <v>2.7E-4</v>
      </c>
      <c r="J15" s="328"/>
      <c r="K15" s="208"/>
    </row>
    <row r="16" spans="1:35" ht="14.25" customHeight="1" x14ac:dyDescent="0.3">
      <c r="B16" s="325"/>
      <c r="C16" s="295"/>
      <c r="D16" s="301"/>
      <c r="E16" s="304"/>
      <c r="F16" s="26" t="s">
        <v>155</v>
      </c>
      <c r="G16" s="27">
        <f>(D10*1000)*I16</f>
        <v>0.39</v>
      </c>
      <c r="H16" s="27" t="s">
        <v>73</v>
      </c>
      <c r="I16" s="59">
        <v>3.8999999999999999E-4</v>
      </c>
      <c r="J16" s="329"/>
      <c r="K16" s="208"/>
    </row>
    <row r="17" spans="2:11" ht="14.25" customHeight="1" x14ac:dyDescent="0.3">
      <c r="B17" s="325"/>
      <c r="C17" s="295"/>
      <c r="D17" s="301"/>
      <c r="E17" s="305"/>
      <c r="F17" s="53" t="s">
        <v>79</v>
      </c>
      <c r="G17" s="27">
        <f>+G10*I17</f>
        <v>0.3</v>
      </c>
      <c r="H17" s="27" t="s">
        <v>28</v>
      </c>
      <c r="I17" s="58">
        <v>0.03</v>
      </c>
      <c r="J17" s="27">
        <v>20</v>
      </c>
      <c r="K17" s="208" t="s">
        <v>76</v>
      </c>
    </row>
    <row r="18" spans="2:11" ht="14.25" customHeight="1" x14ac:dyDescent="0.3">
      <c r="B18" s="325"/>
      <c r="C18" s="295"/>
      <c r="D18" s="301"/>
      <c r="E18" s="303" t="s">
        <v>80</v>
      </c>
      <c r="F18" s="53" t="s">
        <v>81</v>
      </c>
      <c r="G18" s="27">
        <f>+G10*I18</f>
        <v>25</v>
      </c>
      <c r="H18" s="27" t="s">
        <v>73</v>
      </c>
      <c r="I18" s="27">
        <v>2.5</v>
      </c>
      <c r="J18" s="27">
        <v>40</v>
      </c>
      <c r="K18" s="207" t="s">
        <v>76</v>
      </c>
    </row>
    <row r="19" spans="2:11" ht="14.25" customHeight="1" x14ac:dyDescent="0.3">
      <c r="B19" s="325"/>
      <c r="C19" s="295"/>
      <c r="D19" s="301"/>
      <c r="E19" s="305"/>
      <c r="F19" s="53" t="s">
        <v>82</v>
      </c>
      <c r="G19" s="27">
        <f>+G10*I19</f>
        <v>30</v>
      </c>
      <c r="H19" s="27" t="s">
        <v>71</v>
      </c>
      <c r="I19" s="27">
        <v>3</v>
      </c>
      <c r="J19" s="27">
        <v>10</v>
      </c>
      <c r="K19" s="207" t="s">
        <v>76</v>
      </c>
    </row>
    <row r="20" spans="2:11" ht="14.25" customHeight="1" x14ac:dyDescent="0.3">
      <c r="B20" s="325"/>
      <c r="C20" s="295"/>
      <c r="D20" s="301"/>
      <c r="E20" s="303" t="s">
        <v>146</v>
      </c>
      <c r="F20" s="53" t="s">
        <v>83</v>
      </c>
      <c r="G20" s="27">
        <f>+G10*I20</f>
        <v>10</v>
      </c>
      <c r="H20" s="27" t="s">
        <v>71</v>
      </c>
      <c r="I20" s="27">
        <v>1</v>
      </c>
      <c r="J20" s="27">
        <v>5</v>
      </c>
      <c r="K20" s="207" t="s">
        <v>85</v>
      </c>
    </row>
    <row r="21" spans="2:11" ht="14.25" customHeight="1" x14ac:dyDescent="0.3">
      <c r="B21" s="325"/>
      <c r="C21" s="295"/>
      <c r="D21" s="301"/>
      <c r="E21" s="304"/>
      <c r="F21" s="53" t="s">
        <v>84</v>
      </c>
      <c r="G21" s="27">
        <f>+G10*I21</f>
        <v>30</v>
      </c>
      <c r="H21" s="27" t="s">
        <v>73</v>
      </c>
      <c r="I21" s="27">
        <v>3</v>
      </c>
      <c r="J21" s="27">
        <v>15</v>
      </c>
      <c r="K21" s="207" t="s">
        <v>85</v>
      </c>
    </row>
    <row r="22" spans="2:11" ht="14.25" customHeight="1" x14ac:dyDescent="0.3">
      <c r="B22" s="325"/>
      <c r="C22" s="295"/>
      <c r="D22" s="301"/>
      <c r="E22" s="304"/>
      <c r="F22" s="53" t="s">
        <v>82</v>
      </c>
      <c r="G22" s="27">
        <f>+G10*I22</f>
        <v>30</v>
      </c>
      <c r="H22" s="27" t="s">
        <v>71</v>
      </c>
      <c r="I22" s="27">
        <v>3</v>
      </c>
      <c r="J22" s="27">
        <v>15</v>
      </c>
      <c r="K22" s="207" t="s">
        <v>85</v>
      </c>
    </row>
    <row r="23" spans="2:11" ht="14.25" customHeight="1" x14ac:dyDescent="0.3">
      <c r="B23" s="325"/>
      <c r="C23" s="295"/>
      <c r="D23" s="301"/>
      <c r="E23" s="305"/>
      <c r="F23" s="53" t="s">
        <v>83</v>
      </c>
      <c r="G23" s="27">
        <f>+G10*I23</f>
        <v>5</v>
      </c>
      <c r="H23" s="27" t="s">
        <v>71</v>
      </c>
      <c r="I23" s="27">
        <v>0.5</v>
      </c>
      <c r="J23" s="27">
        <v>5</v>
      </c>
      <c r="K23" s="207" t="s">
        <v>85</v>
      </c>
    </row>
    <row r="24" spans="2:11" ht="14.25" customHeight="1" thickBot="1" x14ac:dyDescent="0.35">
      <c r="B24" s="326"/>
      <c r="C24" s="296"/>
      <c r="D24" s="302"/>
      <c r="E24" s="218" t="s">
        <v>142</v>
      </c>
      <c r="F24" s="219" t="s">
        <v>150</v>
      </c>
      <c r="G24" s="162">
        <f>+G10*I24</f>
        <v>5</v>
      </c>
      <c r="H24" s="162" t="s">
        <v>73</v>
      </c>
      <c r="I24" s="162">
        <v>0.5</v>
      </c>
      <c r="J24" s="162">
        <v>15</v>
      </c>
      <c r="K24" s="211"/>
    </row>
    <row r="25" spans="2:11" ht="14.25" customHeight="1" thickBot="1" x14ac:dyDescent="0.35"/>
    <row r="26" spans="2:11" ht="14.25" customHeight="1" x14ac:dyDescent="0.3">
      <c r="B26" s="312" t="s">
        <v>205</v>
      </c>
      <c r="C26" s="313"/>
      <c r="D26" s="313"/>
      <c r="E26" s="313"/>
      <c r="F26" s="313"/>
      <c r="G26" s="313"/>
      <c r="H26" s="314"/>
    </row>
    <row r="27" spans="2:11" ht="14.25" customHeight="1" x14ac:dyDescent="0.3">
      <c r="B27" s="306" t="s">
        <v>205</v>
      </c>
      <c r="C27" s="307"/>
      <c r="D27" s="308"/>
      <c r="E27" s="88" t="s">
        <v>206</v>
      </c>
      <c r="F27" s="43" t="s">
        <v>207</v>
      </c>
      <c r="G27" s="315" t="s">
        <v>229</v>
      </c>
      <c r="H27" s="316"/>
    </row>
    <row r="28" spans="2:11" ht="14.25" customHeight="1" x14ac:dyDescent="0.3">
      <c r="B28" s="309" t="s">
        <v>210</v>
      </c>
      <c r="C28" s="310"/>
      <c r="D28" s="311"/>
      <c r="E28" s="27">
        <v>1</v>
      </c>
      <c r="F28" s="60" t="s">
        <v>214</v>
      </c>
      <c r="G28" s="320">
        <f>+'MANO OBRA P.'!C35</f>
        <v>28609.121739130438</v>
      </c>
      <c r="H28" s="321"/>
    </row>
    <row r="29" spans="2:11" ht="14.25" customHeight="1" x14ac:dyDescent="0.3">
      <c r="B29" s="309" t="s">
        <v>211</v>
      </c>
      <c r="C29" s="310" t="s">
        <v>174</v>
      </c>
      <c r="D29" s="311">
        <v>2.5</v>
      </c>
      <c r="E29" s="27">
        <v>1</v>
      </c>
      <c r="F29" s="60" t="s">
        <v>214</v>
      </c>
      <c r="G29" s="320">
        <f>+'MANO OBRA P.'!C60</f>
        <v>16728.110869565218</v>
      </c>
      <c r="H29" s="321"/>
    </row>
    <row r="30" spans="2:11" ht="14.25" customHeight="1" x14ac:dyDescent="0.3">
      <c r="B30" s="309" t="s">
        <v>222</v>
      </c>
      <c r="C30" s="310" t="s">
        <v>174</v>
      </c>
      <c r="D30" s="311">
        <v>2.5</v>
      </c>
      <c r="E30" s="27">
        <v>1</v>
      </c>
      <c r="F30" s="60" t="s">
        <v>214</v>
      </c>
      <c r="G30" s="320">
        <f>+'MANO OBRA P.'!C85</f>
        <v>13072.415217391304</v>
      </c>
      <c r="H30" s="321"/>
    </row>
    <row r="31" spans="2:11" ht="14.25" customHeight="1" x14ac:dyDescent="0.3">
      <c r="B31" s="309" t="s">
        <v>212</v>
      </c>
      <c r="C31" s="310" t="s">
        <v>174</v>
      </c>
      <c r="D31" s="311">
        <v>1</v>
      </c>
      <c r="E31" s="27">
        <v>1</v>
      </c>
      <c r="F31" s="60" t="s">
        <v>214</v>
      </c>
      <c r="G31" s="320">
        <f>+'MANO OBRA P.'!C85</f>
        <v>13072.415217391304</v>
      </c>
      <c r="H31" s="321"/>
    </row>
    <row r="32" spans="2:11" ht="14.25" customHeight="1" x14ac:dyDescent="0.3">
      <c r="B32" s="309" t="s">
        <v>213</v>
      </c>
      <c r="C32" s="310" t="s">
        <v>174</v>
      </c>
      <c r="D32" s="311">
        <v>1.5</v>
      </c>
      <c r="E32" s="27">
        <v>1</v>
      </c>
      <c r="F32" s="60" t="s">
        <v>214</v>
      </c>
      <c r="G32" s="320">
        <f>+'MANO OBRA P.'!C85</f>
        <v>13072.415217391304</v>
      </c>
      <c r="H32" s="321"/>
    </row>
    <row r="33" spans="2:8" ht="14.25" customHeight="1" thickBot="1" x14ac:dyDescent="0.35">
      <c r="B33" s="317" t="s">
        <v>221</v>
      </c>
      <c r="C33" s="318" t="s">
        <v>174</v>
      </c>
      <c r="D33" s="319">
        <v>1</v>
      </c>
      <c r="E33" s="162">
        <v>1</v>
      </c>
      <c r="F33" s="213" t="s">
        <v>214</v>
      </c>
      <c r="G33" s="322">
        <f>+'MANO OBRA P.'!C110</f>
        <v>13986.339130434782</v>
      </c>
      <c r="H33" s="323"/>
    </row>
    <row r="34" spans="2:8" ht="14.25" customHeight="1" thickBot="1" x14ac:dyDescent="0.35"/>
    <row r="35" spans="2:8" ht="14.25" customHeight="1" x14ac:dyDescent="0.3">
      <c r="B35" s="312" t="s">
        <v>217</v>
      </c>
      <c r="C35" s="313"/>
      <c r="D35" s="314"/>
    </row>
    <row r="36" spans="2:8" ht="14.25" customHeight="1" x14ac:dyDescent="0.3">
      <c r="B36" s="214" t="s">
        <v>243</v>
      </c>
      <c r="C36" s="44" t="s">
        <v>230</v>
      </c>
      <c r="D36" s="215" t="s">
        <v>231</v>
      </c>
    </row>
    <row r="37" spans="2:8" ht="14.25" customHeight="1" x14ac:dyDescent="0.3">
      <c r="B37" s="151" t="s">
        <v>169</v>
      </c>
      <c r="C37" s="27" t="s">
        <v>71</v>
      </c>
      <c r="D37" s="216">
        <f>+CIF!G13</f>
        <v>8.4257996768982224</v>
      </c>
    </row>
    <row r="38" spans="2:8" ht="14.25" customHeight="1" x14ac:dyDescent="0.3">
      <c r="B38" s="151" t="s">
        <v>39</v>
      </c>
      <c r="C38" s="27" t="s">
        <v>214</v>
      </c>
      <c r="D38" s="152">
        <f>+CIF!G17</f>
        <v>9015.703846153845</v>
      </c>
    </row>
    <row r="39" spans="2:8" ht="14.25" customHeight="1" x14ac:dyDescent="0.3">
      <c r="B39" s="151" t="s">
        <v>40</v>
      </c>
      <c r="C39" s="27" t="s">
        <v>214</v>
      </c>
      <c r="D39" s="152">
        <f>+CIF!G21</f>
        <v>56187.532051282054</v>
      </c>
    </row>
    <row r="40" spans="2:8" ht="14.25" customHeight="1" thickBot="1" x14ac:dyDescent="0.35">
      <c r="B40" s="161" t="s">
        <v>175</v>
      </c>
      <c r="C40" s="162" t="s">
        <v>214</v>
      </c>
      <c r="D40" s="160">
        <f>+CIF!F25</f>
        <v>8012.8205128205127</v>
      </c>
    </row>
    <row r="41" spans="2:8" ht="14.25" customHeight="1" x14ac:dyDescent="0.3"/>
    <row r="42" spans="2:8" ht="14.25" customHeight="1" x14ac:dyDescent="0.3"/>
    <row r="43" spans="2:8" ht="14.25" customHeight="1" x14ac:dyDescent="0.3"/>
    <row r="44" spans="2:8" ht="14.25" customHeight="1" x14ac:dyDescent="0.3"/>
    <row r="68" ht="16.5" customHeight="1" x14ac:dyDescent="0.3"/>
    <row r="86" spans="15:19" x14ac:dyDescent="0.3">
      <c r="O86" s="11"/>
      <c r="P86" s="11"/>
      <c r="Q86" s="11"/>
      <c r="R86" s="11"/>
      <c r="S86" s="11"/>
    </row>
    <row r="87" spans="15:19" ht="16.5" customHeight="1" x14ac:dyDescent="0.3">
      <c r="O87" s="11"/>
      <c r="P87" s="11"/>
      <c r="Q87" s="11"/>
      <c r="R87" s="11"/>
      <c r="S87" s="11"/>
    </row>
    <row r="88" spans="15:19" x14ac:dyDescent="0.3">
      <c r="O88" s="11"/>
      <c r="P88" s="11"/>
      <c r="Q88" s="11"/>
      <c r="R88" s="11"/>
      <c r="S88" s="11"/>
    </row>
    <row r="89" spans="15:19" x14ac:dyDescent="0.3">
      <c r="O89" s="11"/>
      <c r="P89" s="11"/>
      <c r="Q89" s="11"/>
      <c r="R89" s="11"/>
      <c r="S89" s="11"/>
    </row>
    <row r="90" spans="15:19" x14ac:dyDescent="0.3">
      <c r="O90" s="11"/>
      <c r="P90" s="11"/>
      <c r="Q90" s="11"/>
      <c r="R90" s="11"/>
      <c r="S90" s="11"/>
    </row>
    <row r="91" spans="15:19" x14ac:dyDescent="0.3">
      <c r="O91" s="11"/>
      <c r="P91" s="11"/>
      <c r="Q91" s="11"/>
      <c r="R91" s="11"/>
      <c r="S91" s="11"/>
    </row>
    <row r="92" spans="15:19" x14ac:dyDescent="0.3">
      <c r="O92" s="11"/>
      <c r="P92" s="11"/>
      <c r="Q92" s="11"/>
      <c r="R92" s="11"/>
      <c r="S92" s="11"/>
    </row>
    <row r="93" spans="15:19" x14ac:dyDescent="0.3">
      <c r="O93" s="11"/>
      <c r="P93" s="11"/>
      <c r="Q93" s="11"/>
      <c r="R93" s="11"/>
      <c r="S93" s="11"/>
    </row>
    <row r="94" spans="15:19" x14ac:dyDescent="0.3">
      <c r="O94" s="11"/>
      <c r="P94" s="11"/>
      <c r="Q94" s="11"/>
      <c r="R94" s="11"/>
      <c r="S94" s="11"/>
    </row>
    <row r="95" spans="15:19" x14ac:dyDescent="0.3">
      <c r="O95" s="11"/>
      <c r="P95" s="11"/>
      <c r="Q95" s="11"/>
      <c r="R95" s="11"/>
      <c r="S95" s="11"/>
    </row>
    <row r="96" spans="15:19" x14ac:dyDescent="0.3">
      <c r="O96" s="11"/>
      <c r="P96" s="11"/>
      <c r="Q96" s="11"/>
      <c r="R96" s="11"/>
      <c r="S96" s="11"/>
    </row>
    <row r="97" spans="15:19" x14ac:dyDescent="0.3">
      <c r="O97" s="11"/>
      <c r="P97" s="11"/>
      <c r="Q97" s="11"/>
      <c r="R97" s="11"/>
      <c r="S97" s="11"/>
    </row>
    <row r="98" spans="15:19" x14ac:dyDescent="0.3">
      <c r="O98" s="11"/>
      <c r="P98" s="11"/>
      <c r="Q98" s="11"/>
      <c r="R98" s="11"/>
      <c r="S98" s="11"/>
    </row>
    <row r="99" spans="15:19" x14ac:dyDescent="0.3">
      <c r="O99" s="11"/>
      <c r="P99" s="11"/>
      <c r="Q99" s="11"/>
      <c r="R99" s="11"/>
      <c r="S99" s="11"/>
    </row>
    <row r="100" spans="15:19" x14ac:dyDescent="0.3">
      <c r="O100" s="11"/>
      <c r="P100" s="11"/>
      <c r="Q100" s="11"/>
      <c r="R100" s="11"/>
      <c r="S100" s="11"/>
    </row>
    <row r="101" spans="15:19" x14ac:dyDescent="0.3">
      <c r="O101" s="11"/>
      <c r="P101" s="11"/>
      <c r="Q101" s="11"/>
      <c r="R101" s="11"/>
      <c r="S101" s="11"/>
    </row>
    <row r="102" spans="15:19" x14ac:dyDescent="0.3">
      <c r="O102" s="11"/>
      <c r="P102" s="11"/>
      <c r="Q102" s="11"/>
      <c r="R102" s="11"/>
      <c r="S102" s="11"/>
    </row>
    <row r="103" spans="15:19" x14ac:dyDescent="0.3">
      <c r="O103" s="11"/>
      <c r="P103" s="11"/>
      <c r="Q103" s="11"/>
      <c r="R103" s="11"/>
      <c r="S103" s="11"/>
    </row>
    <row r="104" spans="15:19" x14ac:dyDescent="0.3">
      <c r="O104" s="11"/>
      <c r="P104" s="11"/>
      <c r="Q104" s="11"/>
      <c r="R104" s="11"/>
      <c r="S104" s="11"/>
    </row>
    <row r="105" spans="15:19" x14ac:dyDescent="0.3">
      <c r="O105" s="11"/>
      <c r="P105" s="11"/>
      <c r="Q105" s="11"/>
      <c r="R105" s="11"/>
      <c r="S105" s="11"/>
    </row>
    <row r="106" spans="15:19" x14ac:dyDescent="0.3">
      <c r="O106" s="11"/>
      <c r="P106" s="11"/>
      <c r="Q106" s="11"/>
      <c r="R106" s="11"/>
      <c r="S106" s="11"/>
    </row>
    <row r="107" spans="15:19" x14ac:dyDescent="0.3">
      <c r="O107" s="11"/>
      <c r="P107" s="11"/>
      <c r="Q107" s="11"/>
      <c r="R107" s="11"/>
      <c r="S107" s="11"/>
    </row>
    <row r="108" spans="15:19" x14ac:dyDescent="0.3">
      <c r="O108" s="11"/>
      <c r="P108" s="11"/>
      <c r="Q108" s="11"/>
      <c r="R108" s="11"/>
      <c r="S108" s="11"/>
    </row>
    <row r="109" spans="15:19" x14ac:dyDescent="0.3">
      <c r="O109" s="11"/>
      <c r="P109" s="11"/>
      <c r="Q109" s="11"/>
      <c r="R109" s="11"/>
      <c r="S109" s="11"/>
    </row>
    <row r="110" spans="15:19" x14ac:dyDescent="0.3">
      <c r="O110" s="11"/>
      <c r="P110" s="11"/>
      <c r="Q110" s="11"/>
      <c r="R110" s="11"/>
      <c r="S110" s="11"/>
    </row>
    <row r="111" spans="15:19" x14ac:dyDescent="0.3">
      <c r="O111" s="11"/>
      <c r="P111" s="11"/>
      <c r="Q111" s="11"/>
      <c r="R111" s="11"/>
      <c r="S111" s="11"/>
    </row>
  </sheetData>
  <mergeCells count="24">
    <mergeCell ref="B32:D32"/>
    <mergeCell ref="G32:H32"/>
    <mergeCell ref="B33:D33"/>
    <mergeCell ref="G33:H33"/>
    <mergeCell ref="B35:D35"/>
    <mergeCell ref="B29:D29"/>
    <mergeCell ref="G29:H29"/>
    <mergeCell ref="B30:D30"/>
    <mergeCell ref="G30:H30"/>
    <mergeCell ref="B31:D31"/>
    <mergeCell ref="G31:H31"/>
    <mergeCell ref="B26:H26"/>
    <mergeCell ref="B27:D27"/>
    <mergeCell ref="G27:H27"/>
    <mergeCell ref="B28:D28"/>
    <mergeCell ref="G28:H28"/>
    <mergeCell ref="B10:B24"/>
    <mergeCell ref="C10:C24"/>
    <mergeCell ref="D10:D24"/>
    <mergeCell ref="E14:E17"/>
    <mergeCell ref="J14:J16"/>
    <mergeCell ref="E18:E19"/>
    <mergeCell ref="E20:E23"/>
    <mergeCell ref="E10:E13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9F2BA-0959-41AF-98E7-8F6CE7A5A695}">
  <dimension ref="A1:AS84"/>
  <sheetViews>
    <sheetView showGridLines="0" topLeftCell="A20" zoomScale="80" zoomScaleNormal="80" workbookViewId="0">
      <selection activeCell="B35" sqref="B35:D40"/>
    </sheetView>
  </sheetViews>
  <sheetFormatPr baseColWidth="10" defaultColWidth="11.42578125" defaultRowHeight="16.5" x14ac:dyDescent="0.3"/>
  <cols>
    <col min="1" max="1" width="11.42578125" style="12"/>
    <col min="2" max="4" width="13.85546875" style="12" customWidth="1"/>
    <col min="5" max="5" width="22" style="12" customWidth="1"/>
    <col min="6" max="6" width="28.42578125" style="12" customWidth="1"/>
    <col min="7" max="10" width="11.42578125" style="12" customWidth="1"/>
    <col min="11" max="11" width="12.28515625" style="19" customWidth="1"/>
    <col min="12" max="16384" width="11.42578125" style="12"/>
  </cols>
  <sheetData>
    <row r="1" spans="1:45" x14ac:dyDescent="0.3">
      <c r="B1" s="169"/>
      <c r="C1" s="170"/>
      <c r="D1" s="170"/>
      <c r="E1" s="170"/>
      <c r="F1" s="170"/>
      <c r="G1" s="170"/>
      <c r="H1" s="170"/>
      <c r="I1" s="170"/>
      <c r="J1" s="170"/>
      <c r="K1" s="199"/>
    </row>
    <row r="2" spans="1:45" x14ac:dyDescent="0.3">
      <c r="B2" s="172"/>
      <c r="K2" s="200"/>
    </row>
    <row r="3" spans="1:45" x14ac:dyDescent="0.3">
      <c r="B3" s="172"/>
      <c r="K3" s="200"/>
    </row>
    <row r="4" spans="1:45" x14ac:dyDescent="0.3">
      <c r="B4" s="172"/>
      <c r="K4" s="200"/>
    </row>
    <row r="5" spans="1:45" x14ac:dyDescent="0.3">
      <c r="B5" s="172"/>
      <c r="K5" s="200"/>
    </row>
    <row r="6" spans="1:45" x14ac:dyDescent="0.3">
      <c r="B6" s="172"/>
      <c r="K6" s="200"/>
    </row>
    <row r="7" spans="1:45" s="46" customFormat="1" ht="17.25" thickBot="1" x14ac:dyDescent="0.35">
      <c r="A7" s="12"/>
      <c r="B7" s="174"/>
      <c r="K7" s="201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</row>
    <row r="8" spans="1:45" ht="17.25" thickBot="1" x14ac:dyDescent="0.35"/>
    <row r="9" spans="1:45" ht="59.25" customHeight="1" x14ac:dyDescent="0.3">
      <c r="B9" s="202" t="s">
        <v>77</v>
      </c>
      <c r="C9" s="203" t="s">
        <v>41</v>
      </c>
      <c r="D9" s="203" t="s">
        <v>42</v>
      </c>
      <c r="E9" s="204" t="s">
        <v>68</v>
      </c>
      <c r="F9" s="204" t="s">
        <v>185</v>
      </c>
      <c r="G9" s="203" t="s">
        <v>186</v>
      </c>
      <c r="H9" s="203" t="s">
        <v>187</v>
      </c>
      <c r="I9" s="205" t="s">
        <v>257</v>
      </c>
      <c r="J9" s="203" t="s">
        <v>188</v>
      </c>
      <c r="K9" s="206" t="s">
        <v>258</v>
      </c>
    </row>
    <row r="10" spans="1:45" ht="15" customHeight="1" x14ac:dyDescent="0.3">
      <c r="B10" s="324" t="s">
        <v>263</v>
      </c>
      <c r="C10" s="294" t="s">
        <v>156</v>
      </c>
      <c r="D10" s="300">
        <v>1</v>
      </c>
      <c r="E10" s="303" t="s">
        <v>144</v>
      </c>
      <c r="F10" s="53" t="s">
        <v>69</v>
      </c>
      <c r="G10" s="27">
        <f>+D10*I10</f>
        <v>10</v>
      </c>
      <c r="H10" s="27" t="s">
        <v>71</v>
      </c>
      <c r="I10" s="27">
        <v>10</v>
      </c>
      <c r="J10" s="27">
        <v>15</v>
      </c>
      <c r="K10" s="207" t="s">
        <v>76</v>
      </c>
    </row>
    <row r="11" spans="1:45" ht="15" customHeight="1" x14ac:dyDescent="0.3">
      <c r="B11" s="325"/>
      <c r="C11" s="295"/>
      <c r="D11" s="301"/>
      <c r="E11" s="304"/>
      <c r="F11" s="53" t="s">
        <v>72</v>
      </c>
      <c r="G11" s="27">
        <f>+G10*I11</f>
        <v>5</v>
      </c>
      <c r="H11" s="27" t="s">
        <v>73</v>
      </c>
      <c r="I11" s="27">
        <v>0.5</v>
      </c>
      <c r="J11" s="27">
        <v>0</v>
      </c>
      <c r="K11" s="207" t="s">
        <v>76</v>
      </c>
    </row>
    <row r="12" spans="1:45" ht="15" customHeight="1" x14ac:dyDescent="0.3">
      <c r="B12" s="325"/>
      <c r="C12" s="295"/>
      <c r="D12" s="301"/>
      <c r="E12" s="304"/>
      <c r="F12" s="53" t="s">
        <v>74</v>
      </c>
      <c r="G12" s="27">
        <f>+G10*I12</f>
        <v>5</v>
      </c>
      <c r="H12" s="27" t="s">
        <v>73</v>
      </c>
      <c r="I12" s="27">
        <v>0.5</v>
      </c>
      <c r="J12" s="27">
        <v>0</v>
      </c>
      <c r="K12" s="207" t="s">
        <v>76</v>
      </c>
    </row>
    <row r="13" spans="1:45" ht="15" customHeight="1" x14ac:dyDescent="0.3">
      <c r="B13" s="325"/>
      <c r="C13" s="295"/>
      <c r="D13" s="301"/>
      <c r="E13" s="305"/>
      <c r="F13" s="53" t="s">
        <v>75</v>
      </c>
      <c r="G13" s="27">
        <f>+G10*I13</f>
        <v>10</v>
      </c>
      <c r="H13" s="27" t="s">
        <v>73</v>
      </c>
      <c r="I13" s="27">
        <v>1</v>
      </c>
      <c r="J13" s="27">
        <v>0</v>
      </c>
      <c r="K13" s="207" t="s">
        <v>76</v>
      </c>
    </row>
    <row r="14" spans="1:45" ht="15" customHeight="1" x14ac:dyDescent="0.3">
      <c r="B14" s="325"/>
      <c r="C14" s="295"/>
      <c r="D14" s="301"/>
      <c r="E14" s="303" t="s">
        <v>77</v>
      </c>
      <c r="F14" s="26" t="s">
        <v>147</v>
      </c>
      <c r="G14" s="27">
        <f>(D10*1000)*I14</f>
        <v>0.39</v>
      </c>
      <c r="H14" s="27" t="s">
        <v>73</v>
      </c>
      <c r="I14" s="59">
        <v>3.8999999999999999E-4</v>
      </c>
      <c r="J14" s="327">
        <v>10</v>
      </c>
      <c r="K14" s="208" t="s">
        <v>76</v>
      </c>
    </row>
    <row r="15" spans="1:45" ht="15" customHeight="1" x14ac:dyDescent="0.3">
      <c r="B15" s="325"/>
      <c r="C15" s="295"/>
      <c r="D15" s="301"/>
      <c r="E15" s="304"/>
      <c r="F15" s="26" t="s">
        <v>149</v>
      </c>
      <c r="G15" s="27">
        <f>(D10*1000)*I15</f>
        <v>0.27</v>
      </c>
      <c r="H15" s="27" t="s">
        <v>73</v>
      </c>
      <c r="I15" s="59">
        <v>2.7E-4</v>
      </c>
      <c r="J15" s="328"/>
      <c r="K15" s="208"/>
    </row>
    <row r="16" spans="1:45" ht="15" customHeight="1" x14ac:dyDescent="0.3">
      <c r="B16" s="325"/>
      <c r="C16" s="295"/>
      <c r="D16" s="301"/>
      <c r="E16" s="304"/>
      <c r="F16" s="26" t="s">
        <v>155</v>
      </c>
      <c r="G16" s="27">
        <f>(D10*1000)*I16</f>
        <v>0.48000000000000004</v>
      </c>
      <c r="H16" s="27" t="s">
        <v>73</v>
      </c>
      <c r="I16" s="59">
        <v>4.8000000000000001E-4</v>
      </c>
      <c r="J16" s="329"/>
      <c r="K16" s="208"/>
    </row>
    <row r="17" spans="2:11" ht="15" customHeight="1" x14ac:dyDescent="0.3">
      <c r="B17" s="325"/>
      <c r="C17" s="295"/>
      <c r="D17" s="301"/>
      <c r="E17" s="305"/>
      <c r="F17" s="53" t="s">
        <v>79</v>
      </c>
      <c r="G17" s="27">
        <f>+G10*I17</f>
        <v>0.3</v>
      </c>
      <c r="H17" s="27" t="s">
        <v>28</v>
      </c>
      <c r="I17" s="58">
        <v>0.03</v>
      </c>
      <c r="J17" s="27">
        <v>20</v>
      </c>
      <c r="K17" s="208" t="s">
        <v>76</v>
      </c>
    </row>
    <row r="18" spans="2:11" ht="15" customHeight="1" x14ac:dyDescent="0.3">
      <c r="B18" s="325"/>
      <c r="C18" s="295"/>
      <c r="D18" s="301"/>
      <c r="E18" s="303" t="s">
        <v>80</v>
      </c>
      <c r="F18" s="53" t="s">
        <v>81</v>
      </c>
      <c r="G18" s="27">
        <f>+G10*I18</f>
        <v>25</v>
      </c>
      <c r="H18" s="27" t="s">
        <v>73</v>
      </c>
      <c r="I18" s="27">
        <v>2.5</v>
      </c>
      <c r="J18" s="27">
        <v>40</v>
      </c>
      <c r="K18" s="207" t="s">
        <v>76</v>
      </c>
    </row>
    <row r="19" spans="2:11" ht="15" customHeight="1" x14ac:dyDescent="0.3">
      <c r="B19" s="325"/>
      <c r="C19" s="295"/>
      <c r="D19" s="301"/>
      <c r="E19" s="305"/>
      <c r="F19" s="53" t="s">
        <v>82</v>
      </c>
      <c r="G19" s="27">
        <f>+G10*I19</f>
        <v>30</v>
      </c>
      <c r="H19" s="27" t="s">
        <v>71</v>
      </c>
      <c r="I19" s="27">
        <v>3</v>
      </c>
      <c r="J19" s="27">
        <v>10</v>
      </c>
      <c r="K19" s="207" t="s">
        <v>76</v>
      </c>
    </row>
    <row r="20" spans="2:11" ht="15" customHeight="1" x14ac:dyDescent="0.3">
      <c r="B20" s="325"/>
      <c r="C20" s="295"/>
      <c r="D20" s="301"/>
      <c r="E20" s="303" t="s">
        <v>146</v>
      </c>
      <c r="F20" s="53" t="s">
        <v>83</v>
      </c>
      <c r="G20" s="27">
        <f>+G10*I20</f>
        <v>10</v>
      </c>
      <c r="H20" s="27" t="s">
        <v>71</v>
      </c>
      <c r="I20" s="27">
        <v>1</v>
      </c>
      <c r="J20" s="27">
        <v>5</v>
      </c>
      <c r="K20" s="207" t="s">
        <v>85</v>
      </c>
    </row>
    <row r="21" spans="2:11" ht="15" customHeight="1" x14ac:dyDescent="0.3">
      <c r="B21" s="325"/>
      <c r="C21" s="295"/>
      <c r="D21" s="301"/>
      <c r="E21" s="304"/>
      <c r="F21" s="53" t="s">
        <v>84</v>
      </c>
      <c r="G21" s="27">
        <f>+G10*I21</f>
        <v>30</v>
      </c>
      <c r="H21" s="27" t="s">
        <v>73</v>
      </c>
      <c r="I21" s="27">
        <v>3</v>
      </c>
      <c r="J21" s="27">
        <v>15</v>
      </c>
      <c r="K21" s="207" t="s">
        <v>85</v>
      </c>
    </row>
    <row r="22" spans="2:11" ht="15" customHeight="1" x14ac:dyDescent="0.3">
      <c r="B22" s="325"/>
      <c r="C22" s="295"/>
      <c r="D22" s="301"/>
      <c r="E22" s="304"/>
      <c r="F22" s="53" t="s">
        <v>82</v>
      </c>
      <c r="G22" s="27">
        <f>+G10*I22</f>
        <v>30</v>
      </c>
      <c r="H22" s="27" t="s">
        <v>71</v>
      </c>
      <c r="I22" s="27">
        <v>3</v>
      </c>
      <c r="J22" s="27">
        <v>15</v>
      </c>
      <c r="K22" s="207" t="s">
        <v>85</v>
      </c>
    </row>
    <row r="23" spans="2:11" ht="15" customHeight="1" x14ac:dyDescent="0.3">
      <c r="B23" s="325"/>
      <c r="C23" s="295"/>
      <c r="D23" s="301"/>
      <c r="E23" s="305"/>
      <c r="F23" s="53" t="s">
        <v>83</v>
      </c>
      <c r="G23" s="27">
        <f>+G10*I23</f>
        <v>5</v>
      </c>
      <c r="H23" s="27" t="s">
        <v>71</v>
      </c>
      <c r="I23" s="27">
        <v>0.5</v>
      </c>
      <c r="J23" s="27">
        <v>5</v>
      </c>
      <c r="K23" s="207" t="s">
        <v>85</v>
      </c>
    </row>
    <row r="24" spans="2:11" ht="15" customHeight="1" thickBot="1" x14ac:dyDescent="0.35">
      <c r="B24" s="326"/>
      <c r="C24" s="296"/>
      <c r="D24" s="302"/>
      <c r="E24" s="218" t="s">
        <v>142</v>
      </c>
      <c r="F24" s="219" t="s">
        <v>150</v>
      </c>
      <c r="G24" s="162">
        <f>+G10*I24</f>
        <v>5</v>
      </c>
      <c r="H24" s="162" t="s">
        <v>73</v>
      </c>
      <c r="I24" s="162">
        <v>0.5</v>
      </c>
      <c r="J24" s="162">
        <v>15</v>
      </c>
      <c r="K24" s="211"/>
    </row>
    <row r="25" spans="2:11" ht="15" customHeight="1" x14ac:dyDescent="0.3"/>
    <row r="26" spans="2:11" ht="15" customHeight="1" thickBot="1" x14ac:dyDescent="0.35">
      <c r="B26" s="330" t="s">
        <v>205</v>
      </c>
      <c r="C26" s="330"/>
      <c r="D26" s="330"/>
      <c r="E26" s="330"/>
      <c r="F26" s="330"/>
      <c r="G26" s="330"/>
      <c r="H26" s="330"/>
    </row>
    <row r="27" spans="2:11" ht="15" customHeight="1" x14ac:dyDescent="0.3">
      <c r="B27" s="331" t="s">
        <v>205</v>
      </c>
      <c r="C27" s="332"/>
      <c r="D27" s="333"/>
      <c r="E27" s="212" t="s">
        <v>206</v>
      </c>
      <c r="F27" s="203" t="s">
        <v>207</v>
      </c>
      <c r="G27" s="334" t="s">
        <v>229</v>
      </c>
      <c r="H27" s="335"/>
    </row>
    <row r="28" spans="2:11" ht="15" customHeight="1" x14ac:dyDescent="0.3">
      <c r="B28" s="309" t="s">
        <v>210</v>
      </c>
      <c r="C28" s="310"/>
      <c r="D28" s="311"/>
      <c r="E28" s="27">
        <v>1</v>
      </c>
      <c r="F28" s="60" t="s">
        <v>214</v>
      </c>
      <c r="G28" s="320">
        <f>+'MANO OBRA P.'!C35</f>
        <v>28609.121739130438</v>
      </c>
      <c r="H28" s="321"/>
    </row>
    <row r="29" spans="2:11" ht="15" customHeight="1" x14ac:dyDescent="0.3">
      <c r="B29" s="309" t="s">
        <v>211</v>
      </c>
      <c r="C29" s="310" t="s">
        <v>174</v>
      </c>
      <c r="D29" s="311">
        <v>2.5</v>
      </c>
      <c r="E29" s="27">
        <v>1</v>
      </c>
      <c r="F29" s="60" t="s">
        <v>214</v>
      </c>
      <c r="G29" s="320">
        <f>+'MANO OBRA P.'!C60</f>
        <v>16728.110869565218</v>
      </c>
      <c r="H29" s="321"/>
    </row>
    <row r="30" spans="2:11" ht="15" customHeight="1" x14ac:dyDescent="0.3">
      <c r="B30" s="309" t="s">
        <v>222</v>
      </c>
      <c r="C30" s="310" t="s">
        <v>174</v>
      </c>
      <c r="D30" s="311">
        <v>2.5</v>
      </c>
      <c r="E30" s="27">
        <v>1</v>
      </c>
      <c r="F30" s="60" t="s">
        <v>214</v>
      </c>
      <c r="G30" s="320">
        <f>+'MANO OBRA P.'!C85</f>
        <v>13072.415217391304</v>
      </c>
      <c r="H30" s="321"/>
    </row>
    <row r="31" spans="2:11" ht="15" customHeight="1" x14ac:dyDescent="0.3">
      <c r="B31" s="309" t="s">
        <v>212</v>
      </c>
      <c r="C31" s="310" t="s">
        <v>174</v>
      </c>
      <c r="D31" s="311">
        <v>1</v>
      </c>
      <c r="E31" s="27">
        <v>1</v>
      </c>
      <c r="F31" s="60" t="s">
        <v>214</v>
      </c>
      <c r="G31" s="320">
        <f>+'MANO OBRA P.'!C85</f>
        <v>13072.415217391304</v>
      </c>
      <c r="H31" s="321"/>
    </row>
    <row r="32" spans="2:11" ht="15" customHeight="1" x14ac:dyDescent="0.3">
      <c r="B32" s="309" t="s">
        <v>213</v>
      </c>
      <c r="C32" s="310" t="s">
        <v>174</v>
      </c>
      <c r="D32" s="311">
        <v>1.5</v>
      </c>
      <c r="E32" s="27">
        <v>1</v>
      </c>
      <c r="F32" s="60" t="s">
        <v>214</v>
      </c>
      <c r="G32" s="320">
        <f>+'MANO OBRA P.'!C85</f>
        <v>13072.415217391304</v>
      </c>
      <c r="H32" s="321"/>
    </row>
    <row r="33" spans="2:8" ht="15" customHeight="1" thickBot="1" x14ac:dyDescent="0.35">
      <c r="B33" s="317" t="s">
        <v>221</v>
      </c>
      <c r="C33" s="318" t="s">
        <v>174</v>
      </c>
      <c r="D33" s="319">
        <v>1</v>
      </c>
      <c r="E33" s="162">
        <v>1</v>
      </c>
      <c r="F33" s="213" t="s">
        <v>214</v>
      </c>
      <c r="G33" s="322">
        <f>+'MANO OBRA P.'!C110</f>
        <v>13986.339130434782</v>
      </c>
      <c r="H33" s="323"/>
    </row>
    <row r="34" spans="2:8" ht="15" customHeight="1" thickBot="1" x14ac:dyDescent="0.35"/>
    <row r="35" spans="2:8" ht="15" customHeight="1" x14ac:dyDescent="0.3">
      <c r="B35" s="312" t="s">
        <v>217</v>
      </c>
      <c r="C35" s="313"/>
      <c r="D35" s="314"/>
    </row>
    <row r="36" spans="2:8" ht="15" customHeight="1" x14ac:dyDescent="0.3">
      <c r="B36" s="214" t="s">
        <v>243</v>
      </c>
      <c r="C36" s="44" t="s">
        <v>230</v>
      </c>
      <c r="D36" s="215" t="s">
        <v>231</v>
      </c>
    </row>
    <row r="37" spans="2:8" ht="15" customHeight="1" x14ac:dyDescent="0.3">
      <c r="B37" s="151" t="s">
        <v>169</v>
      </c>
      <c r="C37" s="27" t="s">
        <v>71</v>
      </c>
      <c r="D37" s="216">
        <f>+CIF!G13</f>
        <v>8.4257996768982224</v>
      </c>
    </row>
    <row r="38" spans="2:8" ht="15" customHeight="1" x14ac:dyDescent="0.3">
      <c r="B38" s="151" t="s">
        <v>39</v>
      </c>
      <c r="C38" s="27" t="s">
        <v>214</v>
      </c>
      <c r="D38" s="152">
        <f>+CIF!G17</f>
        <v>9015.703846153845</v>
      </c>
    </row>
    <row r="39" spans="2:8" ht="15" customHeight="1" x14ac:dyDescent="0.3">
      <c r="B39" s="151" t="s">
        <v>40</v>
      </c>
      <c r="C39" s="27" t="s">
        <v>214</v>
      </c>
      <c r="D39" s="152">
        <f>+CIF!G21</f>
        <v>56187.532051282054</v>
      </c>
    </row>
    <row r="40" spans="2:8" ht="15" customHeight="1" thickBot="1" x14ac:dyDescent="0.35">
      <c r="B40" s="161" t="s">
        <v>175</v>
      </c>
      <c r="C40" s="162" t="s">
        <v>214</v>
      </c>
      <c r="D40" s="160">
        <f>+CIF!F25</f>
        <v>8012.8205128205127</v>
      </c>
    </row>
    <row r="41" spans="2:8" ht="15" customHeight="1" x14ac:dyDescent="0.3"/>
    <row r="42" spans="2:8" ht="15" customHeight="1" x14ac:dyDescent="0.3"/>
    <row r="59" spans="14:18" x14ac:dyDescent="0.3">
      <c r="N59" s="11"/>
      <c r="O59" s="11"/>
      <c r="P59" s="11"/>
      <c r="Q59" s="11"/>
      <c r="R59" s="11"/>
    </row>
    <row r="60" spans="14:18" ht="16.5" customHeight="1" x14ac:dyDescent="0.3">
      <c r="N60" s="11"/>
      <c r="O60" s="11"/>
      <c r="P60" s="11"/>
      <c r="Q60" s="11"/>
      <c r="R60" s="11"/>
    </row>
    <row r="61" spans="14:18" x14ac:dyDescent="0.3">
      <c r="N61" s="11"/>
      <c r="O61" s="11"/>
      <c r="P61" s="11"/>
      <c r="Q61" s="11"/>
      <c r="R61" s="11"/>
    </row>
    <row r="62" spans="14:18" x14ac:dyDescent="0.3">
      <c r="N62" s="11"/>
      <c r="O62" s="11"/>
      <c r="P62" s="11"/>
      <c r="Q62" s="11"/>
      <c r="R62" s="11"/>
    </row>
    <row r="63" spans="14:18" x14ac:dyDescent="0.3">
      <c r="N63" s="11"/>
      <c r="O63" s="11"/>
      <c r="P63" s="11"/>
      <c r="Q63" s="11"/>
      <c r="R63" s="11"/>
    </row>
    <row r="64" spans="14:18" x14ac:dyDescent="0.3">
      <c r="N64" s="11"/>
      <c r="O64" s="11"/>
      <c r="P64" s="11"/>
      <c r="Q64" s="11"/>
      <c r="R64" s="11"/>
    </row>
    <row r="65" spans="14:18" x14ac:dyDescent="0.3">
      <c r="N65" s="11"/>
      <c r="O65" s="11"/>
      <c r="P65" s="11"/>
      <c r="Q65" s="11"/>
      <c r="R65" s="11"/>
    </row>
    <row r="66" spans="14:18" x14ac:dyDescent="0.3">
      <c r="N66" s="11"/>
      <c r="O66" s="11"/>
      <c r="P66" s="11"/>
      <c r="Q66" s="11"/>
      <c r="R66" s="11"/>
    </row>
    <row r="67" spans="14:18" x14ac:dyDescent="0.3">
      <c r="N67" s="11"/>
      <c r="O67" s="11"/>
      <c r="P67" s="11"/>
      <c r="Q67" s="11"/>
      <c r="R67" s="11"/>
    </row>
    <row r="68" spans="14:18" x14ac:dyDescent="0.3">
      <c r="N68" s="11"/>
      <c r="O68" s="11"/>
      <c r="P68" s="11"/>
      <c r="Q68" s="11"/>
      <c r="R68" s="11"/>
    </row>
    <row r="69" spans="14:18" x14ac:dyDescent="0.3">
      <c r="N69" s="11"/>
      <c r="O69" s="11"/>
      <c r="P69" s="11"/>
      <c r="Q69" s="11"/>
      <c r="R69" s="11"/>
    </row>
    <row r="70" spans="14:18" x14ac:dyDescent="0.3">
      <c r="N70" s="11"/>
      <c r="O70" s="11"/>
      <c r="P70" s="11"/>
      <c r="Q70" s="11"/>
      <c r="R70" s="11"/>
    </row>
    <row r="71" spans="14:18" x14ac:dyDescent="0.3">
      <c r="N71" s="11"/>
      <c r="O71" s="11"/>
      <c r="P71" s="11"/>
      <c r="Q71" s="11"/>
      <c r="R71" s="11"/>
    </row>
    <row r="72" spans="14:18" x14ac:dyDescent="0.3">
      <c r="N72" s="11"/>
      <c r="O72" s="11"/>
      <c r="P72" s="11"/>
      <c r="Q72" s="11"/>
      <c r="R72" s="11"/>
    </row>
    <row r="73" spans="14:18" x14ac:dyDescent="0.3">
      <c r="N73" s="11"/>
      <c r="O73" s="11"/>
      <c r="P73" s="11"/>
      <c r="Q73" s="11"/>
      <c r="R73" s="11"/>
    </row>
    <row r="74" spans="14:18" x14ac:dyDescent="0.3">
      <c r="N74" s="11"/>
      <c r="O74" s="11"/>
      <c r="P74" s="11"/>
      <c r="Q74" s="11"/>
      <c r="R74" s="11"/>
    </row>
    <row r="75" spans="14:18" x14ac:dyDescent="0.3">
      <c r="N75" s="11"/>
      <c r="O75" s="11"/>
      <c r="P75" s="11"/>
      <c r="Q75" s="11"/>
      <c r="R75" s="11"/>
    </row>
    <row r="76" spans="14:18" x14ac:dyDescent="0.3">
      <c r="N76" s="11"/>
      <c r="O76" s="11"/>
      <c r="P76" s="11"/>
      <c r="Q76" s="11"/>
      <c r="R76" s="11"/>
    </row>
    <row r="77" spans="14:18" x14ac:dyDescent="0.3">
      <c r="N77" s="11"/>
      <c r="O77" s="11"/>
      <c r="P77" s="11"/>
      <c r="Q77" s="11"/>
      <c r="R77" s="11"/>
    </row>
    <row r="78" spans="14:18" x14ac:dyDescent="0.3">
      <c r="N78" s="11"/>
      <c r="O78" s="11"/>
      <c r="P78" s="11"/>
      <c r="Q78" s="11"/>
      <c r="R78" s="11"/>
    </row>
    <row r="79" spans="14:18" x14ac:dyDescent="0.3">
      <c r="N79" s="11"/>
      <c r="O79" s="11"/>
      <c r="P79" s="11"/>
      <c r="Q79" s="11"/>
      <c r="R79" s="11"/>
    </row>
    <row r="80" spans="14:18" x14ac:dyDescent="0.3">
      <c r="N80" s="11"/>
      <c r="O80" s="11"/>
      <c r="P80" s="11"/>
      <c r="Q80" s="11"/>
      <c r="R80" s="11"/>
    </row>
    <row r="81" spans="14:18" x14ac:dyDescent="0.3">
      <c r="N81" s="11"/>
      <c r="O81" s="11"/>
      <c r="P81" s="11"/>
      <c r="Q81" s="11"/>
      <c r="R81" s="11"/>
    </row>
    <row r="82" spans="14:18" x14ac:dyDescent="0.3">
      <c r="N82" s="11"/>
      <c r="O82" s="11"/>
      <c r="P82" s="11"/>
      <c r="Q82" s="11"/>
      <c r="R82" s="11"/>
    </row>
    <row r="83" spans="14:18" x14ac:dyDescent="0.3">
      <c r="N83" s="11"/>
      <c r="O83" s="11"/>
      <c r="P83" s="11"/>
      <c r="Q83" s="11"/>
      <c r="R83" s="11"/>
    </row>
    <row r="84" spans="14:18" x14ac:dyDescent="0.3">
      <c r="N84" s="11"/>
      <c r="O84" s="11"/>
      <c r="P84" s="11"/>
      <c r="Q84" s="11"/>
      <c r="R84" s="11"/>
    </row>
  </sheetData>
  <mergeCells count="24">
    <mergeCell ref="B32:D32"/>
    <mergeCell ref="G32:H32"/>
    <mergeCell ref="B33:D33"/>
    <mergeCell ref="G33:H33"/>
    <mergeCell ref="B35:D35"/>
    <mergeCell ref="B29:D29"/>
    <mergeCell ref="G29:H29"/>
    <mergeCell ref="B30:D30"/>
    <mergeCell ref="G30:H30"/>
    <mergeCell ref="B31:D31"/>
    <mergeCell ref="G31:H31"/>
    <mergeCell ref="B26:H26"/>
    <mergeCell ref="B27:D27"/>
    <mergeCell ref="G27:H27"/>
    <mergeCell ref="B28:D28"/>
    <mergeCell ref="G28:H28"/>
    <mergeCell ref="J14:J16"/>
    <mergeCell ref="E18:E19"/>
    <mergeCell ref="E20:E23"/>
    <mergeCell ref="B10:B24"/>
    <mergeCell ref="C10:C24"/>
    <mergeCell ref="D10:D24"/>
    <mergeCell ref="E10:E13"/>
    <mergeCell ref="E14:E17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BA4D5-6D40-4A82-BA7C-C80BF9E19D7A}">
  <dimension ref="A1:BI57"/>
  <sheetViews>
    <sheetView showGridLines="0" topLeftCell="A7" zoomScale="80" zoomScaleNormal="80" workbookViewId="0">
      <selection activeCell="B35" sqref="B35:D40"/>
    </sheetView>
  </sheetViews>
  <sheetFormatPr baseColWidth="10" defaultColWidth="11.42578125" defaultRowHeight="16.5" x14ac:dyDescent="0.3"/>
  <cols>
    <col min="1" max="1" width="11.42578125" style="12"/>
    <col min="2" max="4" width="21.7109375" style="12" customWidth="1"/>
    <col min="5" max="5" width="19" style="12" customWidth="1"/>
    <col min="6" max="6" width="27.85546875" style="12" customWidth="1"/>
    <col min="7" max="10" width="11.42578125" style="12" customWidth="1"/>
    <col min="11" max="11" width="10.28515625" style="19" customWidth="1"/>
    <col min="12" max="12" width="11.42578125" style="12"/>
    <col min="13" max="13" width="13" style="12" customWidth="1"/>
    <col min="14" max="16384" width="11.42578125" style="12"/>
  </cols>
  <sheetData>
    <row r="1" spans="1:61" x14ac:dyDescent="0.3">
      <c r="B1" s="169"/>
      <c r="C1" s="170"/>
      <c r="D1" s="170"/>
      <c r="E1" s="170"/>
      <c r="F1" s="170"/>
      <c r="G1" s="170"/>
      <c r="H1" s="170"/>
      <c r="I1" s="170"/>
      <c r="J1" s="170"/>
      <c r="K1" s="199"/>
    </row>
    <row r="2" spans="1:61" x14ac:dyDescent="0.3">
      <c r="B2" s="172"/>
      <c r="K2" s="200"/>
    </row>
    <row r="3" spans="1:61" x14ac:dyDescent="0.3">
      <c r="B3" s="172"/>
      <c r="K3" s="200"/>
    </row>
    <row r="4" spans="1:61" x14ac:dyDescent="0.3">
      <c r="B4" s="172"/>
      <c r="K4" s="200"/>
    </row>
    <row r="5" spans="1:61" x14ac:dyDescent="0.3">
      <c r="B5" s="172"/>
      <c r="K5" s="200"/>
    </row>
    <row r="6" spans="1:61" x14ac:dyDescent="0.3">
      <c r="B6" s="172"/>
      <c r="K6" s="200"/>
    </row>
    <row r="7" spans="1:61" s="46" customFormat="1" ht="17.25" thickBot="1" x14ac:dyDescent="0.35">
      <c r="A7" s="12"/>
      <c r="B7" s="174"/>
      <c r="K7" s="201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</row>
    <row r="8" spans="1:61" ht="17.25" thickBot="1" x14ac:dyDescent="0.35"/>
    <row r="9" spans="1:61" ht="44.25" customHeight="1" x14ac:dyDescent="0.3">
      <c r="B9" s="202" t="s">
        <v>77</v>
      </c>
      <c r="C9" s="203" t="s">
        <v>41</v>
      </c>
      <c r="D9" s="203" t="s">
        <v>42</v>
      </c>
      <c r="E9" s="204" t="s">
        <v>68</v>
      </c>
      <c r="F9" s="204" t="s">
        <v>185</v>
      </c>
      <c r="G9" s="203" t="s">
        <v>186</v>
      </c>
      <c r="H9" s="203" t="s">
        <v>187</v>
      </c>
      <c r="I9" s="205" t="s">
        <v>257</v>
      </c>
      <c r="J9" s="203" t="s">
        <v>188</v>
      </c>
      <c r="K9" s="206" t="s">
        <v>258</v>
      </c>
    </row>
    <row r="10" spans="1:61" ht="15" customHeight="1" x14ac:dyDescent="0.3">
      <c r="B10" s="324" t="s">
        <v>195</v>
      </c>
      <c r="C10" s="294" t="s">
        <v>194</v>
      </c>
      <c r="D10" s="300">
        <v>1</v>
      </c>
      <c r="E10" s="303" t="s">
        <v>144</v>
      </c>
      <c r="F10" s="53" t="s">
        <v>69</v>
      </c>
      <c r="G10" s="27">
        <f>+D10*I10</f>
        <v>10</v>
      </c>
      <c r="H10" s="27" t="s">
        <v>71</v>
      </c>
      <c r="I10" s="27">
        <v>10</v>
      </c>
      <c r="J10" s="27">
        <v>15</v>
      </c>
      <c r="K10" s="207" t="s">
        <v>76</v>
      </c>
    </row>
    <row r="11" spans="1:61" ht="15" customHeight="1" x14ac:dyDescent="0.3">
      <c r="B11" s="325"/>
      <c r="C11" s="295"/>
      <c r="D11" s="301"/>
      <c r="E11" s="304"/>
      <c r="F11" s="53" t="s">
        <v>72</v>
      </c>
      <c r="G11" s="27">
        <f>+G10*I11</f>
        <v>5</v>
      </c>
      <c r="H11" s="27" t="s">
        <v>73</v>
      </c>
      <c r="I11" s="27">
        <v>0.5</v>
      </c>
      <c r="J11" s="27">
        <v>0</v>
      </c>
      <c r="K11" s="207" t="s">
        <v>76</v>
      </c>
    </row>
    <row r="12" spans="1:61" ht="15" customHeight="1" x14ac:dyDescent="0.3">
      <c r="B12" s="325"/>
      <c r="C12" s="295"/>
      <c r="D12" s="301"/>
      <c r="E12" s="304"/>
      <c r="F12" s="53" t="s">
        <v>74</v>
      </c>
      <c r="G12" s="27">
        <f>+G10*I12</f>
        <v>5</v>
      </c>
      <c r="H12" s="27" t="s">
        <v>73</v>
      </c>
      <c r="I12" s="27">
        <v>0.5</v>
      </c>
      <c r="J12" s="27">
        <v>0</v>
      </c>
      <c r="K12" s="207" t="s">
        <v>76</v>
      </c>
    </row>
    <row r="13" spans="1:61" ht="15" customHeight="1" x14ac:dyDescent="0.3">
      <c r="B13" s="325"/>
      <c r="C13" s="295"/>
      <c r="D13" s="301"/>
      <c r="E13" s="305"/>
      <c r="F13" s="53" t="s">
        <v>75</v>
      </c>
      <c r="G13" s="27">
        <f>+G10*I13</f>
        <v>10</v>
      </c>
      <c r="H13" s="27" t="s">
        <v>73</v>
      </c>
      <c r="I13" s="27">
        <v>1</v>
      </c>
      <c r="J13" s="27">
        <v>0</v>
      </c>
      <c r="K13" s="207" t="s">
        <v>76</v>
      </c>
    </row>
    <row r="14" spans="1:61" ht="15" customHeight="1" x14ac:dyDescent="0.3">
      <c r="B14" s="325"/>
      <c r="C14" s="295"/>
      <c r="D14" s="301"/>
      <c r="E14" s="303" t="s">
        <v>77</v>
      </c>
      <c r="F14" s="26" t="s">
        <v>147</v>
      </c>
      <c r="G14" s="27">
        <f>(D10*1000)*I14</f>
        <v>0.66</v>
      </c>
      <c r="H14" s="27" t="s">
        <v>73</v>
      </c>
      <c r="I14" s="59">
        <v>6.6E-4</v>
      </c>
      <c r="J14" s="327">
        <v>10</v>
      </c>
      <c r="K14" s="208" t="s">
        <v>76</v>
      </c>
    </row>
    <row r="15" spans="1:61" ht="15" customHeight="1" x14ac:dyDescent="0.3">
      <c r="B15" s="325"/>
      <c r="C15" s="295"/>
      <c r="D15" s="301"/>
      <c r="E15" s="304"/>
      <c r="F15" s="26" t="s">
        <v>149</v>
      </c>
      <c r="G15" s="27">
        <f>(D10*1000)*I15</f>
        <v>0.18000000000000002</v>
      </c>
      <c r="H15" s="27" t="s">
        <v>73</v>
      </c>
      <c r="I15" s="59">
        <v>1.8000000000000001E-4</v>
      </c>
      <c r="J15" s="328"/>
      <c r="K15" s="208"/>
    </row>
    <row r="16" spans="1:61" ht="15" customHeight="1" x14ac:dyDescent="0.3">
      <c r="B16" s="325"/>
      <c r="C16" s="295"/>
      <c r="D16" s="301"/>
      <c r="E16" s="304"/>
      <c r="F16" s="26" t="s">
        <v>155</v>
      </c>
      <c r="G16" s="27">
        <f>(D10*1000)*I16</f>
        <v>0.32</v>
      </c>
      <c r="H16" s="27" t="s">
        <v>73</v>
      </c>
      <c r="I16" s="59">
        <v>3.2000000000000003E-4</v>
      </c>
      <c r="J16" s="329"/>
      <c r="K16" s="208"/>
    </row>
    <row r="17" spans="2:19" ht="15" customHeight="1" x14ac:dyDescent="0.3">
      <c r="B17" s="325"/>
      <c r="C17" s="295"/>
      <c r="D17" s="301"/>
      <c r="E17" s="305"/>
      <c r="F17" s="53" t="s">
        <v>79</v>
      </c>
      <c r="G17" s="27">
        <f>+G10*I17</f>
        <v>0.6</v>
      </c>
      <c r="H17" s="27" t="s">
        <v>28</v>
      </c>
      <c r="I17" s="58">
        <v>0.06</v>
      </c>
      <c r="J17" s="27">
        <v>20</v>
      </c>
      <c r="K17" s="208" t="s">
        <v>76</v>
      </c>
    </row>
    <row r="18" spans="2:19" ht="15" customHeight="1" x14ac:dyDescent="0.3">
      <c r="B18" s="325"/>
      <c r="C18" s="295"/>
      <c r="D18" s="301"/>
      <c r="E18" s="303" t="s">
        <v>80</v>
      </c>
      <c r="F18" s="53" t="s">
        <v>81</v>
      </c>
      <c r="G18" s="27">
        <f>+G10*I18</f>
        <v>46</v>
      </c>
      <c r="H18" s="27" t="s">
        <v>73</v>
      </c>
      <c r="I18" s="27">
        <v>4.5999999999999996</v>
      </c>
      <c r="J18" s="27">
        <v>40</v>
      </c>
      <c r="K18" s="207" t="s">
        <v>76</v>
      </c>
    </row>
    <row r="19" spans="2:19" ht="15" customHeight="1" x14ac:dyDescent="0.3">
      <c r="B19" s="325"/>
      <c r="C19" s="295"/>
      <c r="D19" s="301"/>
      <c r="E19" s="305"/>
      <c r="F19" s="53" t="s">
        <v>82</v>
      </c>
      <c r="G19" s="27">
        <f>+G10*I19</f>
        <v>30</v>
      </c>
      <c r="H19" s="27" t="s">
        <v>71</v>
      </c>
      <c r="I19" s="27">
        <v>3</v>
      </c>
      <c r="J19" s="27">
        <v>10</v>
      </c>
      <c r="K19" s="207" t="s">
        <v>76</v>
      </c>
    </row>
    <row r="20" spans="2:19" ht="15" customHeight="1" x14ac:dyDescent="0.3">
      <c r="B20" s="325"/>
      <c r="C20" s="295"/>
      <c r="D20" s="301"/>
      <c r="E20" s="303" t="s">
        <v>146</v>
      </c>
      <c r="F20" s="53" t="s">
        <v>83</v>
      </c>
      <c r="G20" s="27">
        <f>+G10*I20</f>
        <v>10</v>
      </c>
      <c r="H20" s="27" t="s">
        <v>71</v>
      </c>
      <c r="I20" s="27">
        <v>1</v>
      </c>
      <c r="J20" s="27">
        <v>5</v>
      </c>
      <c r="K20" s="207" t="s">
        <v>85</v>
      </c>
    </row>
    <row r="21" spans="2:19" ht="15" customHeight="1" x14ac:dyDescent="0.3">
      <c r="B21" s="325"/>
      <c r="C21" s="295"/>
      <c r="D21" s="301"/>
      <c r="E21" s="304"/>
      <c r="F21" s="53" t="s">
        <v>84</v>
      </c>
      <c r="G21" s="27">
        <f>+G10*I21</f>
        <v>30</v>
      </c>
      <c r="H21" s="27" t="s">
        <v>73</v>
      </c>
      <c r="I21" s="27">
        <v>3</v>
      </c>
      <c r="J21" s="27">
        <v>15</v>
      </c>
      <c r="K21" s="207" t="s">
        <v>85</v>
      </c>
    </row>
    <row r="22" spans="2:19" ht="15" customHeight="1" x14ac:dyDescent="0.3">
      <c r="B22" s="325"/>
      <c r="C22" s="295"/>
      <c r="D22" s="301"/>
      <c r="E22" s="304"/>
      <c r="F22" s="53" t="s">
        <v>82</v>
      </c>
      <c r="G22" s="27">
        <f>+G10*I22</f>
        <v>30</v>
      </c>
      <c r="H22" s="27" t="s">
        <v>71</v>
      </c>
      <c r="I22" s="27">
        <v>3</v>
      </c>
      <c r="J22" s="27">
        <v>15</v>
      </c>
      <c r="K22" s="207" t="s">
        <v>85</v>
      </c>
    </row>
    <row r="23" spans="2:19" ht="15" customHeight="1" x14ac:dyDescent="0.3">
      <c r="B23" s="325"/>
      <c r="C23" s="295"/>
      <c r="D23" s="301"/>
      <c r="E23" s="305"/>
      <c r="F23" s="53" t="s">
        <v>83</v>
      </c>
      <c r="G23" s="27">
        <f>+G10*I23</f>
        <v>5</v>
      </c>
      <c r="H23" s="27" t="s">
        <v>71</v>
      </c>
      <c r="I23" s="27">
        <v>0.5</v>
      </c>
      <c r="J23" s="27">
        <v>5</v>
      </c>
      <c r="K23" s="207" t="s">
        <v>85</v>
      </c>
    </row>
    <row r="24" spans="2:19" ht="15" customHeight="1" thickBot="1" x14ac:dyDescent="0.35">
      <c r="B24" s="326"/>
      <c r="C24" s="296"/>
      <c r="D24" s="302"/>
      <c r="E24" s="218" t="s">
        <v>142</v>
      </c>
      <c r="F24" s="219" t="s">
        <v>150</v>
      </c>
      <c r="G24" s="162">
        <f>+G10*I24</f>
        <v>5</v>
      </c>
      <c r="H24" s="162" t="s">
        <v>73</v>
      </c>
      <c r="I24" s="162">
        <v>0.5</v>
      </c>
      <c r="J24" s="162">
        <v>15</v>
      </c>
      <c r="K24" s="211"/>
    </row>
    <row r="25" spans="2:19" ht="15" customHeight="1" x14ac:dyDescent="0.3"/>
    <row r="26" spans="2:19" ht="15" customHeight="1" thickBot="1" x14ac:dyDescent="0.35">
      <c r="B26" s="330" t="s">
        <v>205</v>
      </c>
      <c r="C26" s="330"/>
      <c r="D26" s="330"/>
      <c r="E26" s="330"/>
      <c r="F26" s="330"/>
      <c r="G26" s="330"/>
      <c r="H26" s="330"/>
    </row>
    <row r="27" spans="2:19" ht="15" customHeight="1" x14ac:dyDescent="0.3">
      <c r="B27" s="331" t="s">
        <v>205</v>
      </c>
      <c r="C27" s="332"/>
      <c r="D27" s="333"/>
      <c r="E27" s="212" t="s">
        <v>206</v>
      </c>
      <c r="F27" s="203" t="s">
        <v>207</v>
      </c>
      <c r="G27" s="334" t="s">
        <v>229</v>
      </c>
      <c r="H27" s="335"/>
    </row>
    <row r="28" spans="2:19" ht="15" customHeight="1" x14ac:dyDescent="0.3">
      <c r="B28" s="309" t="s">
        <v>210</v>
      </c>
      <c r="C28" s="310"/>
      <c r="D28" s="311"/>
      <c r="E28" s="27">
        <v>1</v>
      </c>
      <c r="F28" s="60" t="s">
        <v>214</v>
      </c>
      <c r="G28" s="320">
        <f>+'MANO OBRA P.'!C35</f>
        <v>28609.121739130438</v>
      </c>
      <c r="H28" s="321"/>
    </row>
    <row r="29" spans="2:19" ht="15" customHeight="1" x14ac:dyDescent="0.3">
      <c r="B29" s="309" t="s">
        <v>211</v>
      </c>
      <c r="C29" s="310" t="s">
        <v>174</v>
      </c>
      <c r="D29" s="311">
        <v>2.5</v>
      </c>
      <c r="E29" s="27">
        <v>1</v>
      </c>
      <c r="F29" s="60" t="s">
        <v>214</v>
      </c>
      <c r="G29" s="320">
        <f>+'MANO OBRA P.'!C60</f>
        <v>16728.110869565218</v>
      </c>
      <c r="H29" s="321"/>
    </row>
    <row r="30" spans="2:19" ht="15" customHeight="1" x14ac:dyDescent="0.3">
      <c r="B30" s="309" t="s">
        <v>222</v>
      </c>
      <c r="C30" s="310" t="s">
        <v>174</v>
      </c>
      <c r="D30" s="311">
        <v>2.5</v>
      </c>
      <c r="E30" s="27">
        <v>1</v>
      </c>
      <c r="F30" s="60" t="s">
        <v>214</v>
      </c>
      <c r="G30" s="320">
        <f>+'MANO OBRA P.'!C85</f>
        <v>13072.415217391304</v>
      </c>
      <c r="H30" s="321"/>
    </row>
    <row r="31" spans="2:19" ht="15" customHeight="1" x14ac:dyDescent="0.3">
      <c r="B31" s="309" t="s">
        <v>212</v>
      </c>
      <c r="C31" s="310" t="s">
        <v>174</v>
      </c>
      <c r="D31" s="311">
        <v>1</v>
      </c>
      <c r="E31" s="27">
        <v>1</v>
      </c>
      <c r="F31" s="60" t="s">
        <v>214</v>
      </c>
      <c r="G31" s="320">
        <f>+'MANO OBRA P.'!C85</f>
        <v>13072.415217391304</v>
      </c>
      <c r="H31" s="321"/>
    </row>
    <row r="32" spans="2:19" ht="15" customHeight="1" x14ac:dyDescent="0.3">
      <c r="B32" s="309" t="s">
        <v>213</v>
      </c>
      <c r="C32" s="310" t="s">
        <v>174</v>
      </c>
      <c r="D32" s="311">
        <v>1.5</v>
      </c>
      <c r="E32" s="27">
        <v>1</v>
      </c>
      <c r="F32" s="60" t="s">
        <v>214</v>
      </c>
      <c r="G32" s="320">
        <f>+'MANO OBRA P.'!C85</f>
        <v>13072.415217391304</v>
      </c>
      <c r="H32" s="321"/>
      <c r="O32" s="11"/>
      <c r="P32" s="11"/>
      <c r="Q32" s="11"/>
      <c r="R32" s="11"/>
      <c r="S32" s="11"/>
    </row>
    <row r="33" spans="2:19" ht="15" customHeight="1" thickBot="1" x14ac:dyDescent="0.35">
      <c r="B33" s="317" t="s">
        <v>221</v>
      </c>
      <c r="C33" s="318" t="s">
        <v>174</v>
      </c>
      <c r="D33" s="319">
        <v>1</v>
      </c>
      <c r="E33" s="162">
        <v>1</v>
      </c>
      <c r="F33" s="213" t="s">
        <v>214</v>
      </c>
      <c r="G33" s="322">
        <f>+'MANO OBRA P.'!C110</f>
        <v>13986.339130434782</v>
      </c>
      <c r="H33" s="323"/>
      <c r="O33" s="11"/>
      <c r="P33" s="11"/>
      <c r="Q33" s="11"/>
      <c r="R33" s="11"/>
      <c r="S33" s="11"/>
    </row>
    <row r="34" spans="2:19" ht="15" customHeight="1" thickBot="1" x14ac:dyDescent="0.35">
      <c r="O34" s="11"/>
      <c r="P34" s="11"/>
      <c r="Q34" s="11"/>
      <c r="R34" s="11"/>
      <c r="S34" s="11"/>
    </row>
    <row r="35" spans="2:19" ht="15" customHeight="1" x14ac:dyDescent="0.3">
      <c r="B35" s="312" t="s">
        <v>217</v>
      </c>
      <c r="C35" s="313"/>
      <c r="D35" s="314"/>
      <c r="O35" s="11"/>
      <c r="P35" s="11"/>
      <c r="Q35" s="11"/>
      <c r="R35" s="11"/>
      <c r="S35" s="11"/>
    </row>
    <row r="36" spans="2:19" ht="15" customHeight="1" x14ac:dyDescent="0.3">
      <c r="B36" s="214" t="s">
        <v>243</v>
      </c>
      <c r="C36" s="44" t="s">
        <v>230</v>
      </c>
      <c r="D36" s="215" t="s">
        <v>231</v>
      </c>
      <c r="O36" s="11"/>
      <c r="P36" s="11"/>
      <c r="Q36" s="11"/>
      <c r="R36" s="11"/>
      <c r="S36" s="11"/>
    </row>
    <row r="37" spans="2:19" ht="15" customHeight="1" x14ac:dyDescent="0.3">
      <c r="B37" s="151" t="s">
        <v>169</v>
      </c>
      <c r="C37" s="27" t="s">
        <v>71</v>
      </c>
      <c r="D37" s="216">
        <f>+CIF!G13</f>
        <v>8.4257996768982224</v>
      </c>
      <c r="O37" s="11"/>
      <c r="P37" s="11"/>
      <c r="Q37" s="11"/>
      <c r="R37" s="11"/>
      <c r="S37" s="11"/>
    </row>
    <row r="38" spans="2:19" ht="15" customHeight="1" x14ac:dyDescent="0.3">
      <c r="B38" s="151" t="s">
        <v>39</v>
      </c>
      <c r="C38" s="27" t="s">
        <v>214</v>
      </c>
      <c r="D38" s="152">
        <f>+CIF!G17</f>
        <v>9015.703846153845</v>
      </c>
      <c r="O38" s="11"/>
      <c r="P38" s="11"/>
      <c r="Q38" s="11"/>
      <c r="R38" s="11"/>
      <c r="S38" s="11"/>
    </row>
    <row r="39" spans="2:19" ht="15" customHeight="1" x14ac:dyDescent="0.3">
      <c r="B39" s="151" t="s">
        <v>40</v>
      </c>
      <c r="C39" s="27" t="s">
        <v>214</v>
      </c>
      <c r="D39" s="152">
        <f>+CIF!G21</f>
        <v>56187.532051282054</v>
      </c>
      <c r="O39" s="11"/>
      <c r="P39" s="11"/>
      <c r="Q39" s="11"/>
      <c r="R39" s="11"/>
      <c r="S39" s="11"/>
    </row>
    <row r="40" spans="2:19" ht="15" customHeight="1" thickBot="1" x14ac:dyDescent="0.35">
      <c r="B40" s="161" t="s">
        <v>175</v>
      </c>
      <c r="C40" s="162" t="s">
        <v>214</v>
      </c>
      <c r="D40" s="160">
        <f>+CIF!F25</f>
        <v>8012.8205128205127</v>
      </c>
      <c r="O40" s="11"/>
      <c r="P40" s="11"/>
      <c r="Q40" s="11"/>
      <c r="R40" s="11"/>
      <c r="S40" s="11"/>
    </row>
    <row r="41" spans="2:19" ht="14.25" customHeight="1" x14ac:dyDescent="0.3">
      <c r="O41" s="11"/>
      <c r="P41" s="11"/>
      <c r="Q41" s="11"/>
      <c r="R41" s="11"/>
      <c r="S41" s="11"/>
    </row>
    <row r="42" spans="2:19" ht="14.25" customHeight="1" x14ac:dyDescent="0.3">
      <c r="O42" s="11"/>
      <c r="P42" s="11"/>
      <c r="Q42" s="11"/>
      <c r="R42" s="11"/>
      <c r="S42" s="11"/>
    </row>
    <row r="43" spans="2:19" ht="14.25" customHeight="1" x14ac:dyDescent="0.3">
      <c r="O43" s="11"/>
      <c r="P43" s="11"/>
      <c r="Q43" s="11"/>
      <c r="R43" s="11"/>
      <c r="S43" s="11"/>
    </row>
    <row r="44" spans="2:19" x14ac:dyDescent="0.3">
      <c r="O44" s="11"/>
      <c r="P44" s="11"/>
      <c r="Q44" s="11"/>
      <c r="R44" s="11"/>
      <c r="S44" s="11"/>
    </row>
    <row r="45" spans="2:19" x14ac:dyDescent="0.3">
      <c r="O45" s="11"/>
      <c r="P45" s="11"/>
      <c r="Q45" s="11"/>
      <c r="R45" s="11"/>
      <c r="S45" s="11"/>
    </row>
    <row r="46" spans="2:19" x14ac:dyDescent="0.3">
      <c r="O46" s="11"/>
      <c r="P46" s="11"/>
      <c r="Q46" s="11"/>
      <c r="R46" s="11"/>
      <c r="S46" s="11"/>
    </row>
    <row r="47" spans="2:19" x14ac:dyDescent="0.3">
      <c r="O47" s="11"/>
      <c r="P47" s="11"/>
      <c r="Q47" s="11"/>
      <c r="R47" s="11"/>
      <c r="S47" s="11"/>
    </row>
    <row r="48" spans="2:19" x14ac:dyDescent="0.3">
      <c r="O48" s="11"/>
      <c r="P48" s="11"/>
      <c r="Q48" s="11"/>
      <c r="R48" s="11"/>
      <c r="S48" s="11"/>
    </row>
    <row r="49" spans="15:19" x14ac:dyDescent="0.3">
      <c r="O49" s="11"/>
      <c r="P49" s="11"/>
      <c r="Q49" s="11"/>
      <c r="R49" s="11"/>
      <c r="S49" s="11"/>
    </row>
    <row r="50" spans="15:19" x14ac:dyDescent="0.3">
      <c r="O50" s="11"/>
      <c r="P50" s="11"/>
      <c r="Q50" s="11"/>
      <c r="R50" s="11"/>
      <c r="S50" s="11"/>
    </row>
    <row r="51" spans="15:19" x14ac:dyDescent="0.3">
      <c r="O51" s="11"/>
      <c r="P51" s="11"/>
      <c r="Q51" s="11"/>
      <c r="R51" s="11"/>
      <c r="S51" s="11"/>
    </row>
    <row r="52" spans="15:19" x14ac:dyDescent="0.3">
      <c r="O52" s="11"/>
      <c r="P52" s="11"/>
      <c r="Q52" s="11"/>
      <c r="R52" s="11"/>
      <c r="S52" s="11"/>
    </row>
    <row r="53" spans="15:19" x14ac:dyDescent="0.3">
      <c r="O53" s="11"/>
      <c r="P53" s="11"/>
      <c r="Q53" s="11"/>
      <c r="R53" s="11"/>
      <c r="S53" s="11"/>
    </row>
    <row r="54" spans="15:19" x14ac:dyDescent="0.3">
      <c r="O54" s="11"/>
      <c r="P54" s="11"/>
      <c r="Q54" s="11"/>
      <c r="R54" s="11"/>
      <c r="S54" s="11"/>
    </row>
    <row r="55" spans="15:19" x14ac:dyDescent="0.3">
      <c r="O55" s="11"/>
      <c r="P55" s="11"/>
      <c r="Q55" s="11"/>
      <c r="R55" s="11"/>
      <c r="S55" s="11"/>
    </row>
    <row r="56" spans="15:19" x14ac:dyDescent="0.3">
      <c r="O56" s="11"/>
      <c r="P56" s="11"/>
      <c r="Q56" s="11"/>
      <c r="R56" s="11"/>
      <c r="S56" s="11"/>
    </row>
    <row r="57" spans="15:19" x14ac:dyDescent="0.3">
      <c r="O57" s="11"/>
      <c r="P57" s="11"/>
      <c r="Q57" s="11"/>
      <c r="R57" s="11"/>
      <c r="S57" s="11"/>
    </row>
  </sheetData>
  <mergeCells count="24">
    <mergeCell ref="B32:D32"/>
    <mergeCell ref="G32:H32"/>
    <mergeCell ref="B33:D33"/>
    <mergeCell ref="G33:H33"/>
    <mergeCell ref="B35:D35"/>
    <mergeCell ref="B29:D29"/>
    <mergeCell ref="G29:H29"/>
    <mergeCell ref="B30:D30"/>
    <mergeCell ref="G30:H30"/>
    <mergeCell ref="B31:D31"/>
    <mergeCell ref="G31:H31"/>
    <mergeCell ref="B26:H26"/>
    <mergeCell ref="B27:D27"/>
    <mergeCell ref="G27:H27"/>
    <mergeCell ref="B28:D28"/>
    <mergeCell ref="G28:H28"/>
    <mergeCell ref="J14:J16"/>
    <mergeCell ref="E18:E19"/>
    <mergeCell ref="E20:E23"/>
    <mergeCell ref="B10:B24"/>
    <mergeCell ref="C10:C24"/>
    <mergeCell ref="D10:D24"/>
    <mergeCell ref="E10:E13"/>
    <mergeCell ref="E14:E17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0CF15-8473-4CE3-B4EC-5760E3453726}">
  <dimension ref="A1:AR39"/>
  <sheetViews>
    <sheetView showGridLines="0" zoomScale="80" zoomScaleNormal="80" workbookViewId="0">
      <selection activeCell="B28" sqref="B28:D33"/>
    </sheetView>
  </sheetViews>
  <sheetFormatPr baseColWidth="10" defaultColWidth="11.42578125" defaultRowHeight="16.5" x14ac:dyDescent="0.3"/>
  <cols>
    <col min="1" max="1" width="11.42578125" style="12"/>
    <col min="2" max="4" width="18.42578125" style="12" customWidth="1"/>
    <col min="5" max="5" width="17" style="12" customWidth="1"/>
    <col min="6" max="6" width="26.28515625" style="12" customWidth="1"/>
    <col min="7" max="10" width="11.42578125" style="12" customWidth="1"/>
    <col min="11" max="11" width="14.28515625" style="19" customWidth="1"/>
    <col min="12" max="12" width="11.42578125" style="12"/>
    <col min="13" max="13" width="13" style="12" customWidth="1"/>
    <col min="14" max="16384" width="11.42578125" style="12"/>
  </cols>
  <sheetData>
    <row r="1" spans="1:44" x14ac:dyDescent="0.3">
      <c r="B1" s="169"/>
      <c r="C1" s="170"/>
      <c r="D1" s="170"/>
      <c r="E1" s="170"/>
      <c r="F1" s="170"/>
      <c r="G1" s="170"/>
      <c r="H1" s="170"/>
      <c r="I1" s="170"/>
      <c r="J1" s="170"/>
      <c r="K1" s="199"/>
    </row>
    <row r="2" spans="1:44" x14ac:dyDescent="0.3">
      <c r="B2" s="172"/>
      <c r="K2" s="200"/>
    </row>
    <row r="3" spans="1:44" x14ac:dyDescent="0.3">
      <c r="B3" s="172"/>
      <c r="K3" s="200"/>
    </row>
    <row r="4" spans="1:44" x14ac:dyDescent="0.3">
      <c r="B4" s="172"/>
      <c r="K4" s="200"/>
    </row>
    <row r="5" spans="1:44" x14ac:dyDescent="0.3">
      <c r="B5" s="172"/>
      <c r="K5" s="200"/>
    </row>
    <row r="6" spans="1:44" x14ac:dyDescent="0.3">
      <c r="B6" s="172"/>
      <c r="K6" s="200"/>
    </row>
    <row r="7" spans="1:44" s="46" customFormat="1" ht="17.25" thickBot="1" x14ac:dyDescent="0.35">
      <c r="A7" s="12"/>
      <c r="B7" s="174"/>
      <c r="K7" s="201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</row>
    <row r="8" spans="1:44" ht="16.5" customHeight="1" thickBot="1" x14ac:dyDescent="0.35">
      <c r="O8" s="11"/>
      <c r="P8" s="11"/>
      <c r="Q8" s="11"/>
      <c r="R8" s="11"/>
      <c r="S8" s="11"/>
    </row>
    <row r="9" spans="1:44" ht="38.25" customHeight="1" x14ac:dyDescent="0.3">
      <c r="B9" s="202" t="s">
        <v>77</v>
      </c>
      <c r="C9" s="203" t="s">
        <v>41</v>
      </c>
      <c r="D9" s="203" t="s">
        <v>42</v>
      </c>
      <c r="E9" s="204" t="s">
        <v>68</v>
      </c>
      <c r="F9" s="204" t="s">
        <v>185</v>
      </c>
      <c r="G9" s="203" t="s">
        <v>186</v>
      </c>
      <c r="H9" s="203" t="s">
        <v>187</v>
      </c>
      <c r="I9" s="205" t="s">
        <v>257</v>
      </c>
      <c r="J9" s="203" t="s">
        <v>188</v>
      </c>
      <c r="K9" s="206" t="s">
        <v>258</v>
      </c>
      <c r="O9" s="11"/>
      <c r="P9" s="11"/>
      <c r="Q9" s="11"/>
      <c r="R9" s="11"/>
      <c r="S9" s="11"/>
    </row>
    <row r="10" spans="1:44" ht="14.25" customHeight="1" x14ac:dyDescent="0.3">
      <c r="B10" s="324" t="s">
        <v>196</v>
      </c>
      <c r="C10" s="294" t="s">
        <v>153</v>
      </c>
      <c r="D10" s="300">
        <v>1</v>
      </c>
      <c r="E10" s="303" t="s">
        <v>144</v>
      </c>
      <c r="F10" s="53" t="s">
        <v>69</v>
      </c>
      <c r="G10" s="27">
        <f>+D10*I10</f>
        <v>10</v>
      </c>
      <c r="H10" s="27" t="s">
        <v>71</v>
      </c>
      <c r="I10" s="27">
        <v>10</v>
      </c>
      <c r="J10" s="27">
        <v>15</v>
      </c>
      <c r="K10" s="207" t="s">
        <v>76</v>
      </c>
      <c r="O10" s="11"/>
      <c r="P10" s="11"/>
      <c r="Q10" s="11"/>
      <c r="R10" s="11"/>
      <c r="S10" s="11"/>
    </row>
    <row r="11" spans="1:44" ht="14.25" customHeight="1" x14ac:dyDescent="0.3">
      <c r="B11" s="325"/>
      <c r="C11" s="295"/>
      <c r="D11" s="301"/>
      <c r="E11" s="304"/>
      <c r="F11" s="53" t="s">
        <v>72</v>
      </c>
      <c r="G11" s="27">
        <f>+G10*I11</f>
        <v>5</v>
      </c>
      <c r="H11" s="27" t="s">
        <v>73</v>
      </c>
      <c r="I11" s="27">
        <v>0.5</v>
      </c>
      <c r="J11" s="27">
        <v>0</v>
      </c>
      <c r="K11" s="207" t="s">
        <v>76</v>
      </c>
      <c r="O11" s="11"/>
      <c r="P11" s="11"/>
      <c r="Q11" s="11"/>
      <c r="R11" s="11"/>
      <c r="S11" s="11"/>
    </row>
    <row r="12" spans="1:44" ht="14.25" customHeight="1" x14ac:dyDescent="0.3">
      <c r="B12" s="325"/>
      <c r="C12" s="295"/>
      <c r="D12" s="301"/>
      <c r="E12" s="304"/>
      <c r="F12" s="53" t="s">
        <v>74</v>
      </c>
      <c r="G12" s="27">
        <f>+G10*I12</f>
        <v>5</v>
      </c>
      <c r="H12" s="27" t="s">
        <v>73</v>
      </c>
      <c r="I12" s="27">
        <v>0.5</v>
      </c>
      <c r="J12" s="27">
        <v>0</v>
      </c>
      <c r="K12" s="207" t="s">
        <v>76</v>
      </c>
      <c r="O12" s="11"/>
      <c r="P12" s="11"/>
      <c r="Q12" s="11"/>
      <c r="R12" s="11"/>
      <c r="S12" s="11"/>
    </row>
    <row r="13" spans="1:44" ht="14.25" customHeight="1" x14ac:dyDescent="0.3">
      <c r="B13" s="325"/>
      <c r="C13" s="295"/>
      <c r="D13" s="301"/>
      <c r="E13" s="305"/>
      <c r="F13" s="53" t="s">
        <v>159</v>
      </c>
      <c r="G13" s="27">
        <f>+G10*I13</f>
        <v>15</v>
      </c>
      <c r="H13" s="27" t="s">
        <v>73</v>
      </c>
      <c r="I13" s="27">
        <v>1.5</v>
      </c>
      <c r="J13" s="27">
        <v>0</v>
      </c>
      <c r="K13" s="207" t="s">
        <v>76</v>
      </c>
      <c r="O13" s="11"/>
      <c r="P13" s="11"/>
      <c r="Q13" s="11"/>
      <c r="R13" s="11"/>
      <c r="S13" s="11"/>
    </row>
    <row r="14" spans="1:44" ht="14.25" customHeight="1" x14ac:dyDescent="0.3">
      <c r="B14" s="325"/>
      <c r="C14" s="295"/>
      <c r="D14" s="301"/>
      <c r="E14" s="303" t="s">
        <v>77</v>
      </c>
      <c r="F14" s="26" t="s">
        <v>160</v>
      </c>
      <c r="G14" s="27">
        <f>(D10*I14)*100</f>
        <v>70</v>
      </c>
      <c r="H14" s="27" t="s">
        <v>73</v>
      </c>
      <c r="I14" s="58">
        <v>0.7</v>
      </c>
      <c r="J14" s="327">
        <v>10</v>
      </c>
      <c r="K14" s="208" t="s">
        <v>76</v>
      </c>
      <c r="O14" s="11"/>
      <c r="P14" s="11"/>
      <c r="Q14" s="11"/>
      <c r="R14" s="11"/>
      <c r="S14" s="11"/>
    </row>
    <row r="15" spans="1:44" ht="14.25" customHeight="1" x14ac:dyDescent="0.3">
      <c r="B15" s="325"/>
      <c r="C15" s="295"/>
      <c r="D15" s="301"/>
      <c r="E15" s="304"/>
      <c r="F15" s="26" t="s">
        <v>161</v>
      </c>
      <c r="G15" s="27">
        <f>(D10*1000)*I15</f>
        <v>2.6</v>
      </c>
      <c r="H15" s="27" t="s">
        <v>73</v>
      </c>
      <c r="I15" s="59">
        <v>2.5999999999999999E-3</v>
      </c>
      <c r="J15" s="328"/>
      <c r="K15" s="208"/>
      <c r="O15" s="11"/>
      <c r="P15" s="11"/>
      <c r="Q15" s="11"/>
      <c r="R15" s="11"/>
      <c r="S15" s="11"/>
    </row>
    <row r="16" spans="1:44" ht="14.25" customHeight="1" x14ac:dyDescent="0.3">
      <c r="B16" s="325"/>
      <c r="C16" s="295"/>
      <c r="D16" s="301"/>
      <c r="E16" s="49" t="s">
        <v>197</v>
      </c>
      <c r="F16" s="53" t="s">
        <v>82</v>
      </c>
      <c r="G16" s="27">
        <f>+G10*I16</f>
        <v>30</v>
      </c>
      <c r="H16" s="27" t="s">
        <v>71</v>
      </c>
      <c r="I16" s="27">
        <v>3</v>
      </c>
      <c r="J16" s="27">
        <v>15</v>
      </c>
      <c r="K16" s="207" t="s">
        <v>85</v>
      </c>
      <c r="O16" s="11"/>
      <c r="P16" s="11"/>
      <c r="Q16" s="11"/>
      <c r="R16" s="11"/>
      <c r="S16" s="11"/>
    </row>
    <row r="17" spans="2:19" ht="14.25" customHeight="1" thickBot="1" x14ac:dyDescent="0.35">
      <c r="B17" s="326"/>
      <c r="C17" s="296"/>
      <c r="D17" s="302"/>
      <c r="E17" s="218" t="s">
        <v>142</v>
      </c>
      <c r="F17" s="219" t="s">
        <v>150</v>
      </c>
      <c r="G17" s="162">
        <f>+G10*I17</f>
        <v>5</v>
      </c>
      <c r="H17" s="162" t="s">
        <v>73</v>
      </c>
      <c r="I17" s="162">
        <v>0.5</v>
      </c>
      <c r="J17" s="162">
        <v>15</v>
      </c>
      <c r="K17" s="211"/>
      <c r="O17" s="11"/>
      <c r="P17" s="11"/>
      <c r="Q17" s="11"/>
      <c r="R17" s="11"/>
      <c r="S17" s="11"/>
    </row>
    <row r="18" spans="2:19" ht="14.25" customHeight="1" thickBot="1" x14ac:dyDescent="0.35">
      <c r="O18" s="11"/>
      <c r="P18" s="11"/>
      <c r="Q18" s="11"/>
      <c r="R18" s="11"/>
      <c r="S18" s="11"/>
    </row>
    <row r="19" spans="2:19" ht="14.25" customHeight="1" x14ac:dyDescent="0.3">
      <c r="B19" s="312" t="s">
        <v>205</v>
      </c>
      <c r="C19" s="313"/>
      <c r="D19" s="313"/>
      <c r="E19" s="313"/>
      <c r="F19" s="313"/>
      <c r="G19" s="313"/>
      <c r="H19" s="314"/>
    </row>
    <row r="20" spans="2:19" ht="14.25" customHeight="1" x14ac:dyDescent="0.3">
      <c r="B20" s="306" t="s">
        <v>205</v>
      </c>
      <c r="C20" s="307"/>
      <c r="D20" s="308"/>
      <c r="E20" s="88" t="s">
        <v>206</v>
      </c>
      <c r="F20" s="43" t="s">
        <v>207</v>
      </c>
      <c r="G20" s="315" t="s">
        <v>229</v>
      </c>
      <c r="H20" s="316"/>
    </row>
    <row r="21" spans="2:19" ht="14.25" customHeight="1" x14ac:dyDescent="0.3">
      <c r="B21" s="309" t="s">
        <v>210</v>
      </c>
      <c r="C21" s="310"/>
      <c r="D21" s="311"/>
      <c r="E21" s="27">
        <v>1</v>
      </c>
      <c r="F21" s="60" t="s">
        <v>214</v>
      </c>
      <c r="G21" s="320">
        <f>+'MANO OBRA P.'!C35</f>
        <v>28609.121739130438</v>
      </c>
      <c r="H21" s="321"/>
    </row>
    <row r="22" spans="2:19" ht="14.25" customHeight="1" x14ac:dyDescent="0.3">
      <c r="B22" s="309" t="s">
        <v>211</v>
      </c>
      <c r="C22" s="310" t="s">
        <v>174</v>
      </c>
      <c r="D22" s="311">
        <v>2.5</v>
      </c>
      <c r="E22" s="27">
        <v>1</v>
      </c>
      <c r="F22" s="60" t="s">
        <v>214</v>
      </c>
      <c r="G22" s="320">
        <f>+'MANO OBRA P.'!C60</f>
        <v>16728.110869565218</v>
      </c>
      <c r="H22" s="321"/>
    </row>
    <row r="23" spans="2:19" ht="14.25" customHeight="1" x14ac:dyDescent="0.3">
      <c r="B23" s="309" t="s">
        <v>222</v>
      </c>
      <c r="C23" s="310" t="s">
        <v>174</v>
      </c>
      <c r="D23" s="311">
        <v>2.5</v>
      </c>
      <c r="E23" s="27">
        <v>1</v>
      </c>
      <c r="F23" s="60" t="s">
        <v>214</v>
      </c>
      <c r="G23" s="320">
        <f>+'MANO OBRA P.'!C85</f>
        <v>13072.415217391304</v>
      </c>
      <c r="H23" s="321"/>
    </row>
    <row r="24" spans="2:19" ht="14.25" customHeight="1" x14ac:dyDescent="0.3">
      <c r="B24" s="309" t="s">
        <v>212</v>
      </c>
      <c r="C24" s="310" t="s">
        <v>174</v>
      </c>
      <c r="D24" s="311">
        <v>1</v>
      </c>
      <c r="E24" s="27">
        <v>1</v>
      </c>
      <c r="F24" s="60" t="s">
        <v>214</v>
      </c>
      <c r="G24" s="320">
        <f>+'MANO OBRA P.'!C85</f>
        <v>13072.415217391304</v>
      </c>
      <c r="H24" s="321"/>
    </row>
    <row r="25" spans="2:19" ht="14.25" customHeight="1" x14ac:dyDescent="0.3">
      <c r="B25" s="309" t="s">
        <v>213</v>
      </c>
      <c r="C25" s="310" t="s">
        <v>174</v>
      </c>
      <c r="D25" s="311">
        <v>1.5</v>
      </c>
      <c r="E25" s="27">
        <v>1</v>
      </c>
      <c r="F25" s="60" t="s">
        <v>214</v>
      </c>
      <c r="G25" s="320">
        <f>+'MANO OBRA P.'!C85</f>
        <v>13072.415217391304</v>
      </c>
      <c r="H25" s="321"/>
    </row>
    <row r="26" spans="2:19" ht="14.25" customHeight="1" thickBot="1" x14ac:dyDescent="0.35">
      <c r="B26" s="336" t="s">
        <v>221</v>
      </c>
      <c r="C26" s="337" t="s">
        <v>174</v>
      </c>
      <c r="D26" s="338">
        <v>1</v>
      </c>
      <c r="E26" s="162">
        <v>1</v>
      </c>
      <c r="F26" s="213" t="s">
        <v>214</v>
      </c>
      <c r="G26" s="322">
        <f>+'MANO OBRA P.'!C110</f>
        <v>13986.339130434782</v>
      </c>
      <c r="H26" s="323"/>
    </row>
    <row r="27" spans="2:19" ht="14.25" customHeight="1" thickBot="1" x14ac:dyDescent="0.35"/>
    <row r="28" spans="2:19" ht="14.25" customHeight="1" x14ac:dyDescent="0.3">
      <c r="B28" s="312" t="s">
        <v>217</v>
      </c>
      <c r="C28" s="313"/>
      <c r="D28" s="314"/>
    </row>
    <row r="29" spans="2:19" ht="14.25" customHeight="1" x14ac:dyDescent="0.3">
      <c r="B29" s="214" t="s">
        <v>243</v>
      </c>
      <c r="C29" s="44" t="s">
        <v>230</v>
      </c>
      <c r="D29" s="215" t="s">
        <v>231</v>
      </c>
    </row>
    <row r="30" spans="2:19" ht="14.25" customHeight="1" x14ac:dyDescent="0.3">
      <c r="B30" s="151" t="s">
        <v>169</v>
      </c>
      <c r="C30" s="27" t="s">
        <v>71</v>
      </c>
      <c r="D30" s="216">
        <f>+CIF!G13</f>
        <v>8.4257996768982224</v>
      </c>
    </row>
    <row r="31" spans="2:19" ht="14.25" customHeight="1" x14ac:dyDescent="0.3">
      <c r="B31" s="151" t="s">
        <v>39</v>
      </c>
      <c r="C31" s="27" t="s">
        <v>214</v>
      </c>
      <c r="D31" s="152">
        <f>+CIF!G17</f>
        <v>9015.703846153845</v>
      </c>
    </row>
    <row r="32" spans="2:19" ht="14.25" customHeight="1" x14ac:dyDescent="0.3">
      <c r="B32" s="151" t="s">
        <v>40</v>
      </c>
      <c r="C32" s="27" t="s">
        <v>214</v>
      </c>
      <c r="D32" s="152">
        <f>+CIF!G21</f>
        <v>56187.532051282054</v>
      </c>
    </row>
    <row r="33" spans="2:4" ht="14.25" customHeight="1" thickBot="1" x14ac:dyDescent="0.35">
      <c r="B33" s="161" t="s">
        <v>175</v>
      </c>
      <c r="C33" s="162" t="s">
        <v>214</v>
      </c>
      <c r="D33" s="160">
        <f>+CIF!F25</f>
        <v>8012.8205128205127</v>
      </c>
    </row>
    <row r="34" spans="2:4" ht="14.25" customHeight="1" x14ac:dyDescent="0.3"/>
    <row r="35" spans="2:4" ht="14.25" customHeight="1" x14ac:dyDescent="0.3"/>
    <row r="36" spans="2:4" ht="14.25" customHeight="1" x14ac:dyDescent="0.3"/>
    <row r="37" spans="2:4" ht="14.25" customHeight="1" x14ac:dyDescent="0.3"/>
    <row r="38" spans="2:4" ht="14.25" customHeight="1" x14ac:dyDescent="0.3"/>
    <row r="39" spans="2:4" ht="14.25" customHeight="1" x14ac:dyDescent="0.3"/>
  </sheetData>
  <mergeCells count="22">
    <mergeCell ref="B25:D25"/>
    <mergeCell ref="G25:H25"/>
    <mergeCell ref="B26:D26"/>
    <mergeCell ref="G26:H26"/>
    <mergeCell ref="B28:D28"/>
    <mergeCell ref="B22:D22"/>
    <mergeCell ref="G22:H22"/>
    <mergeCell ref="B23:D23"/>
    <mergeCell ref="G23:H23"/>
    <mergeCell ref="B24:D24"/>
    <mergeCell ref="G24:H24"/>
    <mergeCell ref="B19:H19"/>
    <mergeCell ref="B20:D20"/>
    <mergeCell ref="G20:H20"/>
    <mergeCell ref="B21:D21"/>
    <mergeCell ref="G21:H21"/>
    <mergeCell ref="J14:J15"/>
    <mergeCell ref="B10:B17"/>
    <mergeCell ref="C10:C17"/>
    <mergeCell ref="D10:D17"/>
    <mergeCell ref="E10:E13"/>
    <mergeCell ref="E14:E15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33151-B49F-4AE0-BFD1-A783ADD334A7}">
  <dimension ref="A1:AU40"/>
  <sheetViews>
    <sheetView showGridLines="0" topLeftCell="A6" zoomScale="80" zoomScaleNormal="80" workbookViewId="0">
      <selection activeCell="B33" sqref="B33:D38"/>
    </sheetView>
  </sheetViews>
  <sheetFormatPr baseColWidth="10" defaultColWidth="11.42578125" defaultRowHeight="16.5" x14ac:dyDescent="0.3"/>
  <cols>
    <col min="1" max="1" width="11.42578125" style="12"/>
    <col min="2" max="4" width="20.28515625" style="12" customWidth="1"/>
    <col min="5" max="5" width="19.42578125" style="12" customWidth="1"/>
    <col min="6" max="6" width="26.28515625" style="12" customWidth="1"/>
    <col min="7" max="10" width="11.42578125" style="12" customWidth="1"/>
    <col min="11" max="11" width="10" style="19" customWidth="1"/>
    <col min="12" max="12" width="11.42578125" style="12" customWidth="1"/>
    <col min="13" max="13" width="13" style="12" customWidth="1"/>
    <col min="14" max="16384" width="11.42578125" style="12"/>
  </cols>
  <sheetData>
    <row r="1" spans="1:47" x14ac:dyDescent="0.3">
      <c r="B1" s="169"/>
      <c r="C1" s="170"/>
      <c r="D1" s="170"/>
      <c r="E1" s="170"/>
      <c r="F1" s="170"/>
      <c r="G1" s="170"/>
      <c r="H1" s="170"/>
      <c r="I1" s="170"/>
      <c r="J1" s="170"/>
      <c r="K1" s="199"/>
    </row>
    <row r="2" spans="1:47" x14ac:dyDescent="0.3">
      <c r="B2" s="172"/>
      <c r="K2" s="200"/>
    </row>
    <row r="3" spans="1:47" x14ac:dyDescent="0.3">
      <c r="B3" s="172"/>
      <c r="K3" s="200"/>
    </row>
    <row r="4" spans="1:47" x14ac:dyDescent="0.3">
      <c r="B4" s="172"/>
      <c r="K4" s="200"/>
    </row>
    <row r="5" spans="1:47" x14ac:dyDescent="0.3">
      <c r="B5" s="172"/>
      <c r="K5" s="200"/>
    </row>
    <row r="6" spans="1:47" x14ac:dyDescent="0.3">
      <c r="B6" s="172"/>
      <c r="K6" s="200"/>
    </row>
    <row r="7" spans="1:47" s="46" customFormat="1" ht="17.25" thickBot="1" x14ac:dyDescent="0.35">
      <c r="A7" s="12"/>
      <c r="B7" s="174"/>
      <c r="K7" s="201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</row>
    <row r="8" spans="1:47" ht="17.25" thickBot="1" x14ac:dyDescent="0.35">
      <c r="O8" s="11"/>
      <c r="P8" s="11"/>
      <c r="Q8" s="11"/>
      <c r="R8" s="11"/>
      <c r="S8" s="11"/>
    </row>
    <row r="9" spans="1:47" ht="58.5" customHeight="1" x14ac:dyDescent="0.3">
      <c r="B9" s="202" t="s">
        <v>77</v>
      </c>
      <c r="C9" s="203" t="s">
        <v>41</v>
      </c>
      <c r="D9" s="203" t="s">
        <v>42</v>
      </c>
      <c r="E9" s="204" t="s">
        <v>68</v>
      </c>
      <c r="F9" s="204" t="s">
        <v>185</v>
      </c>
      <c r="G9" s="203" t="s">
        <v>186</v>
      </c>
      <c r="H9" s="203" t="s">
        <v>187</v>
      </c>
      <c r="I9" s="205" t="s">
        <v>257</v>
      </c>
      <c r="J9" s="203" t="s">
        <v>188</v>
      </c>
      <c r="K9" s="206" t="s">
        <v>256</v>
      </c>
      <c r="O9" s="11"/>
      <c r="P9" s="11"/>
      <c r="Q9" s="11"/>
      <c r="R9" s="11"/>
      <c r="S9" s="11"/>
    </row>
    <row r="10" spans="1:47" ht="15" customHeight="1" x14ac:dyDescent="0.3">
      <c r="B10" s="324" t="s">
        <v>198</v>
      </c>
      <c r="C10" s="294" t="s">
        <v>173</v>
      </c>
      <c r="D10" s="300">
        <v>20</v>
      </c>
      <c r="E10" s="303" t="s">
        <v>144</v>
      </c>
      <c r="F10" s="53" t="s">
        <v>69</v>
      </c>
      <c r="G10" s="27">
        <f>+D10*I10</f>
        <v>200</v>
      </c>
      <c r="H10" s="27" t="s">
        <v>71</v>
      </c>
      <c r="I10" s="27">
        <v>10</v>
      </c>
      <c r="J10" s="27">
        <v>15</v>
      </c>
      <c r="K10" s="207" t="s">
        <v>76</v>
      </c>
      <c r="O10" s="11"/>
      <c r="P10" s="11"/>
      <c r="Q10" s="11"/>
      <c r="R10" s="11"/>
      <c r="S10" s="11"/>
    </row>
    <row r="11" spans="1:47" ht="15" customHeight="1" x14ac:dyDescent="0.3">
      <c r="B11" s="325"/>
      <c r="C11" s="295"/>
      <c r="D11" s="301"/>
      <c r="E11" s="304"/>
      <c r="F11" s="53" t="s">
        <v>72</v>
      </c>
      <c r="G11" s="27">
        <f>+G10*I11</f>
        <v>100</v>
      </c>
      <c r="H11" s="27" t="s">
        <v>73</v>
      </c>
      <c r="I11" s="27">
        <v>0.5</v>
      </c>
      <c r="J11" s="27">
        <v>0</v>
      </c>
      <c r="K11" s="207" t="s">
        <v>76</v>
      </c>
      <c r="O11" s="11"/>
      <c r="P11" s="11"/>
      <c r="Q11" s="11"/>
      <c r="R11" s="11"/>
      <c r="S11" s="11"/>
    </row>
    <row r="12" spans="1:47" ht="15" customHeight="1" x14ac:dyDescent="0.3">
      <c r="B12" s="325"/>
      <c r="C12" s="295"/>
      <c r="D12" s="301"/>
      <c r="E12" s="304"/>
      <c r="F12" s="53" t="s">
        <v>74</v>
      </c>
      <c r="G12" s="27">
        <f>+G10*I12</f>
        <v>100</v>
      </c>
      <c r="H12" s="27" t="s">
        <v>73</v>
      </c>
      <c r="I12" s="27">
        <v>0.5</v>
      </c>
      <c r="J12" s="27">
        <v>0</v>
      </c>
      <c r="K12" s="207" t="s">
        <v>76</v>
      </c>
      <c r="O12" s="11"/>
      <c r="P12" s="11"/>
      <c r="Q12" s="11"/>
      <c r="R12" s="11"/>
      <c r="S12" s="11"/>
    </row>
    <row r="13" spans="1:47" ht="15" customHeight="1" x14ac:dyDescent="0.3">
      <c r="B13" s="325"/>
      <c r="C13" s="295"/>
      <c r="D13" s="301"/>
      <c r="E13" s="305"/>
      <c r="F13" s="53" t="s">
        <v>75</v>
      </c>
      <c r="G13" s="27">
        <f>+G10*I13</f>
        <v>200</v>
      </c>
      <c r="H13" s="27" t="s">
        <v>73</v>
      </c>
      <c r="I13" s="27">
        <v>1</v>
      </c>
      <c r="J13" s="27">
        <v>0</v>
      </c>
      <c r="K13" s="207" t="s">
        <v>76</v>
      </c>
      <c r="O13" s="11"/>
      <c r="P13" s="11"/>
      <c r="Q13" s="11"/>
      <c r="R13" s="11"/>
      <c r="S13" s="11"/>
    </row>
    <row r="14" spans="1:47" ht="15" customHeight="1" x14ac:dyDescent="0.3">
      <c r="B14" s="325"/>
      <c r="C14" s="295"/>
      <c r="D14" s="301"/>
      <c r="E14" s="303" t="s">
        <v>77</v>
      </c>
      <c r="F14" s="26" t="s">
        <v>199</v>
      </c>
      <c r="G14" s="27">
        <f>(D10*1000)*I14</f>
        <v>800</v>
      </c>
      <c r="H14" s="27" t="s">
        <v>73</v>
      </c>
      <c r="I14" s="59">
        <v>0.04</v>
      </c>
      <c r="J14" s="48">
        <v>10</v>
      </c>
      <c r="K14" s="208" t="s">
        <v>76</v>
      </c>
    </row>
    <row r="15" spans="1:47" ht="15" customHeight="1" x14ac:dyDescent="0.3">
      <c r="B15" s="325"/>
      <c r="C15" s="295"/>
      <c r="D15" s="301"/>
      <c r="E15" s="305"/>
      <c r="F15" s="53" t="s">
        <v>79</v>
      </c>
      <c r="G15" s="27">
        <f>+G10*I15</f>
        <v>18</v>
      </c>
      <c r="H15" s="27" t="s">
        <v>28</v>
      </c>
      <c r="I15" s="58">
        <v>0.09</v>
      </c>
      <c r="J15" s="27">
        <v>20</v>
      </c>
      <c r="K15" s="208" t="s">
        <v>76</v>
      </c>
    </row>
    <row r="16" spans="1:47" ht="15" customHeight="1" x14ac:dyDescent="0.3">
      <c r="B16" s="325"/>
      <c r="C16" s="295"/>
      <c r="D16" s="301"/>
      <c r="E16" s="303" t="s">
        <v>80</v>
      </c>
      <c r="F16" s="53" t="s">
        <v>81</v>
      </c>
      <c r="G16" s="27">
        <f>+G10*I16</f>
        <v>1000</v>
      </c>
      <c r="H16" s="27" t="s">
        <v>73</v>
      </c>
      <c r="I16" s="27">
        <v>5</v>
      </c>
      <c r="J16" s="27">
        <v>40</v>
      </c>
      <c r="K16" s="207" t="s">
        <v>76</v>
      </c>
    </row>
    <row r="17" spans="2:11" ht="15" customHeight="1" x14ac:dyDescent="0.3">
      <c r="B17" s="325"/>
      <c r="C17" s="295"/>
      <c r="D17" s="301"/>
      <c r="E17" s="305"/>
      <c r="F17" s="53" t="s">
        <v>82</v>
      </c>
      <c r="G17" s="27">
        <f>+G10*I17</f>
        <v>600</v>
      </c>
      <c r="H17" s="27" t="s">
        <v>71</v>
      </c>
      <c r="I17" s="27">
        <v>3</v>
      </c>
      <c r="J17" s="27">
        <v>10</v>
      </c>
      <c r="K17" s="207" t="s">
        <v>76</v>
      </c>
    </row>
    <row r="18" spans="2:11" ht="15" customHeight="1" x14ac:dyDescent="0.3">
      <c r="B18" s="325"/>
      <c r="C18" s="295"/>
      <c r="D18" s="301"/>
      <c r="E18" s="303" t="s">
        <v>146</v>
      </c>
      <c r="F18" s="53" t="s">
        <v>83</v>
      </c>
      <c r="G18" s="27">
        <f>+G10*I18</f>
        <v>200</v>
      </c>
      <c r="H18" s="27" t="s">
        <v>71</v>
      </c>
      <c r="I18" s="27">
        <v>1</v>
      </c>
      <c r="J18" s="27">
        <v>5</v>
      </c>
      <c r="K18" s="207" t="s">
        <v>85</v>
      </c>
    </row>
    <row r="19" spans="2:11" ht="15" customHeight="1" x14ac:dyDescent="0.3">
      <c r="B19" s="325"/>
      <c r="C19" s="295"/>
      <c r="D19" s="301"/>
      <c r="E19" s="304"/>
      <c r="F19" s="53" t="s">
        <v>84</v>
      </c>
      <c r="G19" s="27">
        <f>+G10*I19</f>
        <v>600</v>
      </c>
      <c r="H19" s="27" t="s">
        <v>73</v>
      </c>
      <c r="I19" s="27">
        <v>3</v>
      </c>
      <c r="J19" s="27">
        <v>15</v>
      </c>
      <c r="K19" s="207" t="s">
        <v>85</v>
      </c>
    </row>
    <row r="20" spans="2:11" ht="15" customHeight="1" x14ac:dyDescent="0.3">
      <c r="B20" s="325"/>
      <c r="C20" s="295"/>
      <c r="D20" s="301"/>
      <c r="E20" s="304"/>
      <c r="F20" s="53" t="s">
        <v>82</v>
      </c>
      <c r="G20" s="27">
        <f>+G10*I20</f>
        <v>600</v>
      </c>
      <c r="H20" s="27" t="s">
        <v>71</v>
      </c>
      <c r="I20" s="27">
        <v>3</v>
      </c>
      <c r="J20" s="27">
        <v>15</v>
      </c>
      <c r="K20" s="207" t="s">
        <v>85</v>
      </c>
    </row>
    <row r="21" spans="2:11" ht="15" customHeight="1" x14ac:dyDescent="0.3">
      <c r="B21" s="325"/>
      <c r="C21" s="295"/>
      <c r="D21" s="301"/>
      <c r="E21" s="305"/>
      <c r="F21" s="53" t="s">
        <v>83</v>
      </c>
      <c r="G21" s="27">
        <f>+G10*I21</f>
        <v>100</v>
      </c>
      <c r="H21" s="27" t="s">
        <v>71</v>
      </c>
      <c r="I21" s="27">
        <v>0.5</v>
      </c>
      <c r="J21" s="27">
        <v>5</v>
      </c>
      <c r="K21" s="207" t="s">
        <v>85</v>
      </c>
    </row>
    <row r="22" spans="2:11" ht="15" customHeight="1" thickBot="1" x14ac:dyDescent="0.35">
      <c r="B22" s="326"/>
      <c r="C22" s="296"/>
      <c r="D22" s="302"/>
      <c r="E22" s="218" t="s">
        <v>142</v>
      </c>
      <c r="F22" s="210" t="s">
        <v>151</v>
      </c>
      <c r="G22" s="162">
        <f>+G10*I22</f>
        <v>100</v>
      </c>
      <c r="H22" s="162" t="s">
        <v>73</v>
      </c>
      <c r="I22" s="162">
        <v>0.5</v>
      </c>
      <c r="J22" s="162">
        <v>15</v>
      </c>
      <c r="K22" s="211"/>
    </row>
    <row r="23" spans="2:11" ht="15" customHeight="1" thickBot="1" x14ac:dyDescent="0.35"/>
    <row r="24" spans="2:11" ht="15" customHeight="1" x14ac:dyDescent="0.3">
      <c r="B24" s="312" t="s">
        <v>205</v>
      </c>
      <c r="C24" s="313"/>
      <c r="D24" s="313"/>
      <c r="E24" s="313"/>
      <c r="F24" s="313"/>
      <c r="G24" s="313"/>
      <c r="H24" s="314"/>
    </row>
    <row r="25" spans="2:11" ht="15" customHeight="1" x14ac:dyDescent="0.3">
      <c r="B25" s="306" t="s">
        <v>205</v>
      </c>
      <c r="C25" s="307"/>
      <c r="D25" s="308"/>
      <c r="E25" s="88" t="s">
        <v>206</v>
      </c>
      <c r="F25" s="43" t="s">
        <v>207</v>
      </c>
      <c r="G25" s="315" t="s">
        <v>229</v>
      </c>
      <c r="H25" s="316"/>
    </row>
    <row r="26" spans="2:11" ht="15" customHeight="1" x14ac:dyDescent="0.3">
      <c r="B26" s="309" t="s">
        <v>210</v>
      </c>
      <c r="C26" s="310"/>
      <c r="D26" s="311"/>
      <c r="E26" s="27">
        <v>1</v>
      </c>
      <c r="F26" s="60" t="s">
        <v>214</v>
      </c>
      <c r="G26" s="320">
        <f>+'MANO OBRA P.'!C35</f>
        <v>28609.121739130438</v>
      </c>
      <c r="H26" s="321"/>
    </row>
    <row r="27" spans="2:11" ht="15" customHeight="1" x14ac:dyDescent="0.3">
      <c r="B27" s="309" t="s">
        <v>211</v>
      </c>
      <c r="C27" s="310" t="s">
        <v>174</v>
      </c>
      <c r="D27" s="311">
        <v>2.5</v>
      </c>
      <c r="E27" s="27">
        <v>1</v>
      </c>
      <c r="F27" s="60" t="s">
        <v>214</v>
      </c>
      <c r="G27" s="320">
        <f>+'MANO OBRA P.'!C60</f>
        <v>16728.110869565218</v>
      </c>
      <c r="H27" s="321"/>
    </row>
    <row r="28" spans="2:11" ht="15" customHeight="1" x14ac:dyDescent="0.3">
      <c r="B28" s="309" t="s">
        <v>222</v>
      </c>
      <c r="C28" s="310" t="s">
        <v>174</v>
      </c>
      <c r="D28" s="311">
        <v>2.5</v>
      </c>
      <c r="E28" s="27">
        <v>1</v>
      </c>
      <c r="F28" s="60" t="s">
        <v>214</v>
      </c>
      <c r="G28" s="320">
        <f>+'MANO OBRA P.'!C85</f>
        <v>13072.415217391304</v>
      </c>
      <c r="H28" s="321"/>
    </row>
    <row r="29" spans="2:11" ht="15" customHeight="1" x14ac:dyDescent="0.3">
      <c r="B29" s="309" t="s">
        <v>212</v>
      </c>
      <c r="C29" s="310" t="s">
        <v>174</v>
      </c>
      <c r="D29" s="311">
        <v>1</v>
      </c>
      <c r="E29" s="27">
        <v>1</v>
      </c>
      <c r="F29" s="60" t="s">
        <v>214</v>
      </c>
      <c r="G29" s="320">
        <f>+'MANO OBRA P.'!C85</f>
        <v>13072.415217391304</v>
      </c>
      <c r="H29" s="321"/>
    </row>
    <row r="30" spans="2:11" ht="15" customHeight="1" x14ac:dyDescent="0.3">
      <c r="B30" s="309" t="s">
        <v>213</v>
      </c>
      <c r="C30" s="310" t="s">
        <v>174</v>
      </c>
      <c r="D30" s="311">
        <v>1.5</v>
      </c>
      <c r="E30" s="27">
        <v>1</v>
      </c>
      <c r="F30" s="60" t="s">
        <v>214</v>
      </c>
      <c r="G30" s="320">
        <f>+'MANO OBRA P.'!C85</f>
        <v>13072.415217391304</v>
      </c>
      <c r="H30" s="321"/>
    </row>
    <row r="31" spans="2:11" ht="15" customHeight="1" thickBot="1" x14ac:dyDescent="0.35">
      <c r="B31" s="317" t="s">
        <v>221</v>
      </c>
      <c r="C31" s="318" t="s">
        <v>174</v>
      </c>
      <c r="D31" s="319">
        <v>1</v>
      </c>
      <c r="E31" s="162">
        <v>1</v>
      </c>
      <c r="F31" s="213" t="s">
        <v>214</v>
      </c>
      <c r="G31" s="322">
        <f>+'MANO OBRA P.'!C110</f>
        <v>13986.339130434782</v>
      </c>
      <c r="H31" s="323"/>
    </row>
    <row r="32" spans="2:11" ht="15" customHeight="1" thickBot="1" x14ac:dyDescent="0.35"/>
    <row r="33" spans="2:4" ht="15" customHeight="1" x14ac:dyDescent="0.3">
      <c r="B33" s="312" t="s">
        <v>217</v>
      </c>
      <c r="C33" s="313"/>
      <c r="D33" s="314"/>
    </row>
    <row r="34" spans="2:4" ht="15" customHeight="1" x14ac:dyDescent="0.3">
      <c r="B34" s="214" t="s">
        <v>243</v>
      </c>
      <c r="C34" s="44" t="s">
        <v>230</v>
      </c>
      <c r="D34" s="215" t="s">
        <v>231</v>
      </c>
    </row>
    <row r="35" spans="2:4" ht="15" customHeight="1" x14ac:dyDescent="0.3">
      <c r="B35" s="151" t="s">
        <v>169</v>
      </c>
      <c r="C35" s="27" t="s">
        <v>71</v>
      </c>
      <c r="D35" s="216">
        <f>+CIF!G13</f>
        <v>8.4257996768982224</v>
      </c>
    </row>
    <row r="36" spans="2:4" ht="15" customHeight="1" x14ac:dyDescent="0.3">
      <c r="B36" s="151" t="s">
        <v>39</v>
      </c>
      <c r="C36" s="27" t="s">
        <v>214</v>
      </c>
      <c r="D36" s="152">
        <f>+CIF!G17</f>
        <v>9015.703846153845</v>
      </c>
    </row>
    <row r="37" spans="2:4" ht="15" customHeight="1" x14ac:dyDescent="0.3">
      <c r="B37" s="151" t="s">
        <v>40</v>
      </c>
      <c r="C37" s="27" t="s">
        <v>214</v>
      </c>
      <c r="D37" s="152">
        <f>+CIF!G21</f>
        <v>56187.532051282054</v>
      </c>
    </row>
    <row r="38" spans="2:4" ht="15" customHeight="1" thickBot="1" x14ac:dyDescent="0.35">
      <c r="B38" s="161" t="s">
        <v>175</v>
      </c>
      <c r="C38" s="162" t="s">
        <v>214</v>
      </c>
      <c r="D38" s="160">
        <f>+CIF!F25</f>
        <v>8012.8205128205127</v>
      </c>
    </row>
    <row r="39" spans="2:4" ht="15" customHeight="1" x14ac:dyDescent="0.3"/>
    <row r="40" spans="2:4" ht="15" customHeight="1" x14ac:dyDescent="0.3"/>
  </sheetData>
  <mergeCells count="23">
    <mergeCell ref="B30:D30"/>
    <mergeCell ref="G30:H30"/>
    <mergeCell ref="B31:D31"/>
    <mergeCell ref="G31:H31"/>
    <mergeCell ref="B33:D33"/>
    <mergeCell ref="B27:D27"/>
    <mergeCell ref="G27:H27"/>
    <mergeCell ref="B28:D28"/>
    <mergeCell ref="G28:H28"/>
    <mergeCell ref="B29:D29"/>
    <mergeCell ref="G29:H29"/>
    <mergeCell ref="B24:H24"/>
    <mergeCell ref="B25:D25"/>
    <mergeCell ref="G25:H25"/>
    <mergeCell ref="B26:D26"/>
    <mergeCell ref="G26:H26"/>
    <mergeCell ref="E16:E17"/>
    <mergeCell ref="E18:E21"/>
    <mergeCell ref="B10:B22"/>
    <mergeCell ref="C10:C22"/>
    <mergeCell ref="D10:D22"/>
    <mergeCell ref="E10:E13"/>
    <mergeCell ref="E14:E15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6188E-DDCD-431B-9B8E-58E4123B7E98}">
  <dimension ref="A1:AW257"/>
  <sheetViews>
    <sheetView showGridLines="0" view="pageBreakPreview" topLeftCell="A31" zoomScale="80" zoomScaleNormal="80" zoomScaleSheetLayoutView="80" workbookViewId="0">
      <selection activeCell="B58" sqref="B58:D64"/>
    </sheetView>
  </sheetViews>
  <sheetFormatPr baseColWidth="10" defaultColWidth="11.42578125" defaultRowHeight="16.5" x14ac:dyDescent="0.3"/>
  <cols>
    <col min="1" max="1" width="11.42578125" style="12"/>
    <col min="2" max="3" width="25.42578125" style="12" customWidth="1"/>
    <col min="4" max="4" width="14.140625" style="12" customWidth="1"/>
    <col min="5" max="5" width="23.85546875" style="12" customWidth="1"/>
    <col min="6" max="6" width="13.42578125" style="12" customWidth="1"/>
    <col min="7" max="7" width="14.5703125" style="12" customWidth="1"/>
    <col min="8" max="8" width="12.28515625" style="12" customWidth="1"/>
    <col min="9" max="9" width="11.140625" style="12" customWidth="1"/>
    <col min="10" max="10" width="14.28515625" style="19" customWidth="1"/>
    <col min="11" max="16384" width="11.42578125" style="12"/>
  </cols>
  <sheetData>
    <row r="1" spans="1:49" x14ac:dyDescent="0.3">
      <c r="B1" s="169"/>
      <c r="C1" s="170"/>
      <c r="D1" s="170"/>
      <c r="E1" s="170"/>
      <c r="F1" s="170"/>
      <c r="G1" s="170"/>
      <c r="H1" s="170"/>
      <c r="I1" s="170"/>
      <c r="J1" s="199"/>
    </row>
    <row r="2" spans="1:49" x14ac:dyDescent="0.3">
      <c r="B2" s="172"/>
      <c r="J2" s="200"/>
    </row>
    <row r="3" spans="1:49" x14ac:dyDescent="0.3">
      <c r="B3" s="172"/>
      <c r="J3" s="200"/>
    </row>
    <row r="4" spans="1:49" x14ac:dyDescent="0.3">
      <c r="B4" s="172"/>
      <c r="J4" s="200"/>
    </row>
    <row r="5" spans="1:49" x14ac:dyDescent="0.3">
      <c r="B5" s="172"/>
      <c r="J5" s="200"/>
    </row>
    <row r="6" spans="1:49" x14ac:dyDescent="0.3">
      <c r="B6" s="172"/>
      <c r="J6" s="200"/>
    </row>
    <row r="7" spans="1:49" s="46" customFormat="1" ht="17.25" thickBot="1" x14ac:dyDescent="0.35">
      <c r="A7" s="12"/>
      <c r="B7" s="174"/>
      <c r="J7" s="201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</row>
    <row r="8" spans="1:49" ht="36" customHeight="1" x14ac:dyDescent="0.3">
      <c r="B8" s="339" t="s">
        <v>200</v>
      </c>
      <c r="C8" s="340"/>
      <c r="D8" s="340"/>
      <c r="E8" s="340"/>
      <c r="F8" s="340"/>
      <c r="G8" s="340"/>
      <c r="H8" s="340"/>
      <c r="I8" s="340"/>
      <c r="J8" s="341"/>
    </row>
    <row r="9" spans="1:49" ht="27" customHeight="1" x14ac:dyDescent="0.3">
      <c r="B9" s="339" t="s">
        <v>201</v>
      </c>
      <c r="C9" s="340"/>
      <c r="D9" s="340"/>
      <c r="E9" s="340"/>
      <c r="F9" s="340"/>
      <c r="G9" s="340"/>
      <c r="H9" s="340"/>
      <c r="I9" s="340"/>
      <c r="J9" s="341"/>
    </row>
    <row r="10" spans="1:49" ht="66.75" customHeight="1" x14ac:dyDescent="0.3">
      <c r="B10" s="214" t="s">
        <v>41</v>
      </c>
      <c r="C10" s="43" t="s">
        <v>42</v>
      </c>
      <c r="D10" s="42" t="s">
        <v>68</v>
      </c>
      <c r="E10" s="42" t="s">
        <v>185</v>
      </c>
      <c r="F10" s="43" t="s">
        <v>186</v>
      </c>
      <c r="G10" s="43" t="s">
        <v>187</v>
      </c>
      <c r="H10" s="52" t="s">
        <v>191</v>
      </c>
      <c r="I10" s="43" t="s">
        <v>188</v>
      </c>
      <c r="J10" s="220" t="s">
        <v>202</v>
      </c>
    </row>
    <row r="11" spans="1:49" ht="15.75" customHeight="1" x14ac:dyDescent="0.3">
      <c r="B11" s="345" t="s">
        <v>143</v>
      </c>
      <c r="C11" s="300">
        <v>20</v>
      </c>
      <c r="D11" s="303" t="s">
        <v>144</v>
      </c>
      <c r="E11" s="53" t="s">
        <v>69</v>
      </c>
      <c r="F11" s="27">
        <f>+C11*H11</f>
        <v>200</v>
      </c>
      <c r="G11" s="27" t="s">
        <v>71</v>
      </c>
      <c r="H11" s="27">
        <v>10</v>
      </c>
      <c r="I11" s="327">
        <v>15</v>
      </c>
      <c r="J11" s="221">
        <f>+F11*CIF!G13</f>
        <v>1685.1599353796446</v>
      </c>
    </row>
    <row r="12" spans="1:49" ht="15.75" customHeight="1" x14ac:dyDescent="0.3">
      <c r="B12" s="346"/>
      <c r="C12" s="301"/>
      <c r="D12" s="304"/>
      <c r="E12" s="53" t="s">
        <v>72</v>
      </c>
      <c r="F12" s="27">
        <f>+F11*H12</f>
        <v>100</v>
      </c>
      <c r="G12" s="27" t="s">
        <v>73</v>
      </c>
      <c r="H12" s="27">
        <v>0.5</v>
      </c>
      <c r="I12" s="328"/>
      <c r="J12" s="221">
        <f>+F12*'MATERIA PRIMA'!H22</f>
        <v>1057.9100000000001</v>
      </c>
    </row>
    <row r="13" spans="1:49" ht="15.75" customHeight="1" x14ac:dyDescent="0.3">
      <c r="B13" s="346"/>
      <c r="C13" s="301"/>
      <c r="D13" s="304"/>
      <c r="E13" s="53" t="s">
        <v>74</v>
      </c>
      <c r="F13" s="27">
        <f>+F11*H13</f>
        <v>100</v>
      </c>
      <c r="G13" s="27" t="s">
        <v>73</v>
      </c>
      <c r="H13" s="27">
        <v>0.5</v>
      </c>
      <c r="I13" s="328"/>
      <c r="J13" s="221">
        <f>+F13*'MATERIA PRIMA'!H21</f>
        <v>672.34999999999991</v>
      </c>
    </row>
    <row r="14" spans="1:49" ht="15.75" customHeight="1" x14ac:dyDescent="0.3">
      <c r="B14" s="346"/>
      <c r="C14" s="301"/>
      <c r="D14" s="305"/>
      <c r="E14" s="53" t="s">
        <v>75</v>
      </c>
      <c r="F14" s="27">
        <f>+F11*H14</f>
        <v>200</v>
      </c>
      <c r="G14" s="27" t="s">
        <v>73</v>
      </c>
      <c r="H14" s="27">
        <v>1</v>
      </c>
      <c r="I14" s="329"/>
      <c r="J14" s="221">
        <f>+F14*'MATERIA PRIMA'!H20</f>
        <v>1166.2</v>
      </c>
    </row>
    <row r="15" spans="1:49" ht="15.75" customHeight="1" x14ac:dyDescent="0.3">
      <c r="B15" s="346"/>
      <c r="C15" s="301"/>
      <c r="D15" s="303" t="s">
        <v>77</v>
      </c>
      <c r="E15" s="53" t="s">
        <v>203</v>
      </c>
      <c r="F15" s="27">
        <f>+(C11*1000)*H15</f>
        <v>700.00000000000011</v>
      </c>
      <c r="G15" s="27" t="s">
        <v>73</v>
      </c>
      <c r="H15" s="59">
        <v>3.5000000000000003E-2</v>
      </c>
      <c r="I15" s="27">
        <v>10</v>
      </c>
      <c r="J15" s="222">
        <f>+F15*'MATERIA PRIMA'!H37</f>
        <v>31154.200000000004</v>
      </c>
    </row>
    <row r="16" spans="1:49" ht="15.75" customHeight="1" x14ac:dyDescent="0.3">
      <c r="B16" s="346"/>
      <c r="C16" s="301"/>
      <c r="D16" s="305"/>
      <c r="E16" s="53" t="s">
        <v>79</v>
      </c>
      <c r="F16" s="27">
        <f>+F11*H16</f>
        <v>18</v>
      </c>
      <c r="G16" s="27" t="s">
        <v>28</v>
      </c>
      <c r="H16" s="58">
        <v>0.09</v>
      </c>
      <c r="I16" s="27">
        <v>20</v>
      </c>
      <c r="J16" s="223">
        <f>+F16*'MATERIA PRIMA'!H54</f>
        <v>8459.9960759999994</v>
      </c>
    </row>
    <row r="17" spans="2:10" ht="15.75" customHeight="1" x14ac:dyDescent="0.3">
      <c r="B17" s="346"/>
      <c r="C17" s="301"/>
      <c r="D17" s="303" t="s">
        <v>80</v>
      </c>
      <c r="E17" s="53" t="s">
        <v>204</v>
      </c>
      <c r="F17" s="27">
        <f>+F11*H17</f>
        <v>1000</v>
      </c>
      <c r="G17" s="27" t="s">
        <v>73</v>
      </c>
      <c r="H17" s="27">
        <v>5</v>
      </c>
      <c r="I17" s="27">
        <v>40</v>
      </c>
      <c r="J17" s="221">
        <f>+F17*'MATERIA PRIMA'!H16</f>
        <v>5295.5</v>
      </c>
    </row>
    <row r="18" spans="2:10" ht="15.75" customHeight="1" x14ac:dyDescent="0.3">
      <c r="B18" s="346"/>
      <c r="C18" s="301"/>
      <c r="D18" s="305"/>
      <c r="E18" s="53" t="s">
        <v>82</v>
      </c>
      <c r="F18" s="27">
        <f>+F11*H18</f>
        <v>600</v>
      </c>
      <c r="G18" s="27" t="s">
        <v>71</v>
      </c>
      <c r="H18" s="27">
        <v>3</v>
      </c>
      <c r="I18" s="27">
        <v>10</v>
      </c>
      <c r="J18" s="221">
        <f>+F18*CIF!G13</f>
        <v>5055.4798061389338</v>
      </c>
    </row>
    <row r="19" spans="2:10" ht="15.75" customHeight="1" x14ac:dyDescent="0.3">
      <c r="B19" s="346"/>
      <c r="C19" s="301"/>
      <c r="D19" s="303" t="s">
        <v>146</v>
      </c>
      <c r="E19" s="53" t="s">
        <v>83</v>
      </c>
      <c r="F19" s="27">
        <f>+F11*H19</f>
        <v>200</v>
      </c>
      <c r="G19" s="27" t="s">
        <v>71</v>
      </c>
      <c r="H19" s="27">
        <v>1</v>
      </c>
      <c r="I19" s="27">
        <v>5</v>
      </c>
      <c r="J19" s="221">
        <f>+F19*CIF!G13</f>
        <v>1685.1599353796446</v>
      </c>
    </row>
    <row r="20" spans="2:10" ht="15.75" customHeight="1" x14ac:dyDescent="0.3">
      <c r="B20" s="346"/>
      <c r="C20" s="301"/>
      <c r="D20" s="304"/>
      <c r="E20" s="53" t="s">
        <v>84</v>
      </c>
      <c r="F20" s="27">
        <f>+F11*H20</f>
        <v>600</v>
      </c>
      <c r="G20" s="27" t="s">
        <v>73</v>
      </c>
      <c r="H20" s="27">
        <v>3</v>
      </c>
      <c r="I20" s="27">
        <v>15</v>
      </c>
      <c r="J20" s="221">
        <f>+F20*'MATERIA PRIMA'!H17</f>
        <v>14280</v>
      </c>
    </row>
    <row r="21" spans="2:10" ht="15.75" customHeight="1" x14ac:dyDescent="0.3">
      <c r="B21" s="346"/>
      <c r="C21" s="301"/>
      <c r="D21" s="304"/>
      <c r="E21" s="53" t="s">
        <v>82</v>
      </c>
      <c r="F21" s="27">
        <f>+F11*H21</f>
        <v>600</v>
      </c>
      <c r="G21" s="27" t="s">
        <v>71</v>
      </c>
      <c r="H21" s="27">
        <v>3</v>
      </c>
      <c r="I21" s="27">
        <v>15</v>
      </c>
      <c r="J21" s="221">
        <f>+F21*CIF!G13</f>
        <v>5055.4798061389338</v>
      </c>
    </row>
    <row r="22" spans="2:10" ht="15.75" customHeight="1" x14ac:dyDescent="0.3">
      <c r="B22" s="346"/>
      <c r="C22" s="301"/>
      <c r="D22" s="305"/>
      <c r="E22" s="53" t="s">
        <v>83</v>
      </c>
      <c r="F22" s="27">
        <f>+F11*H22</f>
        <v>100</v>
      </c>
      <c r="G22" s="27" t="s">
        <v>71</v>
      </c>
      <c r="H22" s="27">
        <v>0.5</v>
      </c>
      <c r="I22" s="27">
        <v>5</v>
      </c>
      <c r="J22" s="221">
        <f>+F22*CIF!G13</f>
        <v>842.5799676898223</v>
      </c>
    </row>
    <row r="23" spans="2:10" ht="15.75" customHeight="1" x14ac:dyDescent="0.3">
      <c r="B23" s="347"/>
      <c r="C23" s="348"/>
      <c r="D23" s="51" t="s">
        <v>142</v>
      </c>
      <c r="E23" s="53" t="s">
        <v>151</v>
      </c>
      <c r="F23" s="27">
        <f>+F11*H23</f>
        <v>100</v>
      </c>
      <c r="G23" s="27" t="s">
        <v>73</v>
      </c>
      <c r="H23" s="27">
        <v>0.5</v>
      </c>
      <c r="I23" s="27">
        <v>15</v>
      </c>
      <c r="J23" s="224">
        <f>+F23*'MATERIA PRIMA'!H15</f>
        <v>3094</v>
      </c>
    </row>
    <row r="24" spans="2:10" ht="15.75" customHeight="1" thickBot="1" x14ac:dyDescent="0.35">
      <c r="B24" s="342" t="s">
        <v>216</v>
      </c>
      <c r="C24" s="343"/>
      <c r="D24" s="343"/>
      <c r="E24" s="343"/>
      <c r="F24" s="343"/>
      <c r="G24" s="343"/>
      <c r="H24" s="344"/>
      <c r="I24" s="162">
        <f>+SUM(I11:I23)</f>
        <v>150</v>
      </c>
      <c r="J24" s="225">
        <f>+SUM(J11:J23)</f>
        <v>79504.015526726973</v>
      </c>
    </row>
    <row r="25" spans="2:10" ht="15.75" customHeight="1" thickBot="1" x14ac:dyDescent="0.35">
      <c r="B25" s="66"/>
      <c r="C25" s="66"/>
      <c r="D25" s="66"/>
      <c r="E25" s="66"/>
      <c r="F25" s="66"/>
      <c r="G25" s="66"/>
      <c r="H25" s="66"/>
      <c r="J25" s="67"/>
    </row>
    <row r="26" spans="2:10" ht="15.75" customHeight="1" x14ac:dyDescent="0.3">
      <c r="B26" s="312" t="s">
        <v>205</v>
      </c>
      <c r="C26" s="313"/>
      <c r="D26" s="313"/>
      <c r="E26" s="313"/>
      <c r="F26" s="313"/>
      <c r="G26" s="313"/>
      <c r="H26" s="314"/>
      <c r="I26" s="78"/>
      <c r="J26" s="78"/>
    </row>
    <row r="27" spans="2:10" ht="15.75" customHeight="1" x14ac:dyDescent="0.3">
      <c r="B27" s="351" t="s">
        <v>205</v>
      </c>
      <c r="C27" s="352"/>
      <c r="D27" s="89" t="s">
        <v>206</v>
      </c>
      <c r="E27" s="94" t="s">
        <v>207</v>
      </c>
      <c r="F27" s="83" t="s">
        <v>208</v>
      </c>
      <c r="G27" s="94" t="s">
        <v>209</v>
      </c>
      <c r="H27" s="226" t="s">
        <v>87</v>
      </c>
      <c r="J27" s="12"/>
    </row>
    <row r="28" spans="2:10" ht="15.75" customHeight="1" x14ac:dyDescent="0.3">
      <c r="B28" s="349" t="s">
        <v>210</v>
      </c>
      <c r="C28" s="350"/>
      <c r="D28" s="27">
        <v>1</v>
      </c>
      <c r="E28" s="60" t="s">
        <v>214</v>
      </c>
      <c r="F28" s="62">
        <f>+I24/60</f>
        <v>2.5</v>
      </c>
      <c r="G28" s="93">
        <f>+'MANO OBRA P.'!C35</f>
        <v>28609.121739130438</v>
      </c>
      <c r="H28" s="228">
        <f>D28*F28*G28</f>
        <v>71522.804347826095</v>
      </c>
      <c r="J28" s="12"/>
    </row>
    <row r="29" spans="2:10" ht="15.75" customHeight="1" x14ac:dyDescent="0.3">
      <c r="B29" s="349" t="s">
        <v>211</v>
      </c>
      <c r="C29" s="350"/>
      <c r="D29" s="27">
        <v>1</v>
      </c>
      <c r="E29" s="60" t="s">
        <v>214</v>
      </c>
      <c r="F29" s="62">
        <f>+I24/60</f>
        <v>2.5</v>
      </c>
      <c r="G29" s="93">
        <f>+'MANO OBRA P.'!C60</f>
        <v>16728.110869565218</v>
      </c>
      <c r="H29" s="228">
        <f>D29*F29*G29</f>
        <v>41820.277173913048</v>
      </c>
      <c r="J29" s="12"/>
    </row>
    <row r="30" spans="2:10" ht="15.75" customHeight="1" x14ac:dyDescent="0.3">
      <c r="B30" s="349" t="s">
        <v>222</v>
      </c>
      <c r="C30" s="350"/>
      <c r="D30" s="27">
        <v>1</v>
      </c>
      <c r="E30" s="60" t="s">
        <v>214</v>
      </c>
      <c r="F30" s="62">
        <v>2</v>
      </c>
      <c r="G30" s="93">
        <f>+'MANO OBRA P.'!C85</f>
        <v>13072.415217391304</v>
      </c>
      <c r="H30" s="228">
        <f t="shared" ref="H30:H33" si="0">D30*F30*G30</f>
        <v>26144.830434782609</v>
      </c>
      <c r="I30" s="95"/>
      <c r="J30" s="12"/>
    </row>
    <row r="31" spans="2:10" ht="15.75" customHeight="1" x14ac:dyDescent="0.3">
      <c r="B31" s="349" t="s">
        <v>212</v>
      </c>
      <c r="C31" s="350"/>
      <c r="D31" s="27">
        <v>1</v>
      </c>
      <c r="E31" s="60" t="s">
        <v>214</v>
      </c>
      <c r="F31" s="62">
        <v>1</v>
      </c>
      <c r="G31" s="93">
        <f>+'MANO OBRA P.'!C85</f>
        <v>13072.415217391304</v>
      </c>
      <c r="H31" s="228">
        <f t="shared" si="0"/>
        <v>13072.415217391304</v>
      </c>
      <c r="J31" s="12"/>
    </row>
    <row r="32" spans="2:10" ht="15.75" customHeight="1" x14ac:dyDescent="0.3">
      <c r="B32" s="349" t="s">
        <v>213</v>
      </c>
      <c r="C32" s="350"/>
      <c r="D32" s="27">
        <v>1</v>
      </c>
      <c r="E32" s="60" t="s">
        <v>214</v>
      </c>
      <c r="F32" s="62">
        <v>1.5</v>
      </c>
      <c r="G32" s="93">
        <f>+'MANO OBRA P.'!C85</f>
        <v>13072.415217391304</v>
      </c>
      <c r="H32" s="228">
        <f t="shared" si="0"/>
        <v>19608.622826086958</v>
      </c>
      <c r="J32" s="12"/>
    </row>
    <row r="33" spans="2:10" ht="15.75" customHeight="1" x14ac:dyDescent="0.3">
      <c r="B33" s="349" t="s">
        <v>221</v>
      </c>
      <c r="C33" s="350"/>
      <c r="D33" s="27">
        <v>1</v>
      </c>
      <c r="E33" s="60" t="s">
        <v>214</v>
      </c>
      <c r="F33" s="63">
        <v>1</v>
      </c>
      <c r="G33" s="93">
        <f>+'MANO OBRA P.'!C110</f>
        <v>13986.339130434782</v>
      </c>
      <c r="H33" s="228">
        <f t="shared" si="0"/>
        <v>13986.339130434782</v>
      </c>
      <c r="J33" s="12"/>
    </row>
    <row r="34" spans="2:10" ht="15.75" customHeight="1" thickBot="1" x14ac:dyDescent="0.35">
      <c r="B34" s="353" t="s">
        <v>215</v>
      </c>
      <c r="C34" s="354"/>
      <c r="D34" s="354"/>
      <c r="E34" s="354"/>
      <c r="F34" s="354"/>
      <c r="G34" s="354"/>
      <c r="H34" s="229">
        <f>SUM(H28:H33)</f>
        <v>186155.2891304348</v>
      </c>
    </row>
    <row r="35" spans="2:10" ht="15.75" customHeight="1" thickBot="1" x14ac:dyDescent="0.35">
      <c r="B35" s="68"/>
      <c r="C35" s="68"/>
      <c r="D35" s="68"/>
      <c r="E35" s="68"/>
      <c r="F35" s="68"/>
      <c r="G35" s="68"/>
      <c r="I35" s="69"/>
      <c r="J35" s="70"/>
    </row>
    <row r="36" spans="2:10" ht="15.75" customHeight="1" x14ac:dyDescent="0.3">
      <c r="B36" s="360" t="s">
        <v>219</v>
      </c>
      <c r="C36" s="361"/>
      <c r="D36" s="361"/>
      <c r="E36" s="362"/>
      <c r="F36" s="68"/>
      <c r="G36" s="68"/>
      <c r="I36" s="69"/>
      <c r="J36" s="70"/>
    </row>
    <row r="37" spans="2:10" ht="15.75" customHeight="1" x14ac:dyDescent="0.3">
      <c r="B37" s="214" t="s">
        <v>217</v>
      </c>
      <c r="C37" s="88" t="s">
        <v>185</v>
      </c>
      <c r="D37" s="43" t="s">
        <v>207</v>
      </c>
      <c r="E37" s="226" t="s">
        <v>208</v>
      </c>
      <c r="I37" s="71"/>
      <c r="J37" s="72"/>
    </row>
    <row r="38" spans="2:10" ht="15.75" customHeight="1" x14ac:dyDescent="0.3">
      <c r="B38" s="230" t="s">
        <v>88</v>
      </c>
      <c r="C38" s="27" t="s">
        <v>39</v>
      </c>
      <c r="D38" s="60" t="s">
        <v>214</v>
      </c>
      <c r="E38" s="231">
        <f>+F31</f>
        <v>1</v>
      </c>
      <c r="G38" s="73"/>
      <c r="H38" s="74"/>
      <c r="J38" s="12"/>
    </row>
    <row r="39" spans="2:10" ht="15.75" customHeight="1" x14ac:dyDescent="0.3">
      <c r="B39" s="232" t="s">
        <v>89</v>
      </c>
      <c r="C39" s="27" t="s">
        <v>39</v>
      </c>
      <c r="D39" s="60" t="s">
        <v>214</v>
      </c>
      <c r="E39" s="231">
        <f>+F32</f>
        <v>1.5</v>
      </c>
      <c r="G39" s="73"/>
      <c r="H39" s="74"/>
      <c r="J39" s="12"/>
    </row>
    <row r="40" spans="2:10" ht="15.75" customHeight="1" x14ac:dyDescent="0.3">
      <c r="B40" s="233"/>
      <c r="C40" s="27" t="s">
        <v>40</v>
      </c>
      <c r="D40" s="60" t="s">
        <v>214</v>
      </c>
      <c r="E40" s="231">
        <f>+F32</f>
        <v>1.5</v>
      </c>
      <c r="G40" s="73"/>
      <c r="H40" s="74"/>
      <c r="J40" s="12"/>
    </row>
    <row r="41" spans="2:10" ht="15.75" customHeight="1" thickBot="1" x14ac:dyDescent="0.35">
      <c r="B41" s="234" t="s">
        <v>220</v>
      </c>
      <c r="C41" s="162" t="s">
        <v>40</v>
      </c>
      <c r="D41" s="213" t="s">
        <v>214</v>
      </c>
      <c r="E41" s="235">
        <f>+F33</f>
        <v>1</v>
      </c>
      <c r="G41" s="73"/>
      <c r="H41" s="74"/>
      <c r="J41" s="12"/>
    </row>
    <row r="42" spans="2:10" ht="15.75" customHeight="1" thickBot="1" x14ac:dyDescent="0.35">
      <c r="B42" s="355"/>
      <c r="C42" s="355"/>
      <c r="D42" s="355"/>
      <c r="E42" s="355"/>
      <c r="F42" s="355"/>
      <c r="G42" s="355"/>
      <c r="I42" s="69"/>
      <c r="J42" s="70"/>
    </row>
    <row r="43" spans="2:10" ht="15.75" customHeight="1" x14ac:dyDescent="0.3">
      <c r="B43" s="360" t="s">
        <v>224</v>
      </c>
      <c r="C43" s="361"/>
      <c r="D43" s="361"/>
      <c r="E43" s="362"/>
      <c r="F43" s="68"/>
      <c r="G43" s="68"/>
      <c r="I43" s="69"/>
      <c r="J43" s="70"/>
    </row>
    <row r="44" spans="2:10" ht="15.75" customHeight="1" x14ac:dyDescent="0.3">
      <c r="B44" s="214" t="s">
        <v>217</v>
      </c>
      <c r="C44" s="43" t="s">
        <v>223</v>
      </c>
      <c r="D44" s="43" t="s">
        <v>226</v>
      </c>
      <c r="E44" s="236" t="s">
        <v>225</v>
      </c>
      <c r="F44" s="68"/>
      <c r="G44" s="68"/>
      <c r="I44" s="69"/>
      <c r="J44" s="70"/>
    </row>
    <row r="45" spans="2:10" ht="15.75" customHeight="1" x14ac:dyDescent="0.3">
      <c r="B45" s="227" t="s">
        <v>39</v>
      </c>
      <c r="C45" s="81">
        <f>+I24+E38+E39</f>
        <v>152.5</v>
      </c>
      <c r="D45" s="100" t="s">
        <v>227</v>
      </c>
      <c r="E45" s="237">
        <f>+C45/60</f>
        <v>2.5416666666666665</v>
      </c>
      <c r="F45" s="68"/>
      <c r="G45" s="68"/>
      <c r="I45" s="69"/>
      <c r="J45" s="70"/>
    </row>
    <row r="46" spans="2:10" ht="15.75" customHeight="1" x14ac:dyDescent="0.3">
      <c r="B46" s="227" t="s">
        <v>40</v>
      </c>
      <c r="C46" s="81">
        <f>+I24+E40+E41</f>
        <v>152.5</v>
      </c>
      <c r="D46" s="100" t="s">
        <v>227</v>
      </c>
      <c r="E46" s="237">
        <f>+C46/60</f>
        <v>2.5416666666666665</v>
      </c>
      <c r="F46" s="68"/>
      <c r="G46" s="68"/>
      <c r="I46" s="69"/>
      <c r="J46" s="70"/>
    </row>
    <row r="47" spans="2:10" ht="15.75" customHeight="1" x14ac:dyDescent="0.3">
      <c r="B47" s="227" t="s">
        <v>175</v>
      </c>
      <c r="C47" s="81">
        <f>+I24+E38+E39+E40+E41</f>
        <v>155</v>
      </c>
      <c r="D47" s="100" t="s">
        <v>227</v>
      </c>
      <c r="E47" s="237">
        <f>+C47/60</f>
        <v>2.5833333333333335</v>
      </c>
      <c r="F47" s="68"/>
      <c r="G47" s="68"/>
      <c r="I47" s="69"/>
      <c r="J47" s="70"/>
    </row>
    <row r="48" spans="2:10" ht="15.75" customHeight="1" thickBot="1" x14ac:dyDescent="0.35">
      <c r="B48" s="238" t="s">
        <v>169</v>
      </c>
      <c r="C48" s="239">
        <f>+F11+F18+F19+F21+F22</f>
        <v>1700</v>
      </c>
      <c r="D48" s="213" t="s">
        <v>71</v>
      </c>
      <c r="E48" s="240"/>
      <c r="F48" s="68"/>
      <c r="G48" s="68"/>
      <c r="I48" s="69"/>
      <c r="J48" s="70"/>
    </row>
    <row r="49" spans="2:10" ht="15.75" customHeight="1" thickBot="1" x14ac:dyDescent="0.35"/>
    <row r="50" spans="2:10" ht="15.75" customHeight="1" x14ac:dyDescent="0.3">
      <c r="B50" s="312" t="s">
        <v>242</v>
      </c>
      <c r="C50" s="313"/>
      <c r="D50" s="313"/>
      <c r="E50" s="313"/>
      <c r="F50" s="313"/>
      <c r="G50" s="314"/>
      <c r="H50" s="78"/>
      <c r="I50" s="78"/>
      <c r="J50" s="78"/>
    </row>
    <row r="51" spans="2:10" ht="15.75" customHeight="1" x14ac:dyDescent="0.3">
      <c r="B51" s="214" t="s">
        <v>243</v>
      </c>
      <c r="C51" s="88" t="s">
        <v>206</v>
      </c>
      <c r="D51" s="43" t="s">
        <v>207</v>
      </c>
      <c r="E51" s="61" t="s">
        <v>208</v>
      </c>
      <c r="F51" s="26" t="s">
        <v>244</v>
      </c>
      <c r="G51" s="226" t="s">
        <v>87</v>
      </c>
      <c r="H51" s="71"/>
      <c r="J51" s="12"/>
    </row>
    <row r="52" spans="2:10" ht="15.75" customHeight="1" x14ac:dyDescent="0.3">
      <c r="B52" s="227" t="s">
        <v>169</v>
      </c>
      <c r="C52" s="82">
        <f>+C48</f>
        <v>1700</v>
      </c>
      <c r="D52" s="60" t="s">
        <v>71</v>
      </c>
      <c r="E52" s="62"/>
      <c r="F52" s="93">
        <f>+CIF!G13</f>
        <v>8.4257996768982224</v>
      </c>
      <c r="G52" s="228">
        <f>+F52*C52</f>
        <v>14323.859450726977</v>
      </c>
      <c r="J52" s="12"/>
    </row>
    <row r="53" spans="2:10" ht="15.75" customHeight="1" x14ac:dyDescent="0.3">
      <c r="B53" s="227" t="s">
        <v>39</v>
      </c>
      <c r="C53" s="79">
        <f>+C45</f>
        <v>152.5</v>
      </c>
      <c r="D53" s="60" t="s">
        <v>214</v>
      </c>
      <c r="E53" s="62">
        <f>+I24/60</f>
        <v>2.5</v>
      </c>
      <c r="F53" s="93">
        <f>+CIF!G17</f>
        <v>9015.703846153845</v>
      </c>
      <c r="G53" s="228">
        <f>+E53*F53</f>
        <v>22539.259615384613</v>
      </c>
      <c r="J53" s="12"/>
    </row>
    <row r="54" spans="2:10" ht="15.75" customHeight="1" x14ac:dyDescent="0.3">
      <c r="B54" s="227" t="s">
        <v>40</v>
      </c>
      <c r="C54" s="80">
        <f>+I24+E40+E41</f>
        <v>152.5</v>
      </c>
      <c r="D54" s="60" t="s">
        <v>214</v>
      </c>
      <c r="E54" s="62">
        <f>+E46</f>
        <v>2.5416666666666665</v>
      </c>
      <c r="F54" s="93">
        <f>+CIF!G21</f>
        <v>56187.532051282054</v>
      </c>
      <c r="G54" s="228">
        <f>+E54*F54</f>
        <v>142809.97729700853</v>
      </c>
      <c r="J54" s="12"/>
    </row>
    <row r="55" spans="2:10" ht="15.75" customHeight="1" x14ac:dyDescent="0.3">
      <c r="B55" s="227" t="s">
        <v>175</v>
      </c>
      <c r="C55" s="80">
        <f>+C47</f>
        <v>155</v>
      </c>
      <c r="D55" s="60" t="s">
        <v>214</v>
      </c>
      <c r="E55" s="62">
        <f>+E47</f>
        <v>2.5833333333333335</v>
      </c>
      <c r="F55" s="93">
        <f>+CIF!F25</f>
        <v>8012.8205128205127</v>
      </c>
      <c r="G55" s="228">
        <f>+E55*F55</f>
        <v>20699.786324786324</v>
      </c>
      <c r="J55" s="12"/>
    </row>
    <row r="56" spans="2:10" ht="15.75" customHeight="1" thickBot="1" x14ac:dyDescent="0.35">
      <c r="B56" s="363" t="s">
        <v>218</v>
      </c>
      <c r="C56" s="364"/>
      <c r="D56" s="364"/>
      <c r="E56" s="364"/>
      <c r="F56" s="365"/>
      <c r="G56" s="229">
        <f>SUM(G52:G55)</f>
        <v>200372.88268790644</v>
      </c>
      <c r="I56" s="69"/>
    </row>
    <row r="57" spans="2:10" ht="15.75" customHeight="1" thickBot="1" x14ac:dyDescent="0.35"/>
    <row r="58" spans="2:10" ht="15.75" customHeight="1" x14ac:dyDescent="0.3">
      <c r="B58" s="312" t="s">
        <v>245</v>
      </c>
      <c r="C58" s="313"/>
      <c r="D58" s="314"/>
    </row>
    <row r="59" spans="2:10" ht="15.75" customHeight="1" x14ac:dyDescent="0.3">
      <c r="B59" s="356" t="s">
        <v>201</v>
      </c>
      <c r="C59" s="357"/>
      <c r="D59" s="152">
        <f>+J24</f>
        <v>79504.015526726973</v>
      </c>
    </row>
    <row r="60" spans="2:10" ht="15.75" customHeight="1" x14ac:dyDescent="0.3">
      <c r="B60" s="356" t="s">
        <v>205</v>
      </c>
      <c r="C60" s="357"/>
      <c r="D60" s="152">
        <f>+H34</f>
        <v>186155.2891304348</v>
      </c>
    </row>
    <row r="61" spans="2:10" ht="15.75" customHeight="1" x14ac:dyDescent="0.3">
      <c r="B61" s="356" t="s">
        <v>242</v>
      </c>
      <c r="C61" s="357"/>
      <c r="D61" s="152">
        <f>+G56</f>
        <v>200372.88268790644</v>
      </c>
    </row>
    <row r="62" spans="2:10" ht="15.75" customHeight="1" x14ac:dyDescent="0.3">
      <c r="B62" s="356" t="s">
        <v>246</v>
      </c>
      <c r="C62" s="357"/>
      <c r="D62" s="152">
        <f>+D59+D60+D61</f>
        <v>466032.1873450682</v>
      </c>
    </row>
    <row r="63" spans="2:10" ht="15.75" customHeight="1" x14ac:dyDescent="0.3">
      <c r="B63" s="356" t="s">
        <v>247</v>
      </c>
      <c r="C63" s="357"/>
      <c r="D63" s="241">
        <f>+C11</f>
        <v>20</v>
      </c>
    </row>
    <row r="64" spans="2:10" ht="15.75" customHeight="1" thickBot="1" x14ac:dyDescent="0.35">
      <c r="B64" s="358" t="s">
        <v>248</v>
      </c>
      <c r="C64" s="359"/>
      <c r="D64" s="225">
        <f>+D62/D63</f>
        <v>23301.609367253412</v>
      </c>
    </row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108" ht="16.5" customHeight="1" x14ac:dyDescent="0.3"/>
    <row r="133" ht="16.5" customHeight="1" x14ac:dyDescent="0.3"/>
    <row r="214" ht="16.5" customHeight="1" x14ac:dyDescent="0.3"/>
    <row r="232" spans="11:11" x14ac:dyDescent="0.3">
      <c r="K232" s="11"/>
    </row>
    <row r="233" spans="11:11" ht="16.5" customHeight="1" x14ac:dyDescent="0.3">
      <c r="K233" s="11"/>
    </row>
    <row r="234" spans="11:11" x14ac:dyDescent="0.3">
      <c r="K234" s="11"/>
    </row>
    <row r="235" spans="11:11" x14ac:dyDescent="0.3">
      <c r="K235" s="11"/>
    </row>
    <row r="236" spans="11:11" x14ac:dyDescent="0.3">
      <c r="K236" s="11"/>
    </row>
    <row r="237" spans="11:11" x14ac:dyDescent="0.3">
      <c r="K237" s="11"/>
    </row>
    <row r="238" spans="11:11" x14ac:dyDescent="0.3">
      <c r="K238" s="11"/>
    </row>
    <row r="239" spans="11:11" x14ac:dyDescent="0.3">
      <c r="K239" s="11"/>
    </row>
    <row r="240" spans="11:11" x14ac:dyDescent="0.3">
      <c r="K240" s="11"/>
    </row>
    <row r="241" spans="11:11" x14ac:dyDescent="0.3">
      <c r="K241" s="11"/>
    </row>
    <row r="242" spans="11:11" x14ac:dyDescent="0.3">
      <c r="K242" s="11"/>
    </row>
    <row r="243" spans="11:11" x14ac:dyDescent="0.3">
      <c r="K243" s="11"/>
    </row>
    <row r="244" spans="11:11" x14ac:dyDescent="0.3">
      <c r="K244" s="11"/>
    </row>
    <row r="245" spans="11:11" x14ac:dyDescent="0.3">
      <c r="K245" s="11"/>
    </row>
    <row r="246" spans="11:11" x14ac:dyDescent="0.3">
      <c r="K246" s="11"/>
    </row>
    <row r="247" spans="11:11" x14ac:dyDescent="0.3">
      <c r="K247" s="11"/>
    </row>
    <row r="248" spans="11:11" x14ac:dyDescent="0.3">
      <c r="K248" s="11"/>
    </row>
    <row r="249" spans="11:11" x14ac:dyDescent="0.3">
      <c r="K249" s="11"/>
    </row>
    <row r="250" spans="11:11" x14ac:dyDescent="0.3">
      <c r="K250" s="11"/>
    </row>
    <row r="251" spans="11:11" x14ac:dyDescent="0.3">
      <c r="K251" s="11"/>
    </row>
    <row r="252" spans="11:11" x14ac:dyDescent="0.3">
      <c r="K252" s="11"/>
    </row>
    <row r="253" spans="11:11" x14ac:dyDescent="0.3">
      <c r="K253" s="11"/>
    </row>
    <row r="254" spans="11:11" x14ac:dyDescent="0.3">
      <c r="K254" s="11"/>
    </row>
    <row r="255" spans="11:11" x14ac:dyDescent="0.3">
      <c r="K255" s="11"/>
    </row>
    <row r="256" spans="11:11" x14ac:dyDescent="0.3">
      <c r="K256" s="11"/>
    </row>
    <row r="257" spans="11:11" x14ac:dyDescent="0.3">
      <c r="K257" s="11"/>
    </row>
  </sheetData>
  <mergeCells count="31">
    <mergeCell ref="B63:C63"/>
    <mergeCell ref="B64:C64"/>
    <mergeCell ref="B36:E36"/>
    <mergeCell ref="I11:I14"/>
    <mergeCell ref="B56:F56"/>
    <mergeCell ref="B59:C59"/>
    <mergeCell ref="B60:C60"/>
    <mergeCell ref="B61:C61"/>
    <mergeCell ref="B62:C62"/>
    <mergeCell ref="B26:H26"/>
    <mergeCell ref="B43:E43"/>
    <mergeCell ref="B50:G50"/>
    <mergeCell ref="B28:C28"/>
    <mergeCell ref="B29:C29"/>
    <mergeCell ref="B30:C30"/>
    <mergeCell ref="B31:C31"/>
    <mergeCell ref="B32:C32"/>
    <mergeCell ref="B33:C33"/>
    <mergeCell ref="B27:C27"/>
    <mergeCell ref="B34:G34"/>
    <mergeCell ref="B58:D58"/>
    <mergeCell ref="B42:G42"/>
    <mergeCell ref="B8:J8"/>
    <mergeCell ref="B9:J9"/>
    <mergeCell ref="B24:H24"/>
    <mergeCell ref="B11:B23"/>
    <mergeCell ref="C11:C23"/>
    <mergeCell ref="D11:D14"/>
    <mergeCell ref="D15:D16"/>
    <mergeCell ref="D17:D18"/>
    <mergeCell ref="D19:D22"/>
  </mergeCells>
  <pageMargins left="0.7" right="0.7" top="0.75" bottom="0.75" header="0.3" footer="0.3"/>
  <pageSetup paperSize="9" scale="4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88AB6-8DFC-436A-9772-BCEF84E55578}">
  <dimension ref="A1:AY258"/>
  <sheetViews>
    <sheetView showGridLines="0" view="pageBreakPreview" topLeftCell="A32" zoomScale="90" zoomScaleNormal="80" zoomScaleSheetLayoutView="90" workbookViewId="0">
      <selection activeCell="B58" sqref="B58:D64"/>
    </sheetView>
  </sheetViews>
  <sheetFormatPr baseColWidth="10" defaultColWidth="11.42578125" defaultRowHeight="16.5" x14ac:dyDescent="0.3"/>
  <cols>
    <col min="1" max="1" width="11.42578125" style="12"/>
    <col min="2" max="2" width="21.5703125" style="12" customWidth="1"/>
    <col min="3" max="3" width="17.140625" style="12" customWidth="1"/>
    <col min="4" max="4" width="15.7109375" style="12" customWidth="1"/>
    <col min="5" max="5" width="26.28515625" style="12" customWidth="1"/>
    <col min="6" max="6" width="12.140625" style="12" customWidth="1"/>
    <col min="7" max="7" width="12.85546875" style="12" customWidth="1"/>
    <col min="8" max="8" width="14.5703125" style="12" customWidth="1"/>
    <col min="9" max="9" width="19.85546875" style="12" customWidth="1"/>
    <col min="10" max="10" width="14.140625" style="19" customWidth="1"/>
    <col min="11" max="16384" width="11.42578125" style="12"/>
  </cols>
  <sheetData>
    <row r="1" spans="1:51" x14ac:dyDescent="0.3">
      <c r="B1" s="169"/>
      <c r="C1" s="170"/>
      <c r="D1" s="170"/>
      <c r="E1" s="170"/>
      <c r="F1" s="170"/>
      <c r="G1" s="170"/>
      <c r="H1" s="170"/>
      <c r="I1" s="170"/>
      <c r="J1" s="199"/>
    </row>
    <row r="2" spans="1:51" x14ac:dyDescent="0.3">
      <c r="B2" s="172"/>
      <c r="J2" s="200"/>
    </row>
    <row r="3" spans="1:51" x14ac:dyDescent="0.3">
      <c r="B3" s="172"/>
      <c r="J3" s="200"/>
    </row>
    <row r="4" spans="1:51" x14ac:dyDescent="0.3">
      <c r="B4" s="172"/>
      <c r="J4" s="200"/>
    </row>
    <row r="5" spans="1:51" x14ac:dyDescent="0.3">
      <c r="B5" s="172"/>
      <c r="J5" s="200"/>
    </row>
    <row r="6" spans="1:51" x14ac:dyDescent="0.3">
      <c r="B6" s="172"/>
      <c r="J6" s="200"/>
    </row>
    <row r="7" spans="1:51" s="46" customFormat="1" ht="17.25" thickBot="1" x14ac:dyDescent="0.35">
      <c r="A7" s="12"/>
      <c r="B7" s="174"/>
      <c r="J7" s="201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</row>
    <row r="8" spans="1:51" ht="36" customHeight="1" x14ac:dyDescent="0.3">
      <c r="B8" s="339" t="s">
        <v>234</v>
      </c>
      <c r="C8" s="340"/>
      <c r="D8" s="340"/>
      <c r="E8" s="340"/>
      <c r="F8" s="340"/>
      <c r="G8" s="340"/>
      <c r="H8" s="340"/>
      <c r="I8" s="340"/>
      <c r="J8" s="341"/>
    </row>
    <row r="9" spans="1:51" ht="21" customHeight="1" x14ac:dyDescent="0.3">
      <c r="B9" s="339" t="s">
        <v>201</v>
      </c>
      <c r="C9" s="340"/>
      <c r="D9" s="340"/>
      <c r="E9" s="340"/>
      <c r="F9" s="340"/>
      <c r="G9" s="340"/>
      <c r="H9" s="340"/>
      <c r="I9" s="340"/>
      <c r="J9" s="341"/>
    </row>
    <row r="10" spans="1:51" ht="66.75" customHeight="1" x14ac:dyDescent="0.3">
      <c r="B10" s="214" t="s">
        <v>41</v>
      </c>
      <c r="C10" s="43" t="s">
        <v>42</v>
      </c>
      <c r="D10" s="42" t="s">
        <v>68</v>
      </c>
      <c r="E10" s="42" t="s">
        <v>185</v>
      </c>
      <c r="F10" s="43" t="s">
        <v>186</v>
      </c>
      <c r="G10" s="43" t="s">
        <v>187</v>
      </c>
      <c r="H10" s="52" t="s">
        <v>191</v>
      </c>
      <c r="I10" s="43" t="s">
        <v>188</v>
      </c>
      <c r="J10" s="220" t="s">
        <v>202</v>
      </c>
    </row>
    <row r="11" spans="1:51" ht="15" customHeight="1" x14ac:dyDescent="0.3">
      <c r="B11" s="345" t="s">
        <v>173</v>
      </c>
      <c r="C11" s="300">
        <v>25</v>
      </c>
      <c r="D11" s="303" t="s">
        <v>144</v>
      </c>
      <c r="E11" s="53" t="s">
        <v>69</v>
      </c>
      <c r="F11" s="27">
        <f>+C11*H11</f>
        <v>250</v>
      </c>
      <c r="G11" s="27" t="s">
        <v>71</v>
      </c>
      <c r="H11" s="27">
        <v>10</v>
      </c>
      <c r="I11" s="327">
        <v>15</v>
      </c>
      <c r="J11" s="221">
        <f>+F11*CIF!G13</f>
        <v>2106.4499192245557</v>
      </c>
    </row>
    <row r="12" spans="1:51" ht="15" customHeight="1" x14ac:dyDescent="0.3">
      <c r="B12" s="346"/>
      <c r="C12" s="301"/>
      <c r="D12" s="304"/>
      <c r="E12" s="53" t="s">
        <v>72</v>
      </c>
      <c r="F12" s="27">
        <f>+F11*H12</f>
        <v>125</v>
      </c>
      <c r="G12" s="27" t="s">
        <v>73</v>
      </c>
      <c r="H12" s="27">
        <v>0.5</v>
      </c>
      <c r="I12" s="328"/>
      <c r="J12" s="221">
        <f>+F12*'MATERIA PRIMA'!H22</f>
        <v>1322.3875</v>
      </c>
    </row>
    <row r="13" spans="1:51" ht="15" customHeight="1" x14ac:dyDescent="0.3">
      <c r="B13" s="346"/>
      <c r="C13" s="301"/>
      <c r="D13" s="304"/>
      <c r="E13" s="53" t="s">
        <v>74</v>
      </c>
      <c r="F13" s="27">
        <f>+F11*H13</f>
        <v>125</v>
      </c>
      <c r="G13" s="27" t="s">
        <v>73</v>
      </c>
      <c r="H13" s="27">
        <v>0.5</v>
      </c>
      <c r="I13" s="328"/>
      <c r="J13" s="221">
        <f>+F13*'MATERIA PRIMA'!H21</f>
        <v>840.4375</v>
      </c>
    </row>
    <row r="14" spans="1:51" ht="15" customHeight="1" x14ac:dyDescent="0.3">
      <c r="B14" s="346"/>
      <c r="C14" s="301"/>
      <c r="D14" s="305"/>
      <c r="E14" s="53" t="s">
        <v>75</v>
      </c>
      <c r="F14" s="27">
        <f>+F11*H14</f>
        <v>250</v>
      </c>
      <c r="G14" s="27" t="s">
        <v>73</v>
      </c>
      <c r="H14" s="27">
        <v>1</v>
      </c>
      <c r="I14" s="329"/>
      <c r="J14" s="221">
        <f>+F14*'MATERIA PRIMA'!H20</f>
        <v>1457.75</v>
      </c>
    </row>
    <row r="15" spans="1:51" ht="15" customHeight="1" x14ac:dyDescent="0.3">
      <c r="B15" s="346"/>
      <c r="C15" s="301"/>
      <c r="D15" s="303" t="s">
        <v>77</v>
      </c>
      <c r="E15" s="26" t="s">
        <v>78</v>
      </c>
      <c r="F15" s="27">
        <f>+(C11*1000)*H15</f>
        <v>1500</v>
      </c>
      <c r="G15" s="27" t="s">
        <v>73</v>
      </c>
      <c r="H15" s="59">
        <v>0.06</v>
      </c>
      <c r="I15" s="27">
        <v>10</v>
      </c>
      <c r="J15" s="222">
        <f>+F15*'MATERIA PRIMA'!H31</f>
        <v>63902.999999999993</v>
      </c>
    </row>
    <row r="16" spans="1:51" ht="15" customHeight="1" x14ac:dyDescent="0.3">
      <c r="B16" s="346"/>
      <c r="C16" s="301"/>
      <c r="D16" s="305"/>
      <c r="E16" s="53" t="s">
        <v>79</v>
      </c>
      <c r="F16" s="27">
        <f>+F11*H16</f>
        <v>22.5</v>
      </c>
      <c r="G16" s="27" t="s">
        <v>28</v>
      </c>
      <c r="H16" s="58">
        <v>0.09</v>
      </c>
      <c r="I16" s="27">
        <v>20</v>
      </c>
      <c r="J16" s="223">
        <f>+F16*'MATERIA PRIMA'!H54</f>
        <v>10574.995095</v>
      </c>
    </row>
    <row r="17" spans="2:10" ht="15" customHeight="1" x14ac:dyDescent="0.3">
      <c r="B17" s="346"/>
      <c r="C17" s="301"/>
      <c r="D17" s="303" t="s">
        <v>80</v>
      </c>
      <c r="E17" s="53" t="s">
        <v>204</v>
      </c>
      <c r="F17" s="27">
        <f>+F11*H17</f>
        <v>1250</v>
      </c>
      <c r="G17" s="27" t="s">
        <v>73</v>
      </c>
      <c r="H17" s="27">
        <v>5</v>
      </c>
      <c r="I17" s="27">
        <v>40</v>
      </c>
      <c r="J17" s="221">
        <f>+F17*'MATERIA PRIMA'!H16</f>
        <v>6619.375</v>
      </c>
    </row>
    <row r="18" spans="2:10" ht="15" customHeight="1" x14ac:dyDescent="0.3">
      <c r="B18" s="346"/>
      <c r="C18" s="301"/>
      <c r="D18" s="305"/>
      <c r="E18" s="53" t="s">
        <v>82</v>
      </c>
      <c r="F18" s="27">
        <f>+F11*H18</f>
        <v>750</v>
      </c>
      <c r="G18" s="27" t="s">
        <v>71</v>
      </c>
      <c r="H18" s="27">
        <v>3</v>
      </c>
      <c r="I18" s="27">
        <v>10</v>
      </c>
      <c r="J18" s="221">
        <f>+F18*CIF!G13</f>
        <v>6319.3497576736672</v>
      </c>
    </row>
    <row r="19" spans="2:10" ht="15" customHeight="1" x14ac:dyDescent="0.3">
      <c r="B19" s="346"/>
      <c r="C19" s="301"/>
      <c r="D19" s="303" t="s">
        <v>146</v>
      </c>
      <c r="E19" s="53" t="s">
        <v>83</v>
      </c>
      <c r="F19" s="27">
        <f>+F11*H19</f>
        <v>250</v>
      </c>
      <c r="G19" s="27" t="s">
        <v>71</v>
      </c>
      <c r="H19" s="27">
        <v>1</v>
      </c>
      <c r="I19" s="27">
        <v>5</v>
      </c>
      <c r="J19" s="221">
        <f>+F19*CIF!G13</f>
        <v>2106.4499192245557</v>
      </c>
    </row>
    <row r="20" spans="2:10" ht="15" customHeight="1" x14ac:dyDescent="0.3">
      <c r="B20" s="346"/>
      <c r="C20" s="301"/>
      <c r="D20" s="304"/>
      <c r="E20" s="53" t="s">
        <v>84</v>
      </c>
      <c r="F20" s="27">
        <f>+F11*H20</f>
        <v>750</v>
      </c>
      <c r="G20" s="27" t="s">
        <v>73</v>
      </c>
      <c r="H20" s="27">
        <v>3</v>
      </c>
      <c r="I20" s="27">
        <v>15</v>
      </c>
      <c r="J20" s="221">
        <f>+F20*'MATERIA PRIMA'!H17</f>
        <v>17850</v>
      </c>
    </row>
    <row r="21" spans="2:10" ht="15" customHeight="1" x14ac:dyDescent="0.3">
      <c r="B21" s="346"/>
      <c r="C21" s="301"/>
      <c r="D21" s="304"/>
      <c r="E21" s="53" t="s">
        <v>82</v>
      </c>
      <c r="F21" s="27">
        <f>+F11*H21</f>
        <v>750</v>
      </c>
      <c r="G21" s="27" t="s">
        <v>71</v>
      </c>
      <c r="H21" s="27">
        <v>3</v>
      </c>
      <c r="I21" s="27">
        <v>15</v>
      </c>
      <c r="J21" s="221">
        <f>+F21*CIF!G13</f>
        <v>6319.3497576736672</v>
      </c>
    </row>
    <row r="22" spans="2:10" ht="15" customHeight="1" x14ac:dyDescent="0.3">
      <c r="B22" s="346"/>
      <c r="C22" s="301"/>
      <c r="D22" s="305"/>
      <c r="E22" s="53" t="s">
        <v>83</v>
      </c>
      <c r="F22" s="27">
        <f>+F11*H22</f>
        <v>125</v>
      </c>
      <c r="G22" s="27" t="s">
        <v>71</v>
      </c>
      <c r="H22" s="27">
        <v>0.5</v>
      </c>
      <c r="I22" s="27">
        <v>5</v>
      </c>
      <c r="J22" s="221">
        <f>+F22*CIF!G13</f>
        <v>1053.2249596122779</v>
      </c>
    </row>
    <row r="23" spans="2:10" ht="15" customHeight="1" x14ac:dyDescent="0.3">
      <c r="B23" s="347"/>
      <c r="C23" s="348"/>
      <c r="D23" s="51" t="s">
        <v>142</v>
      </c>
      <c r="E23" s="53" t="s">
        <v>151</v>
      </c>
      <c r="F23" s="27">
        <f>+F11*H23</f>
        <v>125</v>
      </c>
      <c r="G23" s="27" t="s">
        <v>73</v>
      </c>
      <c r="H23" s="27">
        <v>0.5</v>
      </c>
      <c r="I23" s="27">
        <v>15</v>
      </c>
      <c r="J23" s="224">
        <f>+F23*'MATERIA PRIMA'!H15</f>
        <v>3867.5</v>
      </c>
    </row>
    <row r="24" spans="2:10" ht="15" customHeight="1" thickBot="1" x14ac:dyDescent="0.35">
      <c r="B24" s="366" t="s">
        <v>216</v>
      </c>
      <c r="C24" s="367"/>
      <c r="D24" s="367"/>
      <c r="E24" s="367"/>
      <c r="F24" s="367"/>
      <c r="G24" s="367"/>
      <c r="H24" s="368"/>
      <c r="I24" s="162">
        <f>+SUM(I11:I23)</f>
        <v>150</v>
      </c>
      <c r="J24" s="225">
        <f>+SUM(J11:J23)</f>
        <v>124340.26940840873</v>
      </c>
    </row>
    <row r="25" spans="2:10" ht="15" customHeight="1" thickBot="1" x14ac:dyDescent="0.35">
      <c r="B25" s="66"/>
      <c r="C25" s="66"/>
      <c r="D25" s="66"/>
      <c r="E25" s="66"/>
      <c r="F25" s="66"/>
      <c r="G25" s="66"/>
      <c r="H25" s="66"/>
      <c r="J25" s="67"/>
    </row>
    <row r="26" spans="2:10" ht="15" customHeight="1" x14ac:dyDescent="0.3">
      <c r="B26" s="312" t="s">
        <v>205</v>
      </c>
      <c r="C26" s="313"/>
      <c r="D26" s="313"/>
      <c r="E26" s="313"/>
      <c r="F26" s="313"/>
      <c r="G26" s="313"/>
      <c r="H26" s="314"/>
      <c r="I26" s="78"/>
      <c r="J26" s="78"/>
    </row>
    <row r="27" spans="2:10" ht="15" customHeight="1" x14ac:dyDescent="0.3">
      <c r="B27" s="306" t="s">
        <v>205</v>
      </c>
      <c r="C27" s="307"/>
      <c r="D27" s="42" t="s">
        <v>206</v>
      </c>
      <c r="E27" s="43" t="s">
        <v>207</v>
      </c>
      <c r="F27" s="61" t="s">
        <v>208</v>
      </c>
      <c r="G27" s="43" t="s">
        <v>209</v>
      </c>
      <c r="H27" s="226" t="s">
        <v>87</v>
      </c>
      <c r="J27" s="12"/>
    </row>
    <row r="28" spans="2:10" ht="15" customHeight="1" x14ac:dyDescent="0.3">
      <c r="B28" s="309" t="s">
        <v>210</v>
      </c>
      <c r="C28" s="310"/>
      <c r="D28" s="27">
        <v>1</v>
      </c>
      <c r="E28" s="60" t="s">
        <v>214</v>
      </c>
      <c r="F28" s="62">
        <f>+I24/60</f>
        <v>2.5</v>
      </c>
      <c r="G28" s="93">
        <f>+'MANO OBRA P.'!C35</f>
        <v>28609.121739130438</v>
      </c>
      <c r="H28" s="228">
        <f>D28*F28*G28</f>
        <v>71522.804347826095</v>
      </c>
      <c r="J28" s="12"/>
    </row>
    <row r="29" spans="2:10" ht="15" customHeight="1" x14ac:dyDescent="0.3">
      <c r="B29" s="309" t="s">
        <v>211</v>
      </c>
      <c r="C29" s="310" t="s">
        <v>174</v>
      </c>
      <c r="D29" s="27">
        <v>1</v>
      </c>
      <c r="E29" s="60" t="s">
        <v>214</v>
      </c>
      <c r="F29" s="62">
        <f>+I24/60</f>
        <v>2.5</v>
      </c>
      <c r="G29" s="93">
        <f>+'MANO OBRA P.'!C60</f>
        <v>16728.110869565218</v>
      </c>
      <c r="H29" s="228">
        <f t="shared" ref="H29:H33" si="0">D29*F29*G29</f>
        <v>41820.277173913048</v>
      </c>
      <c r="J29" s="12"/>
    </row>
    <row r="30" spans="2:10" ht="15" customHeight="1" x14ac:dyDescent="0.3">
      <c r="B30" s="309" t="s">
        <v>222</v>
      </c>
      <c r="C30" s="310" t="s">
        <v>174</v>
      </c>
      <c r="D30" s="27">
        <v>1</v>
      </c>
      <c r="E30" s="60" t="s">
        <v>214</v>
      </c>
      <c r="F30" s="62">
        <v>2</v>
      </c>
      <c r="G30" s="93">
        <f>+'MANO OBRA P.'!C85</f>
        <v>13072.415217391304</v>
      </c>
      <c r="H30" s="228">
        <f t="shared" si="0"/>
        <v>26144.830434782609</v>
      </c>
      <c r="J30" s="12"/>
    </row>
    <row r="31" spans="2:10" ht="15" customHeight="1" x14ac:dyDescent="0.3">
      <c r="B31" s="309" t="s">
        <v>212</v>
      </c>
      <c r="C31" s="310" t="s">
        <v>174</v>
      </c>
      <c r="D31" s="27">
        <v>1</v>
      </c>
      <c r="E31" s="60" t="s">
        <v>214</v>
      </c>
      <c r="F31" s="62">
        <v>1</v>
      </c>
      <c r="G31" s="93">
        <f>+'MANO OBRA P.'!C85</f>
        <v>13072.415217391304</v>
      </c>
      <c r="H31" s="228">
        <f t="shared" si="0"/>
        <v>13072.415217391304</v>
      </c>
      <c r="J31" s="12"/>
    </row>
    <row r="32" spans="2:10" ht="15" customHeight="1" x14ac:dyDescent="0.3">
      <c r="B32" s="309" t="s">
        <v>213</v>
      </c>
      <c r="C32" s="310" t="s">
        <v>174</v>
      </c>
      <c r="D32" s="27">
        <v>1</v>
      </c>
      <c r="E32" s="60" t="s">
        <v>214</v>
      </c>
      <c r="F32" s="62">
        <v>1.5</v>
      </c>
      <c r="G32" s="93">
        <f>+'MANO OBRA P.'!C85</f>
        <v>13072.415217391304</v>
      </c>
      <c r="H32" s="228">
        <f t="shared" si="0"/>
        <v>19608.622826086958</v>
      </c>
      <c r="J32" s="12"/>
    </row>
    <row r="33" spans="2:10" ht="15" customHeight="1" x14ac:dyDescent="0.3">
      <c r="B33" s="309" t="s">
        <v>221</v>
      </c>
      <c r="C33" s="310" t="s">
        <v>174</v>
      </c>
      <c r="D33" s="27">
        <v>1</v>
      </c>
      <c r="E33" s="60" t="s">
        <v>214</v>
      </c>
      <c r="F33" s="64">
        <v>1</v>
      </c>
      <c r="G33" s="99">
        <f>+'MANO OBRA P.'!C110</f>
        <v>13986.339130434782</v>
      </c>
      <c r="H33" s="228">
        <f t="shared" si="0"/>
        <v>13986.339130434782</v>
      </c>
      <c r="J33" s="12"/>
    </row>
    <row r="34" spans="2:10" ht="15" customHeight="1" thickBot="1" x14ac:dyDescent="0.35">
      <c r="B34" s="363" t="s">
        <v>215</v>
      </c>
      <c r="C34" s="364"/>
      <c r="D34" s="364"/>
      <c r="E34" s="364"/>
      <c r="F34" s="364"/>
      <c r="G34" s="365"/>
      <c r="H34" s="229">
        <f>SUM(H28:H33)</f>
        <v>186155.2891304348</v>
      </c>
      <c r="J34" s="12"/>
    </row>
    <row r="35" spans="2:10" ht="15" customHeight="1" thickBot="1" x14ac:dyDescent="0.35">
      <c r="B35" s="68"/>
      <c r="C35" s="68"/>
      <c r="D35" s="68"/>
      <c r="E35" s="68"/>
      <c r="F35" s="68"/>
      <c r="G35" s="68"/>
      <c r="I35" s="69"/>
      <c r="J35" s="70"/>
    </row>
    <row r="36" spans="2:10" ht="15" customHeight="1" x14ac:dyDescent="0.3">
      <c r="B36" s="360" t="s">
        <v>219</v>
      </c>
      <c r="C36" s="361"/>
      <c r="D36" s="361"/>
      <c r="E36" s="362"/>
      <c r="F36" s="68"/>
      <c r="G36" s="68"/>
      <c r="I36" s="69"/>
      <c r="J36" s="70"/>
    </row>
    <row r="37" spans="2:10" ht="15" customHeight="1" x14ac:dyDescent="0.3">
      <c r="B37" s="214" t="s">
        <v>217</v>
      </c>
      <c r="C37" s="88" t="s">
        <v>185</v>
      </c>
      <c r="D37" s="43" t="s">
        <v>207</v>
      </c>
      <c r="E37" s="226" t="s">
        <v>208</v>
      </c>
      <c r="I37" s="71"/>
      <c r="J37" s="72"/>
    </row>
    <row r="38" spans="2:10" ht="15" customHeight="1" x14ac:dyDescent="0.3">
      <c r="B38" s="230" t="s">
        <v>88</v>
      </c>
      <c r="C38" s="27" t="s">
        <v>39</v>
      </c>
      <c r="D38" s="60" t="s">
        <v>214</v>
      </c>
      <c r="E38" s="231">
        <f>+F31</f>
        <v>1</v>
      </c>
      <c r="G38" s="73"/>
      <c r="H38" s="74"/>
      <c r="J38" s="12"/>
    </row>
    <row r="39" spans="2:10" ht="15" customHeight="1" x14ac:dyDescent="0.3">
      <c r="B39" s="232" t="s">
        <v>89</v>
      </c>
      <c r="C39" s="27" t="s">
        <v>39</v>
      </c>
      <c r="D39" s="60" t="s">
        <v>214</v>
      </c>
      <c r="E39" s="231">
        <f>+F32</f>
        <v>1.5</v>
      </c>
      <c r="G39" s="73"/>
      <c r="H39" s="74"/>
      <c r="J39" s="12"/>
    </row>
    <row r="40" spans="2:10" ht="15" customHeight="1" x14ac:dyDescent="0.3">
      <c r="B40" s="233"/>
      <c r="C40" s="27" t="s">
        <v>40</v>
      </c>
      <c r="D40" s="60" t="s">
        <v>214</v>
      </c>
      <c r="E40" s="231">
        <f>+F32</f>
        <v>1.5</v>
      </c>
      <c r="G40" s="73"/>
      <c r="H40" s="74"/>
      <c r="J40" s="12"/>
    </row>
    <row r="41" spans="2:10" ht="15" customHeight="1" thickBot="1" x14ac:dyDescent="0.35">
      <c r="B41" s="242" t="s">
        <v>220</v>
      </c>
      <c r="C41" s="162" t="s">
        <v>40</v>
      </c>
      <c r="D41" s="213" t="s">
        <v>214</v>
      </c>
      <c r="E41" s="235">
        <f>+F33</f>
        <v>1</v>
      </c>
      <c r="G41" s="73"/>
      <c r="H41" s="74"/>
      <c r="J41" s="12"/>
    </row>
    <row r="42" spans="2:10" ht="15" customHeight="1" thickBot="1" x14ac:dyDescent="0.35">
      <c r="B42" s="68"/>
      <c r="C42" s="68"/>
      <c r="D42" s="68"/>
      <c r="E42" s="68"/>
      <c r="F42" s="68"/>
      <c r="G42" s="68"/>
      <c r="I42" s="69"/>
      <c r="J42" s="70"/>
    </row>
    <row r="43" spans="2:10" ht="15" customHeight="1" x14ac:dyDescent="0.3">
      <c r="B43" s="360" t="s">
        <v>224</v>
      </c>
      <c r="C43" s="361"/>
      <c r="D43" s="361"/>
      <c r="E43" s="362"/>
      <c r="F43" s="68"/>
      <c r="G43" s="68"/>
      <c r="I43" s="69"/>
      <c r="J43" s="70"/>
    </row>
    <row r="44" spans="2:10" ht="15" customHeight="1" x14ac:dyDescent="0.3">
      <c r="B44" s="214" t="s">
        <v>217</v>
      </c>
      <c r="C44" s="43" t="s">
        <v>223</v>
      </c>
      <c r="D44" s="43" t="s">
        <v>226</v>
      </c>
      <c r="E44" s="236" t="s">
        <v>225</v>
      </c>
      <c r="F44" s="68"/>
      <c r="G44" s="68"/>
      <c r="I44" s="69"/>
      <c r="J44" s="70"/>
    </row>
    <row r="45" spans="2:10" ht="15" customHeight="1" x14ac:dyDescent="0.3">
      <c r="B45" s="227" t="s">
        <v>39</v>
      </c>
      <c r="C45" s="81">
        <f>+I24+E38+E39</f>
        <v>152.5</v>
      </c>
      <c r="D45" s="100" t="s">
        <v>227</v>
      </c>
      <c r="E45" s="237">
        <f>+C45/60</f>
        <v>2.5416666666666665</v>
      </c>
      <c r="F45" s="68"/>
      <c r="G45" s="68"/>
      <c r="I45" s="69"/>
      <c r="J45" s="70"/>
    </row>
    <row r="46" spans="2:10" ht="15" customHeight="1" x14ac:dyDescent="0.3">
      <c r="B46" s="227" t="s">
        <v>40</v>
      </c>
      <c r="C46" s="81">
        <f>+I24+E40+E41</f>
        <v>152.5</v>
      </c>
      <c r="D46" s="100" t="s">
        <v>227</v>
      </c>
      <c r="E46" s="237">
        <f>+C46/60</f>
        <v>2.5416666666666665</v>
      </c>
      <c r="F46" s="68"/>
      <c r="G46" s="68"/>
      <c r="I46" s="69"/>
      <c r="J46" s="70"/>
    </row>
    <row r="47" spans="2:10" ht="15" customHeight="1" x14ac:dyDescent="0.3">
      <c r="B47" s="227" t="s">
        <v>175</v>
      </c>
      <c r="C47" s="81">
        <f>+I24+E38+E39+E40+E41</f>
        <v>155</v>
      </c>
      <c r="D47" s="100" t="s">
        <v>227</v>
      </c>
      <c r="E47" s="237">
        <f>+C47/60</f>
        <v>2.5833333333333335</v>
      </c>
      <c r="F47" s="68"/>
      <c r="G47" s="68"/>
      <c r="I47" s="69"/>
      <c r="J47" s="70"/>
    </row>
    <row r="48" spans="2:10" ht="15" customHeight="1" thickBot="1" x14ac:dyDescent="0.35">
      <c r="B48" s="238" t="s">
        <v>169</v>
      </c>
      <c r="C48" s="239">
        <f>+F11+F18+F19+F21+F22</f>
        <v>2125</v>
      </c>
      <c r="D48" s="213" t="s">
        <v>71</v>
      </c>
      <c r="E48" s="240"/>
      <c r="F48" s="68"/>
      <c r="G48" s="68"/>
      <c r="I48" s="69"/>
      <c r="J48" s="70"/>
    </row>
    <row r="49" spans="2:10" ht="15" customHeight="1" thickBot="1" x14ac:dyDescent="0.35"/>
    <row r="50" spans="2:10" ht="15" customHeight="1" x14ac:dyDescent="0.3">
      <c r="B50" s="312" t="s">
        <v>242</v>
      </c>
      <c r="C50" s="313"/>
      <c r="D50" s="313"/>
      <c r="E50" s="313"/>
      <c r="F50" s="313"/>
      <c r="G50" s="314"/>
      <c r="J50" s="12"/>
    </row>
    <row r="51" spans="2:10" ht="15" customHeight="1" x14ac:dyDescent="0.3">
      <c r="B51" s="214" t="s">
        <v>243</v>
      </c>
      <c r="C51" s="42" t="s">
        <v>206</v>
      </c>
      <c r="D51" s="43" t="s">
        <v>207</v>
      </c>
      <c r="E51" s="42" t="s">
        <v>208</v>
      </c>
      <c r="F51" s="43" t="s">
        <v>228</v>
      </c>
      <c r="G51" s="226" t="s">
        <v>87</v>
      </c>
      <c r="J51" s="12"/>
    </row>
    <row r="52" spans="2:10" ht="15" customHeight="1" x14ac:dyDescent="0.3">
      <c r="B52" s="243" t="s">
        <v>169</v>
      </c>
      <c r="C52" s="82">
        <f>+C48</f>
        <v>2125</v>
      </c>
      <c r="D52" s="60" t="s">
        <v>71</v>
      </c>
      <c r="E52" s="62"/>
      <c r="F52" s="93">
        <f>+CIF!G13</f>
        <v>8.4257996768982224</v>
      </c>
      <c r="G52" s="228">
        <f>+F52*C52</f>
        <v>17904.824313408724</v>
      </c>
      <c r="J52" s="12"/>
    </row>
    <row r="53" spans="2:10" ht="15" customHeight="1" x14ac:dyDescent="0.3">
      <c r="B53" s="243" t="s">
        <v>39</v>
      </c>
      <c r="C53" s="79">
        <f>+C45</f>
        <v>152.5</v>
      </c>
      <c r="D53" s="60" t="s">
        <v>214</v>
      </c>
      <c r="E53" s="62">
        <f>+I24/60</f>
        <v>2.5</v>
      </c>
      <c r="F53" s="93">
        <f>+CIF!G17</f>
        <v>9015.703846153845</v>
      </c>
      <c r="G53" s="228">
        <f>+E53*F53</f>
        <v>22539.259615384613</v>
      </c>
      <c r="J53" s="12"/>
    </row>
    <row r="54" spans="2:10" ht="15" customHeight="1" x14ac:dyDescent="0.3">
      <c r="B54" s="243" t="s">
        <v>40</v>
      </c>
      <c r="C54" s="80">
        <f>+I24+E40+E41</f>
        <v>152.5</v>
      </c>
      <c r="D54" s="60" t="s">
        <v>214</v>
      </c>
      <c r="E54" s="62">
        <f>+E46</f>
        <v>2.5416666666666665</v>
      </c>
      <c r="F54" s="93">
        <f>+CIF!G21</f>
        <v>56187.532051282054</v>
      </c>
      <c r="G54" s="228">
        <f>+E54*F54</f>
        <v>142809.97729700853</v>
      </c>
      <c r="J54" s="12"/>
    </row>
    <row r="55" spans="2:10" ht="15" customHeight="1" x14ac:dyDescent="0.3">
      <c r="B55" s="243" t="s">
        <v>175</v>
      </c>
      <c r="C55" s="80">
        <f>+C47</f>
        <v>155</v>
      </c>
      <c r="D55" s="60" t="s">
        <v>214</v>
      </c>
      <c r="E55" s="62">
        <f>+E47</f>
        <v>2.5833333333333335</v>
      </c>
      <c r="F55" s="93">
        <f>+CIF!F25</f>
        <v>8012.8205128205127</v>
      </c>
      <c r="G55" s="228">
        <f>+E55*F55</f>
        <v>20699.786324786324</v>
      </c>
      <c r="J55" s="12"/>
    </row>
    <row r="56" spans="2:10" ht="15" customHeight="1" thickBot="1" x14ac:dyDescent="0.35">
      <c r="B56" s="363" t="s">
        <v>218</v>
      </c>
      <c r="C56" s="364"/>
      <c r="D56" s="364"/>
      <c r="E56" s="364"/>
      <c r="F56" s="365"/>
      <c r="G56" s="229">
        <f>SUM(G52:G55)</f>
        <v>203953.84755058819</v>
      </c>
      <c r="J56" s="12"/>
    </row>
    <row r="57" spans="2:10" ht="15" customHeight="1" thickBot="1" x14ac:dyDescent="0.35">
      <c r="G57" s="15"/>
    </row>
    <row r="58" spans="2:10" ht="15" customHeight="1" x14ac:dyDescent="0.3">
      <c r="B58" s="312" t="s">
        <v>245</v>
      </c>
      <c r="C58" s="313"/>
      <c r="D58" s="314"/>
    </row>
    <row r="59" spans="2:10" ht="15" customHeight="1" x14ac:dyDescent="0.3">
      <c r="B59" s="356" t="s">
        <v>201</v>
      </c>
      <c r="C59" s="357"/>
      <c r="D59" s="152">
        <f>+J24</f>
        <v>124340.26940840873</v>
      </c>
    </row>
    <row r="60" spans="2:10" ht="15" customHeight="1" x14ac:dyDescent="0.3">
      <c r="B60" s="356" t="s">
        <v>205</v>
      </c>
      <c r="C60" s="357"/>
      <c r="D60" s="152">
        <f>+H34</f>
        <v>186155.2891304348</v>
      </c>
    </row>
    <row r="61" spans="2:10" ht="15" customHeight="1" x14ac:dyDescent="0.3">
      <c r="B61" s="356" t="s">
        <v>242</v>
      </c>
      <c r="C61" s="357"/>
      <c r="D61" s="152">
        <f>+G56</f>
        <v>203953.84755058819</v>
      </c>
    </row>
    <row r="62" spans="2:10" ht="15" customHeight="1" x14ac:dyDescent="0.3">
      <c r="B62" s="356" t="s">
        <v>246</v>
      </c>
      <c r="C62" s="357"/>
      <c r="D62" s="152">
        <f>+D59+D60+D61</f>
        <v>514449.40608943172</v>
      </c>
    </row>
    <row r="63" spans="2:10" ht="15" customHeight="1" x14ac:dyDescent="0.3">
      <c r="B63" s="356" t="s">
        <v>247</v>
      </c>
      <c r="C63" s="357"/>
      <c r="D63" s="241">
        <f>+C11</f>
        <v>25</v>
      </c>
    </row>
    <row r="64" spans="2:10" ht="15" customHeight="1" thickBot="1" x14ac:dyDescent="0.35">
      <c r="B64" s="358" t="s">
        <v>248</v>
      </c>
      <c r="C64" s="359"/>
      <c r="D64" s="225">
        <f>+D62/D63</f>
        <v>20577.976243577268</v>
      </c>
    </row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109" ht="16.5" customHeight="1" x14ac:dyDescent="0.3"/>
    <row r="134" ht="16.5" customHeight="1" x14ac:dyDescent="0.3"/>
    <row r="215" ht="16.5" customHeight="1" x14ac:dyDescent="0.3"/>
    <row r="233" spans="11:11" x14ac:dyDescent="0.3">
      <c r="K233" s="11"/>
    </row>
    <row r="234" spans="11:11" ht="16.5" customHeight="1" x14ac:dyDescent="0.3">
      <c r="K234" s="11"/>
    </row>
    <row r="235" spans="11:11" x14ac:dyDescent="0.3">
      <c r="K235" s="11"/>
    </row>
    <row r="236" spans="11:11" x14ac:dyDescent="0.3">
      <c r="K236" s="11"/>
    </row>
    <row r="237" spans="11:11" x14ac:dyDescent="0.3">
      <c r="K237" s="11"/>
    </row>
    <row r="238" spans="11:11" x14ac:dyDescent="0.3">
      <c r="K238" s="11"/>
    </row>
    <row r="239" spans="11:11" x14ac:dyDescent="0.3">
      <c r="K239" s="11"/>
    </row>
    <row r="240" spans="11:11" x14ac:dyDescent="0.3">
      <c r="K240" s="11"/>
    </row>
    <row r="241" spans="11:11" x14ac:dyDescent="0.3">
      <c r="K241" s="11"/>
    </row>
    <row r="242" spans="11:11" x14ac:dyDescent="0.3">
      <c r="K242" s="11"/>
    </row>
    <row r="243" spans="11:11" x14ac:dyDescent="0.3">
      <c r="K243" s="11"/>
    </row>
    <row r="244" spans="11:11" x14ac:dyDescent="0.3">
      <c r="K244" s="11"/>
    </row>
    <row r="245" spans="11:11" x14ac:dyDescent="0.3">
      <c r="K245" s="11"/>
    </row>
    <row r="246" spans="11:11" x14ac:dyDescent="0.3">
      <c r="K246" s="11"/>
    </row>
    <row r="247" spans="11:11" x14ac:dyDescent="0.3">
      <c r="K247" s="11"/>
    </row>
    <row r="248" spans="11:11" x14ac:dyDescent="0.3">
      <c r="K248" s="11"/>
    </row>
    <row r="249" spans="11:11" x14ac:dyDescent="0.3">
      <c r="K249" s="11"/>
    </row>
    <row r="250" spans="11:11" x14ac:dyDescent="0.3">
      <c r="K250" s="11"/>
    </row>
    <row r="251" spans="11:11" x14ac:dyDescent="0.3">
      <c r="K251" s="11"/>
    </row>
    <row r="252" spans="11:11" x14ac:dyDescent="0.3">
      <c r="K252" s="11"/>
    </row>
    <row r="253" spans="11:11" x14ac:dyDescent="0.3">
      <c r="K253" s="11"/>
    </row>
    <row r="254" spans="11:11" x14ac:dyDescent="0.3">
      <c r="K254" s="11"/>
    </row>
    <row r="255" spans="11:11" x14ac:dyDescent="0.3">
      <c r="K255" s="11"/>
    </row>
    <row r="256" spans="11:11" x14ac:dyDescent="0.3">
      <c r="K256" s="11"/>
    </row>
    <row r="257" spans="11:11" x14ac:dyDescent="0.3">
      <c r="K257" s="11"/>
    </row>
    <row r="258" spans="11:11" x14ac:dyDescent="0.3">
      <c r="K258" s="11"/>
    </row>
  </sheetData>
  <mergeCells count="30">
    <mergeCell ref="B62:C62"/>
    <mergeCell ref="B63:C63"/>
    <mergeCell ref="B64:C64"/>
    <mergeCell ref="B36:E36"/>
    <mergeCell ref="I11:I14"/>
    <mergeCell ref="B56:F56"/>
    <mergeCell ref="B58:D58"/>
    <mergeCell ref="B59:C59"/>
    <mergeCell ref="B60:C60"/>
    <mergeCell ref="B61:C61"/>
    <mergeCell ref="B32:C32"/>
    <mergeCell ref="B33:C33"/>
    <mergeCell ref="B27:C27"/>
    <mergeCell ref="B26:H26"/>
    <mergeCell ref="B43:E43"/>
    <mergeCell ref="B50:G50"/>
    <mergeCell ref="B24:H24"/>
    <mergeCell ref="B34:G34"/>
    <mergeCell ref="B28:C28"/>
    <mergeCell ref="B29:C29"/>
    <mergeCell ref="B30:C30"/>
    <mergeCell ref="B31:C31"/>
    <mergeCell ref="B8:J8"/>
    <mergeCell ref="B9:J9"/>
    <mergeCell ref="B11:B23"/>
    <mergeCell ref="C11:C23"/>
    <mergeCell ref="D11:D14"/>
    <mergeCell ref="D15:D16"/>
    <mergeCell ref="D17:D18"/>
    <mergeCell ref="D19:D22"/>
  </mergeCells>
  <pageMargins left="0.7" right="0.7" top="0.75" bottom="0.75" header="0.3" footer="0.3"/>
  <pageSetup paperSize="9" scale="48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4E4D7-1393-4046-AB11-01F25A10133B}">
  <dimension ref="A1:BF259"/>
  <sheetViews>
    <sheetView showGridLines="0" view="pageBreakPreview" topLeftCell="A36" zoomScale="90" zoomScaleNormal="80" zoomScaleSheetLayoutView="90" workbookViewId="0">
      <selection activeCell="B60" sqref="B60:D66"/>
    </sheetView>
  </sheetViews>
  <sheetFormatPr baseColWidth="10" defaultColWidth="11.42578125" defaultRowHeight="16.5" x14ac:dyDescent="0.3"/>
  <cols>
    <col min="1" max="1" width="11.42578125" style="12"/>
    <col min="2" max="2" width="15.42578125" style="12" customWidth="1"/>
    <col min="3" max="3" width="16.140625" style="12" customWidth="1"/>
    <col min="4" max="4" width="15.7109375" style="12" customWidth="1"/>
    <col min="5" max="5" width="24.42578125" style="12" customWidth="1"/>
    <col min="6" max="6" width="12.28515625" style="12" customWidth="1"/>
    <col min="7" max="7" width="13.140625" style="12" customWidth="1"/>
    <col min="8" max="8" width="16.28515625" style="12" customWidth="1"/>
    <col min="9" max="9" width="12.42578125" style="12" customWidth="1"/>
    <col min="10" max="10" width="14.28515625" style="19" customWidth="1"/>
    <col min="11" max="16384" width="11.42578125" style="12"/>
  </cols>
  <sheetData>
    <row r="1" spans="1:58" x14ac:dyDescent="0.3">
      <c r="B1" s="169"/>
      <c r="C1" s="170"/>
      <c r="D1" s="170"/>
      <c r="E1" s="170"/>
      <c r="F1" s="170"/>
      <c r="G1" s="170"/>
      <c r="H1" s="170"/>
      <c r="I1" s="170"/>
      <c r="J1" s="199"/>
    </row>
    <row r="2" spans="1:58" x14ac:dyDescent="0.3">
      <c r="B2" s="172"/>
      <c r="J2" s="200"/>
    </row>
    <row r="3" spans="1:58" x14ac:dyDescent="0.3">
      <c r="B3" s="172"/>
      <c r="J3" s="200"/>
    </row>
    <row r="4" spans="1:58" x14ac:dyDescent="0.3">
      <c r="B4" s="172"/>
      <c r="J4" s="200"/>
    </row>
    <row r="5" spans="1:58" x14ac:dyDescent="0.3">
      <c r="B5" s="172"/>
      <c r="J5" s="200"/>
    </row>
    <row r="6" spans="1:58" x14ac:dyDescent="0.3">
      <c r="B6" s="172"/>
      <c r="J6" s="200"/>
    </row>
    <row r="7" spans="1:58" s="46" customFormat="1" ht="17.25" thickBot="1" x14ac:dyDescent="0.35">
      <c r="A7" s="12"/>
      <c r="B7" s="174"/>
      <c r="J7" s="201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</row>
    <row r="8" spans="1:58" ht="36" customHeight="1" x14ac:dyDescent="0.3">
      <c r="B8" s="339" t="s">
        <v>233</v>
      </c>
      <c r="C8" s="340"/>
      <c r="D8" s="340"/>
      <c r="E8" s="340"/>
      <c r="F8" s="340"/>
      <c r="G8" s="340"/>
      <c r="H8" s="340"/>
      <c r="I8" s="340"/>
      <c r="J8" s="341"/>
    </row>
    <row r="9" spans="1:58" ht="15" customHeight="1" x14ac:dyDescent="0.3">
      <c r="B9" s="339" t="s">
        <v>201</v>
      </c>
      <c r="C9" s="340"/>
      <c r="D9" s="340"/>
      <c r="E9" s="340"/>
      <c r="F9" s="340"/>
      <c r="G9" s="340"/>
      <c r="H9" s="340"/>
      <c r="I9" s="340"/>
      <c r="J9" s="341"/>
    </row>
    <row r="10" spans="1:58" ht="66" customHeight="1" x14ac:dyDescent="0.3">
      <c r="B10" s="214" t="s">
        <v>41</v>
      </c>
      <c r="C10" s="43" t="s">
        <v>42</v>
      </c>
      <c r="D10" s="42" t="s">
        <v>68</v>
      </c>
      <c r="E10" s="42" t="s">
        <v>185</v>
      </c>
      <c r="F10" s="43" t="s">
        <v>186</v>
      </c>
      <c r="G10" s="43" t="s">
        <v>187</v>
      </c>
      <c r="H10" s="52" t="s">
        <v>191</v>
      </c>
      <c r="I10" s="43" t="s">
        <v>188</v>
      </c>
      <c r="J10" s="220" t="s">
        <v>202</v>
      </c>
    </row>
    <row r="11" spans="1:58" ht="15" customHeight="1" x14ac:dyDescent="0.3">
      <c r="B11" s="345" t="s">
        <v>173</v>
      </c>
      <c r="C11" s="300">
        <v>80</v>
      </c>
      <c r="D11" s="303" t="s">
        <v>144</v>
      </c>
      <c r="E11" s="53" t="s">
        <v>69</v>
      </c>
      <c r="F11" s="27">
        <f>+C11*H11</f>
        <v>800</v>
      </c>
      <c r="G11" s="27" t="s">
        <v>71</v>
      </c>
      <c r="H11" s="27">
        <v>10</v>
      </c>
      <c r="I11" s="327">
        <v>15</v>
      </c>
      <c r="J11" s="221">
        <f>+F11*CIF!G13</f>
        <v>6740.6397415185784</v>
      </c>
    </row>
    <row r="12" spans="1:58" ht="15" customHeight="1" x14ac:dyDescent="0.3">
      <c r="B12" s="346"/>
      <c r="C12" s="301"/>
      <c r="D12" s="304"/>
      <c r="E12" s="53" t="s">
        <v>72</v>
      </c>
      <c r="F12" s="27">
        <f>+F11*H12</f>
        <v>400</v>
      </c>
      <c r="G12" s="27" t="s">
        <v>73</v>
      </c>
      <c r="H12" s="27">
        <v>0.5</v>
      </c>
      <c r="I12" s="328"/>
      <c r="J12" s="221">
        <f>+F12*'MATERIA PRIMA'!H22</f>
        <v>4231.6400000000003</v>
      </c>
    </row>
    <row r="13" spans="1:58" ht="15" customHeight="1" x14ac:dyDescent="0.3">
      <c r="B13" s="346"/>
      <c r="C13" s="301"/>
      <c r="D13" s="304"/>
      <c r="E13" s="53" t="s">
        <v>74</v>
      </c>
      <c r="F13" s="27">
        <f>+F11*H13</f>
        <v>400</v>
      </c>
      <c r="G13" s="27" t="s">
        <v>73</v>
      </c>
      <c r="H13" s="27">
        <v>0.5</v>
      </c>
      <c r="I13" s="328"/>
      <c r="J13" s="221">
        <f>+F13*'MATERIA PRIMA'!H21</f>
        <v>2689.3999999999996</v>
      </c>
    </row>
    <row r="14" spans="1:58" ht="15" customHeight="1" x14ac:dyDescent="0.3">
      <c r="B14" s="346"/>
      <c r="C14" s="301"/>
      <c r="D14" s="305"/>
      <c r="E14" s="53" t="s">
        <v>75</v>
      </c>
      <c r="F14" s="27">
        <f>+F11*H14</f>
        <v>800</v>
      </c>
      <c r="G14" s="27" t="s">
        <v>73</v>
      </c>
      <c r="H14" s="27">
        <v>1</v>
      </c>
      <c r="I14" s="329"/>
      <c r="J14" s="221">
        <f>+F14*'MATERIA PRIMA'!H20</f>
        <v>4664.8</v>
      </c>
    </row>
    <row r="15" spans="1:58" ht="15" customHeight="1" x14ac:dyDescent="0.3">
      <c r="B15" s="346"/>
      <c r="C15" s="301"/>
      <c r="D15" s="303" t="s">
        <v>77</v>
      </c>
      <c r="E15" s="26" t="s">
        <v>147</v>
      </c>
      <c r="F15" s="27">
        <f>+(C11*1000)*H15</f>
        <v>120</v>
      </c>
      <c r="G15" s="27" t="s">
        <v>73</v>
      </c>
      <c r="H15" s="59">
        <v>1.5E-3</v>
      </c>
      <c r="I15" s="369">
        <v>10</v>
      </c>
      <c r="J15" s="221">
        <f>+F15*'MATERIA PRIMA'!H47</f>
        <v>5269.32</v>
      </c>
    </row>
    <row r="16" spans="1:58" ht="15" customHeight="1" x14ac:dyDescent="0.3">
      <c r="B16" s="346"/>
      <c r="C16" s="301"/>
      <c r="D16" s="304"/>
      <c r="E16" s="26" t="s">
        <v>49</v>
      </c>
      <c r="F16" s="27">
        <f>+(C11*1000)*H16</f>
        <v>120</v>
      </c>
      <c r="G16" s="27" t="s">
        <v>73</v>
      </c>
      <c r="H16" s="59">
        <v>1.5E-3</v>
      </c>
      <c r="I16" s="370"/>
      <c r="J16" s="221">
        <f>+F16*'MATERIA PRIMA'!H33</f>
        <v>18949.560000000001</v>
      </c>
    </row>
    <row r="17" spans="2:10" ht="15" customHeight="1" x14ac:dyDescent="0.3">
      <c r="B17" s="346"/>
      <c r="C17" s="301"/>
      <c r="D17" s="304"/>
      <c r="E17" s="26" t="s">
        <v>149</v>
      </c>
      <c r="F17" s="27">
        <f>+(C11*1000)*H17</f>
        <v>80</v>
      </c>
      <c r="G17" s="27" t="s">
        <v>73</v>
      </c>
      <c r="H17" s="59">
        <v>1E-3</v>
      </c>
      <c r="I17" s="371"/>
      <c r="J17" s="222">
        <f>+F17*'MATERIA PRIMA'!H32</f>
        <v>4160.24</v>
      </c>
    </row>
    <row r="18" spans="2:10" ht="15" customHeight="1" x14ac:dyDescent="0.3">
      <c r="B18" s="346"/>
      <c r="C18" s="301"/>
      <c r="D18" s="305"/>
      <c r="E18" s="53" t="s">
        <v>79</v>
      </c>
      <c r="F18" s="27">
        <f>+F11*H18</f>
        <v>72</v>
      </c>
      <c r="G18" s="27" t="s">
        <v>28</v>
      </c>
      <c r="H18" s="58">
        <v>0.09</v>
      </c>
      <c r="I18" s="27">
        <v>20</v>
      </c>
      <c r="J18" s="223">
        <f>+F18*'MATERIA PRIMA'!H54</f>
        <v>33839.984303999998</v>
      </c>
    </row>
    <row r="19" spans="2:10" ht="15" customHeight="1" x14ac:dyDescent="0.3">
      <c r="B19" s="346"/>
      <c r="C19" s="301"/>
      <c r="D19" s="303" t="s">
        <v>80</v>
      </c>
      <c r="E19" s="53" t="s">
        <v>204</v>
      </c>
      <c r="F19" s="27">
        <f>+F11*H19</f>
        <v>4000</v>
      </c>
      <c r="G19" s="27" t="s">
        <v>73</v>
      </c>
      <c r="H19" s="27">
        <v>5</v>
      </c>
      <c r="I19" s="27">
        <v>40</v>
      </c>
      <c r="J19" s="221">
        <f>+F19*'MATERIA PRIMA'!H16</f>
        <v>21182</v>
      </c>
    </row>
    <row r="20" spans="2:10" ht="15" customHeight="1" x14ac:dyDescent="0.3">
      <c r="B20" s="346"/>
      <c r="C20" s="301"/>
      <c r="D20" s="305"/>
      <c r="E20" s="53" t="s">
        <v>82</v>
      </c>
      <c r="F20" s="27">
        <f>+F11*H20</f>
        <v>2400</v>
      </c>
      <c r="G20" s="27" t="s">
        <v>71</v>
      </c>
      <c r="H20" s="27">
        <v>3</v>
      </c>
      <c r="I20" s="27">
        <v>10</v>
      </c>
      <c r="J20" s="221">
        <f>+F20*CIF!G13</f>
        <v>20221.919224555735</v>
      </c>
    </row>
    <row r="21" spans="2:10" ht="15" customHeight="1" x14ac:dyDescent="0.3">
      <c r="B21" s="346"/>
      <c r="C21" s="301"/>
      <c r="D21" s="303" t="s">
        <v>146</v>
      </c>
      <c r="E21" s="53" t="s">
        <v>83</v>
      </c>
      <c r="F21" s="27">
        <f>+F11*H21</f>
        <v>800</v>
      </c>
      <c r="G21" s="27" t="s">
        <v>71</v>
      </c>
      <c r="H21" s="27">
        <v>1</v>
      </c>
      <c r="I21" s="27">
        <v>5</v>
      </c>
      <c r="J21" s="221">
        <f>+F21*CIF!G13</f>
        <v>6740.6397415185784</v>
      </c>
    </row>
    <row r="22" spans="2:10" ht="15" customHeight="1" x14ac:dyDescent="0.3">
      <c r="B22" s="346"/>
      <c r="C22" s="301"/>
      <c r="D22" s="304"/>
      <c r="E22" s="53" t="s">
        <v>84</v>
      </c>
      <c r="F22" s="27">
        <f>+F11*H22</f>
        <v>2400</v>
      </c>
      <c r="G22" s="27" t="s">
        <v>73</v>
      </c>
      <c r="H22" s="27">
        <v>3</v>
      </c>
      <c r="I22" s="27">
        <v>15</v>
      </c>
      <c r="J22" s="221">
        <f>+F22*'MATERIA PRIMA'!H17</f>
        <v>57120</v>
      </c>
    </row>
    <row r="23" spans="2:10" ht="15" customHeight="1" x14ac:dyDescent="0.3">
      <c r="B23" s="346"/>
      <c r="C23" s="301"/>
      <c r="D23" s="304"/>
      <c r="E23" s="53" t="s">
        <v>82</v>
      </c>
      <c r="F23" s="27">
        <f>+F11*H23</f>
        <v>2400</v>
      </c>
      <c r="G23" s="27" t="s">
        <v>71</v>
      </c>
      <c r="H23" s="27">
        <v>3</v>
      </c>
      <c r="I23" s="27">
        <v>15</v>
      </c>
      <c r="J23" s="221">
        <f>+F23*CIF!G13</f>
        <v>20221.919224555735</v>
      </c>
    </row>
    <row r="24" spans="2:10" ht="15" customHeight="1" x14ac:dyDescent="0.3">
      <c r="B24" s="346"/>
      <c r="C24" s="301"/>
      <c r="D24" s="305"/>
      <c r="E24" s="53" t="s">
        <v>83</v>
      </c>
      <c r="F24" s="27">
        <f>+F11*H24</f>
        <v>400</v>
      </c>
      <c r="G24" s="27" t="s">
        <v>71</v>
      </c>
      <c r="H24" s="27">
        <v>0.5</v>
      </c>
      <c r="I24" s="27">
        <v>5</v>
      </c>
      <c r="J24" s="221">
        <f>+F24*CIF!G13</f>
        <v>3370.3198707592892</v>
      </c>
    </row>
    <row r="25" spans="2:10" ht="15" customHeight="1" x14ac:dyDescent="0.3">
      <c r="B25" s="347"/>
      <c r="C25" s="348"/>
      <c r="D25" s="51" t="s">
        <v>142</v>
      </c>
      <c r="E25" s="53" t="s">
        <v>151</v>
      </c>
      <c r="F25" s="27">
        <f>+F11*H25</f>
        <v>400</v>
      </c>
      <c r="G25" s="27" t="s">
        <v>73</v>
      </c>
      <c r="H25" s="27">
        <v>0.5</v>
      </c>
      <c r="I25" s="27">
        <v>15</v>
      </c>
      <c r="J25" s="224">
        <f>+F25*'MATERIA PRIMA'!H15</f>
        <v>12376</v>
      </c>
    </row>
    <row r="26" spans="2:10" ht="15" customHeight="1" thickBot="1" x14ac:dyDescent="0.35">
      <c r="B26" s="342" t="s">
        <v>216</v>
      </c>
      <c r="C26" s="343"/>
      <c r="D26" s="343"/>
      <c r="E26" s="343"/>
      <c r="F26" s="343"/>
      <c r="G26" s="343"/>
      <c r="H26" s="344"/>
      <c r="I26" s="162">
        <f>+SUM(I11:I25)</f>
        <v>150</v>
      </c>
      <c r="J26" s="225">
        <f>+SUM(J11:J25)</f>
        <v>221778.38210690793</v>
      </c>
    </row>
    <row r="27" spans="2:10" ht="15" customHeight="1" thickBot="1" x14ac:dyDescent="0.35">
      <c r="B27" s="66"/>
      <c r="C27" s="66"/>
      <c r="D27" s="66"/>
      <c r="E27" s="66"/>
      <c r="F27" s="66"/>
      <c r="G27" s="66"/>
      <c r="H27" s="66"/>
      <c r="J27" s="67"/>
    </row>
    <row r="28" spans="2:10" ht="15" customHeight="1" x14ac:dyDescent="0.3">
      <c r="B28" s="312" t="s">
        <v>205</v>
      </c>
      <c r="C28" s="313"/>
      <c r="D28" s="313"/>
      <c r="E28" s="313"/>
      <c r="F28" s="313"/>
      <c r="G28" s="313"/>
      <c r="H28" s="314"/>
      <c r="I28" s="78"/>
      <c r="J28" s="78"/>
    </row>
    <row r="29" spans="2:10" ht="15" customHeight="1" x14ac:dyDescent="0.3">
      <c r="B29" s="306" t="s">
        <v>205</v>
      </c>
      <c r="C29" s="308"/>
      <c r="D29" s="90" t="s">
        <v>206</v>
      </c>
      <c r="E29" s="76" t="s">
        <v>207</v>
      </c>
      <c r="F29" s="77" t="s">
        <v>208</v>
      </c>
      <c r="G29" s="76" t="s">
        <v>209</v>
      </c>
      <c r="H29" s="244" t="s">
        <v>87</v>
      </c>
    </row>
    <row r="30" spans="2:10" ht="15" customHeight="1" x14ac:dyDescent="0.3">
      <c r="B30" s="309" t="s">
        <v>210</v>
      </c>
      <c r="C30" s="311"/>
      <c r="D30" s="27">
        <v>1</v>
      </c>
      <c r="E30" s="60" t="s">
        <v>214</v>
      </c>
      <c r="F30" s="62">
        <f>+I26/60</f>
        <v>2.5</v>
      </c>
      <c r="G30" s="93">
        <f>+'MANO OBRA P.'!C35</f>
        <v>28609.121739130438</v>
      </c>
      <c r="H30" s="228">
        <f t="shared" ref="H30:H35" si="0">D30*F30*G30</f>
        <v>71522.804347826095</v>
      </c>
    </row>
    <row r="31" spans="2:10" ht="15" customHeight="1" x14ac:dyDescent="0.3">
      <c r="B31" s="309" t="s">
        <v>211</v>
      </c>
      <c r="C31" s="311"/>
      <c r="D31" s="27">
        <v>1</v>
      </c>
      <c r="E31" s="60" t="s">
        <v>214</v>
      </c>
      <c r="F31" s="62">
        <f>+I26/60</f>
        <v>2.5</v>
      </c>
      <c r="G31" s="93">
        <f>+'MANO OBRA P.'!C60</f>
        <v>16728.110869565218</v>
      </c>
      <c r="H31" s="228">
        <f t="shared" si="0"/>
        <v>41820.277173913048</v>
      </c>
    </row>
    <row r="32" spans="2:10" ht="15" customHeight="1" x14ac:dyDescent="0.3">
      <c r="B32" s="309" t="s">
        <v>222</v>
      </c>
      <c r="C32" s="311" t="s">
        <v>174</v>
      </c>
      <c r="D32" s="27">
        <v>1</v>
      </c>
      <c r="E32" s="60" t="s">
        <v>214</v>
      </c>
      <c r="F32" s="62">
        <v>2</v>
      </c>
      <c r="G32" s="93">
        <f>+'MANO OBRA P.'!C85</f>
        <v>13072.415217391304</v>
      </c>
      <c r="H32" s="228">
        <f t="shared" si="0"/>
        <v>26144.830434782609</v>
      </c>
    </row>
    <row r="33" spans="2:10" ht="15" customHeight="1" x14ac:dyDescent="0.3">
      <c r="B33" s="309" t="s">
        <v>212</v>
      </c>
      <c r="C33" s="311" t="s">
        <v>174</v>
      </c>
      <c r="D33" s="27">
        <v>1</v>
      </c>
      <c r="E33" s="60" t="s">
        <v>214</v>
      </c>
      <c r="F33" s="62">
        <v>1</v>
      </c>
      <c r="G33" s="93">
        <f>+'MANO OBRA P.'!C85</f>
        <v>13072.415217391304</v>
      </c>
      <c r="H33" s="228">
        <f t="shared" si="0"/>
        <v>13072.415217391304</v>
      </c>
    </row>
    <row r="34" spans="2:10" ht="15" customHeight="1" x14ac:dyDescent="0.3">
      <c r="B34" s="309" t="s">
        <v>213</v>
      </c>
      <c r="C34" s="311" t="s">
        <v>174</v>
      </c>
      <c r="D34" s="27">
        <v>1</v>
      </c>
      <c r="E34" s="60" t="s">
        <v>214</v>
      </c>
      <c r="F34" s="62">
        <v>1.5</v>
      </c>
      <c r="G34" s="93">
        <f>+'MANO OBRA P.'!C85</f>
        <v>13072.415217391304</v>
      </c>
      <c r="H34" s="228">
        <f t="shared" si="0"/>
        <v>19608.622826086958</v>
      </c>
    </row>
    <row r="35" spans="2:10" ht="15" customHeight="1" x14ac:dyDescent="0.3">
      <c r="B35" s="309" t="s">
        <v>221</v>
      </c>
      <c r="C35" s="311" t="s">
        <v>174</v>
      </c>
      <c r="D35" s="27">
        <v>1</v>
      </c>
      <c r="E35" s="60" t="s">
        <v>214</v>
      </c>
      <c r="F35" s="64">
        <v>1</v>
      </c>
      <c r="G35" s="99">
        <f>+'MANO OBRA P.'!C110</f>
        <v>13986.339130434782</v>
      </c>
      <c r="H35" s="228">
        <f t="shared" si="0"/>
        <v>13986.339130434782</v>
      </c>
    </row>
    <row r="36" spans="2:10" ht="15" customHeight="1" thickBot="1" x14ac:dyDescent="0.35">
      <c r="B36" s="363" t="s">
        <v>215</v>
      </c>
      <c r="C36" s="364"/>
      <c r="D36" s="364"/>
      <c r="E36" s="364"/>
      <c r="F36" s="365"/>
      <c r="G36" s="245"/>
      <c r="H36" s="229">
        <f>SUM(H30:H35)</f>
        <v>186155.2891304348</v>
      </c>
    </row>
    <row r="37" spans="2:10" ht="15" customHeight="1" thickBot="1" x14ac:dyDescent="0.35">
      <c r="B37" s="68"/>
      <c r="C37" s="68"/>
      <c r="D37" s="68"/>
      <c r="E37" s="68"/>
      <c r="F37" s="68"/>
      <c r="G37" s="68"/>
      <c r="I37" s="69"/>
      <c r="J37" s="70"/>
    </row>
    <row r="38" spans="2:10" ht="15" customHeight="1" x14ac:dyDescent="0.3">
      <c r="B38" s="360" t="s">
        <v>219</v>
      </c>
      <c r="C38" s="361"/>
      <c r="D38" s="361"/>
      <c r="E38" s="362"/>
      <c r="F38" s="68"/>
      <c r="G38" s="68"/>
      <c r="I38" s="69"/>
      <c r="J38" s="70"/>
    </row>
    <row r="39" spans="2:10" ht="15" customHeight="1" x14ac:dyDescent="0.3">
      <c r="B39" s="214" t="s">
        <v>217</v>
      </c>
      <c r="C39" s="88" t="s">
        <v>185</v>
      </c>
      <c r="D39" s="43" t="s">
        <v>207</v>
      </c>
      <c r="E39" s="226" t="s">
        <v>208</v>
      </c>
      <c r="G39" s="71"/>
      <c r="H39" s="72"/>
      <c r="J39" s="12"/>
    </row>
    <row r="40" spans="2:10" ht="15" customHeight="1" x14ac:dyDescent="0.3">
      <c r="B40" s="233" t="s">
        <v>88</v>
      </c>
      <c r="C40" s="27" t="s">
        <v>39</v>
      </c>
      <c r="D40" s="60" t="s">
        <v>214</v>
      </c>
      <c r="E40" s="231">
        <f>+F33</f>
        <v>1</v>
      </c>
      <c r="G40" s="73"/>
      <c r="H40" s="74"/>
      <c r="J40" s="12"/>
    </row>
    <row r="41" spans="2:10" ht="15" customHeight="1" x14ac:dyDescent="0.3">
      <c r="B41" s="375" t="s">
        <v>89</v>
      </c>
      <c r="C41" s="27" t="s">
        <v>39</v>
      </c>
      <c r="D41" s="60" t="s">
        <v>214</v>
      </c>
      <c r="E41" s="231">
        <f>+F34</f>
        <v>1.5</v>
      </c>
      <c r="G41" s="73"/>
      <c r="H41" s="74"/>
      <c r="J41" s="12"/>
    </row>
    <row r="42" spans="2:10" ht="15" customHeight="1" x14ac:dyDescent="0.3">
      <c r="B42" s="376"/>
      <c r="C42" s="27" t="s">
        <v>40</v>
      </c>
      <c r="D42" s="60" t="s">
        <v>214</v>
      </c>
      <c r="E42" s="231">
        <f>+F34</f>
        <v>1.5</v>
      </c>
      <c r="G42" s="73"/>
      <c r="H42" s="74"/>
      <c r="J42" s="12"/>
    </row>
    <row r="43" spans="2:10" ht="15" customHeight="1" thickBot="1" x14ac:dyDescent="0.35">
      <c r="B43" s="234" t="s">
        <v>220</v>
      </c>
      <c r="C43" s="162" t="s">
        <v>40</v>
      </c>
      <c r="D43" s="213" t="s">
        <v>214</v>
      </c>
      <c r="E43" s="235">
        <f>+F35</f>
        <v>1</v>
      </c>
      <c r="G43" s="73"/>
      <c r="H43" s="74"/>
      <c r="J43" s="12"/>
    </row>
    <row r="44" spans="2:10" ht="15" customHeight="1" thickBot="1" x14ac:dyDescent="0.35">
      <c r="B44" s="355"/>
      <c r="C44" s="355"/>
      <c r="D44" s="355"/>
      <c r="E44" s="355"/>
      <c r="F44" s="355"/>
      <c r="G44" s="355"/>
      <c r="I44" s="69"/>
      <c r="J44" s="70"/>
    </row>
    <row r="45" spans="2:10" ht="15" customHeight="1" x14ac:dyDescent="0.3">
      <c r="B45" s="360" t="s">
        <v>224</v>
      </c>
      <c r="C45" s="361"/>
      <c r="D45" s="361"/>
      <c r="E45" s="362"/>
      <c r="F45" s="68"/>
      <c r="G45" s="68"/>
      <c r="I45" s="69"/>
      <c r="J45" s="70"/>
    </row>
    <row r="46" spans="2:10" ht="15" customHeight="1" x14ac:dyDescent="0.3">
      <c r="B46" s="214" t="s">
        <v>217</v>
      </c>
      <c r="C46" s="43" t="s">
        <v>223</v>
      </c>
      <c r="D46" s="43" t="s">
        <v>226</v>
      </c>
      <c r="E46" s="236" t="s">
        <v>225</v>
      </c>
      <c r="F46" s="68"/>
      <c r="G46" s="68"/>
      <c r="I46" s="69"/>
      <c r="J46" s="70"/>
    </row>
    <row r="47" spans="2:10" ht="15" customHeight="1" x14ac:dyDescent="0.3">
      <c r="B47" s="227" t="s">
        <v>39</v>
      </c>
      <c r="C47" s="81">
        <f>+I26+E40+E41</f>
        <v>152.5</v>
      </c>
      <c r="D47" s="100" t="s">
        <v>227</v>
      </c>
      <c r="E47" s="237">
        <f>+C47/60</f>
        <v>2.5416666666666665</v>
      </c>
      <c r="F47" s="68"/>
      <c r="G47" s="68"/>
      <c r="I47" s="69"/>
      <c r="J47" s="70"/>
    </row>
    <row r="48" spans="2:10" ht="15" customHeight="1" x14ac:dyDescent="0.3">
      <c r="B48" s="227" t="s">
        <v>40</v>
      </c>
      <c r="C48" s="81">
        <f>+I26+E42+E43</f>
        <v>152.5</v>
      </c>
      <c r="D48" s="100" t="s">
        <v>227</v>
      </c>
      <c r="E48" s="237">
        <f>+C48/60</f>
        <v>2.5416666666666665</v>
      </c>
      <c r="F48" s="68"/>
      <c r="G48" s="68"/>
      <c r="I48" s="69"/>
      <c r="J48" s="70"/>
    </row>
    <row r="49" spans="2:10" ht="15" customHeight="1" x14ac:dyDescent="0.3">
      <c r="B49" s="227" t="s">
        <v>175</v>
      </c>
      <c r="C49" s="81">
        <f>+I26+E40+E41+E42+E43</f>
        <v>155</v>
      </c>
      <c r="D49" s="100" t="s">
        <v>227</v>
      </c>
      <c r="E49" s="237">
        <f>+C49/60</f>
        <v>2.5833333333333335</v>
      </c>
      <c r="F49" s="68"/>
      <c r="G49" s="68"/>
      <c r="I49" s="69"/>
      <c r="J49" s="70"/>
    </row>
    <row r="50" spans="2:10" ht="15" customHeight="1" thickBot="1" x14ac:dyDescent="0.35">
      <c r="B50" s="238" t="s">
        <v>169</v>
      </c>
      <c r="C50" s="239">
        <f>+F11+F20+F21+F23+F24</f>
        <v>6800</v>
      </c>
      <c r="D50" s="213" t="s">
        <v>71</v>
      </c>
      <c r="E50" s="240"/>
      <c r="F50" s="68"/>
      <c r="G50" s="68"/>
      <c r="I50" s="69"/>
      <c r="J50" s="70"/>
    </row>
    <row r="51" spans="2:10" ht="15" customHeight="1" thickBot="1" x14ac:dyDescent="0.35"/>
    <row r="52" spans="2:10" ht="15" customHeight="1" x14ac:dyDescent="0.3">
      <c r="B52" s="312" t="s">
        <v>242</v>
      </c>
      <c r="C52" s="313"/>
      <c r="D52" s="313"/>
      <c r="E52" s="313"/>
      <c r="F52" s="313"/>
      <c r="G52" s="314"/>
      <c r="J52" s="12"/>
    </row>
    <row r="53" spans="2:10" ht="15" customHeight="1" x14ac:dyDescent="0.3">
      <c r="B53" s="214" t="s">
        <v>243</v>
      </c>
      <c r="C53" s="88" t="s">
        <v>206</v>
      </c>
      <c r="D53" s="43" t="s">
        <v>207</v>
      </c>
      <c r="E53" s="42" t="s">
        <v>208</v>
      </c>
      <c r="F53" s="43" t="s">
        <v>228</v>
      </c>
      <c r="G53" s="226" t="s">
        <v>87</v>
      </c>
      <c r="J53" s="12"/>
    </row>
    <row r="54" spans="2:10" ht="15" customHeight="1" x14ac:dyDescent="0.3">
      <c r="B54" s="243" t="s">
        <v>169</v>
      </c>
      <c r="C54" s="82">
        <f>+C50</f>
        <v>6800</v>
      </c>
      <c r="D54" s="60" t="s">
        <v>71</v>
      </c>
      <c r="E54" s="87"/>
      <c r="F54" s="93">
        <f>+CIF!G13</f>
        <v>8.4257996768982224</v>
      </c>
      <c r="G54" s="228">
        <f>+F54*C54</f>
        <v>57295.437802907909</v>
      </c>
      <c r="J54" s="12"/>
    </row>
    <row r="55" spans="2:10" ht="15" customHeight="1" x14ac:dyDescent="0.3">
      <c r="B55" s="243" t="s">
        <v>39</v>
      </c>
      <c r="C55" s="79">
        <f>+C47</f>
        <v>152.5</v>
      </c>
      <c r="D55" s="60" t="s">
        <v>214</v>
      </c>
      <c r="E55" s="87">
        <f>+I26/60</f>
        <v>2.5</v>
      </c>
      <c r="F55" s="93">
        <f>+CIF!G17</f>
        <v>9015.703846153845</v>
      </c>
      <c r="G55" s="228">
        <f>+E55*F55</f>
        <v>22539.259615384613</v>
      </c>
      <c r="J55" s="12"/>
    </row>
    <row r="56" spans="2:10" ht="15" customHeight="1" x14ac:dyDescent="0.3">
      <c r="B56" s="243" t="s">
        <v>40</v>
      </c>
      <c r="C56" s="80">
        <f>+I26+E42+E43</f>
        <v>152.5</v>
      </c>
      <c r="D56" s="60" t="s">
        <v>214</v>
      </c>
      <c r="E56" s="87">
        <f>+E48</f>
        <v>2.5416666666666665</v>
      </c>
      <c r="F56" s="93">
        <f>+CIF!G21</f>
        <v>56187.532051282054</v>
      </c>
      <c r="G56" s="228">
        <f>+E56*F56</f>
        <v>142809.97729700853</v>
      </c>
      <c r="J56" s="12"/>
    </row>
    <row r="57" spans="2:10" ht="15" customHeight="1" x14ac:dyDescent="0.3">
      <c r="B57" s="243" t="s">
        <v>175</v>
      </c>
      <c r="C57" s="80">
        <f>+C49</f>
        <v>155</v>
      </c>
      <c r="D57" s="60" t="s">
        <v>214</v>
      </c>
      <c r="E57" s="87">
        <f>+E49</f>
        <v>2.5833333333333335</v>
      </c>
      <c r="F57" s="93">
        <f>+CIF!F25</f>
        <v>8012.8205128205127</v>
      </c>
      <c r="G57" s="228">
        <f>+E57*F57</f>
        <v>20699.786324786324</v>
      </c>
      <c r="J57" s="12"/>
    </row>
    <row r="58" spans="2:10" ht="15" customHeight="1" thickBot="1" x14ac:dyDescent="0.35">
      <c r="B58" s="363" t="s">
        <v>218</v>
      </c>
      <c r="C58" s="364"/>
      <c r="D58" s="364"/>
      <c r="E58" s="364"/>
      <c r="F58" s="365"/>
      <c r="G58" s="246">
        <f>SUM(G54:G57)</f>
        <v>243344.46104008736</v>
      </c>
      <c r="J58" s="12"/>
    </row>
    <row r="59" spans="2:10" ht="15" customHeight="1" x14ac:dyDescent="0.3"/>
    <row r="60" spans="2:10" x14ac:dyDescent="0.3">
      <c r="B60" s="340" t="s">
        <v>245</v>
      </c>
      <c r="C60" s="340"/>
      <c r="D60" s="340"/>
    </row>
    <row r="61" spans="2:10" x14ac:dyDescent="0.3">
      <c r="B61" s="374" t="s">
        <v>201</v>
      </c>
      <c r="C61" s="357"/>
      <c r="D61" s="30">
        <f>+J26</f>
        <v>221778.38210690793</v>
      </c>
    </row>
    <row r="62" spans="2:10" x14ac:dyDescent="0.3">
      <c r="B62" s="374" t="s">
        <v>205</v>
      </c>
      <c r="C62" s="357"/>
      <c r="D62" s="30">
        <f>+H36</f>
        <v>186155.2891304348</v>
      </c>
    </row>
    <row r="63" spans="2:10" x14ac:dyDescent="0.3">
      <c r="B63" s="374" t="s">
        <v>242</v>
      </c>
      <c r="C63" s="357"/>
      <c r="D63" s="30">
        <f>+G58</f>
        <v>243344.46104008736</v>
      </c>
    </row>
    <row r="64" spans="2:10" x14ac:dyDescent="0.3">
      <c r="B64" s="374" t="s">
        <v>246</v>
      </c>
      <c r="C64" s="357"/>
      <c r="D64" s="30">
        <f>+D61+D62+D63</f>
        <v>651278.13227743015</v>
      </c>
    </row>
    <row r="65" spans="2:4" x14ac:dyDescent="0.3">
      <c r="B65" s="374" t="s">
        <v>247</v>
      </c>
      <c r="C65" s="357"/>
      <c r="D65" s="97">
        <f>+C11</f>
        <v>80</v>
      </c>
    </row>
    <row r="66" spans="2:4" x14ac:dyDescent="0.3">
      <c r="B66" s="372" t="s">
        <v>248</v>
      </c>
      <c r="C66" s="373"/>
      <c r="D66" s="65">
        <f>+D64/D65</f>
        <v>8140.9766534678765</v>
      </c>
    </row>
    <row r="110" ht="16.5" customHeight="1" x14ac:dyDescent="0.3"/>
    <row r="135" ht="16.5" customHeight="1" x14ac:dyDescent="0.3"/>
    <row r="216" ht="16.5" customHeight="1" x14ac:dyDescent="0.3"/>
    <row r="234" spans="11:11" x14ac:dyDescent="0.3">
      <c r="K234" s="11"/>
    </row>
    <row r="235" spans="11:11" ht="16.5" customHeight="1" x14ac:dyDescent="0.3">
      <c r="K235" s="11"/>
    </row>
    <row r="236" spans="11:11" x14ac:dyDescent="0.3">
      <c r="K236" s="11"/>
    </row>
    <row r="237" spans="11:11" x14ac:dyDescent="0.3">
      <c r="K237" s="11"/>
    </row>
    <row r="238" spans="11:11" x14ac:dyDescent="0.3">
      <c r="K238" s="11"/>
    </row>
    <row r="239" spans="11:11" x14ac:dyDescent="0.3">
      <c r="K239" s="11"/>
    </row>
    <row r="240" spans="11:11" x14ac:dyDescent="0.3">
      <c r="K240" s="11"/>
    </row>
    <row r="241" spans="11:11" x14ac:dyDescent="0.3">
      <c r="K241" s="11"/>
    </row>
    <row r="242" spans="11:11" x14ac:dyDescent="0.3">
      <c r="K242" s="11"/>
    </row>
    <row r="243" spans="11:11" x14ac:dyDescent="0.3">
      <c r="K243" s="11"/>
    </row>
    <row r="244" spans="11:11" x14ac:dyDescent="0.3">
      <c r="K244" s="11"/>
    </row>
    <row r="245" spans="11:11" x14ac:dyDescent="0.3">
      <c r="K245" s="11"/>
    </row>
    <row r="246" spans="11:11" x14ac:dyDescent="0.3">
      <c r="K246" s="11"/>
    </row>
    <row r="247" spans="11:11" x14ac:dyDescent="0.3">
      <c r="K247" s="11"/>
    </row>
    <row r="248" spans="11:11" x14ac:dyDescent="0.3">
      <c r="K248" s="11"/>
    </row>
    <row r="249" spans="11:11" x14ac:dyDescent="0.3">
      <c r="K249" s="11"/>
    </row>
    <row r="250" spans="11:11" x14ac:dyDescent="0.3">
      <c r="K250" s="11"/>
    </row>
    <row r="251" spans="11:11" x14ac:dyDescent="0.3">
      <c r="K251" s="11"/>
    </row>
    <row r="252" spans="11:11" x14ac:dyDescent="0.3">
      <c r="K252" s="11"/>
    </row>
    <row r="253" spans="11:11" x14ac:dyDescent="0.3">
      <c r="K253" s="11"/>
    </row>
    <row r="254" spans="11:11" x14ac:dyDescent="0.3">
      <c r="K254" s="11"/>
    </row>
    <row r="255" spans="11:11" x14ac:dyDescent="0.3">
      <c r="K255" s="11"/>
    </row>
    <row r="256" spans="11:11" x14ac:dyDescent="0.3">
      <c r="K256" s="11"/>
    </row>
    <row r="257" spans="11:11" x14ac:dyDescent="0.3">
      <c r="K257" s="11"/>
    </row>
    <row r="258" spans="11:11" x14ac:dyDescent="0.3">
      <c r="K258" s="11"/>
    </row>
    <row r="259" spans="11:11" x14ac:dyDescent="0.3">
      <c r="K259" s="11"/>
    </row>
  </sheetData>
  <mergeCells count="33">
    <mergeCell ref="B44:G44"/>
    <mergeCell ref="B33:C33"/>
    <mergeCell ref="B34:C34"/>
    <mergeCell ref="B35:C35"/>
    <mergeCell ref="B36:F36"/>
    <mergeCell ref="B38:E38"/>
    <mergeCell ref="B41:B42"/>
    <mergeCell ref="B26:H26"/>
    <mergeCell ref="B28:H28"/>
    <mergeCell ref="B32:C32"/>
    <mergeCell ref="B29:C29"/>
    <mergeCell ref="B66:C66"/>
    <mergeCell ref="B61:C61"/>
    <mergeCell ref="B62:C62"/>
    <mergeCell ref="B63:C63"/>
    <mergeCell ref="B64:C64"/>
    <mergeCell ref="B65:C65"/>
    <mergeCell ref="B45:E45"/>
    <mergeCell ref="B52:G52"/>
    <mergeCell ref="B60:D60"/>
    <mergeCell ref="B30:C30"/>
    <mergeCell ref="B31:C31"/>
    <mergeCell ref="B58:F58"/>
    <mergeCell ref="B8:J8"/>
    <mergeCell ref="B9:J9"/>
    <mergeCell ref="B11:B25"/>
    <mergeCell ref="C11:C25"/>
    <mergeCell ref="D11:D14"/>
    <mergeCell ref="I15:I17"/>
    <mergeCell ref="D15:D18"/>
    <mergeCell ref="I11:I14"/>
    <mergeCell ref="D19:D20"/>
    <mergeCell ref="D21:D24"/>
  </mergeCells>
  <pageMargins left="0.7" right="0.7" top="0.75" bottom="0.75" header="0.3" footer="0.3"/>
  <pageSetup paperSize="9" scale="48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94880-F0A9-4535-919A-EF9661BEB33E}">
  <dimension ref="A1:AO259"/>
  <sheetViews>
    <sheetView showGridLines="0" view="pageBreakPreview" topLeftCell="A45" zoomScale="90" zoomScaleNormal="80" zoomScaleSheetLayoutView="90" workbookViewId="0">
      <selection activeCell="B60" sqref="B60:D66"/>
    </sheetView>
  </sheetViews>
  <sheetFormatPr baseColWidth="10" defaultColWidth="11.42578125" defaultRowHeight="16.5" x14ac:dyDescent="0.3"/>
  <cols>
    <col min="1" max="1" width="11.42578125" style="12"/>
    <col min="2" max="3" width="16.28515625" style="12" customWidth="1"/>
    <col min="4" max="4" width="15.7109375" style="12" customWidth="1"/>
    <col min="5" max="5" width="21.42578125" style="12" customWidth="1"/>
    <col min="6" max="6" width="13.28515625" style="12" customWidth="1"/>
    <col min="7" max="7" width="14.28515625" style="12" customWidth="1"/>
    <col min="8" max="8" width="12.140625" style="12" customWidth="1"/>
    <col min="9" max="9" width="11.28515625" style="12" customWidth="1"/>
    <col min="10" max="10" width="14.28515625" style="19" customWidth="1"/>
    <col min="11" max="16384" width="11.42578125" style="12"/>
  </cols>
  <sheetData>
    <row r="1" spans="1:41" x14ac:dyDescent="0.3">
      <c r="B1" s="169"/>
      <c r="C1" s="170"/>
      <c r="D1" s="170"/>
      <c r="E1" s="170"/>
      <c r="F1" s="170"/>
      <c r="G1" s="170"/>
      <c r="H1" s="170"/>
      <c r="I1" s="170"/>
      <c r="J1" s="199"/>
    </row>
    <row r="2" spans="1:41" x14ac:dyDescent="0.3">
      <c r="B2" s="172"/>
      <c r="J2" s="200"/>
    </row>
    <row r="3" spans="1:41" x14ac:dyDescent="0.3">
      <c r="B3" s="172"/>
      <c r="J3" s="200"/>
    </row>
    <row r="4" spans="1:41" x14ac:dyDescent="0.3">
      <c r="B4" s="172"/>
      <c r="J4" s="200"/>
    </row>
    <row r="5" spans="1:41" x14ac:dyDescent="0.3">
      <c r="B5" s="172"/>
      <c r="J5" s="200"/>
    </row>
    <row r="6" spans="1:41" x14ac:dyDescent="0.3">
      <c r="B6" s="172"/>
      <c r="J6" s="200"/>
    </row>
    <row r="7" spans="1:41" s="46" customFormat="1" ht="17.25" thickBot="1" x14ac:dyDescent="0.35">
      <c r="A7" s="12"/>
      <c r="B7" s="174"/>
      <c r="J7" s="201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</row>
    <row r="8" spans="1:41" ht="36" customHeight="1" x14ac:dyDescent="0.3">
      <c r="B8" s="339" t="s">
        <v>232</v>
      </c>
      <c r="C8" s="340"/>
      <c r="D8" s="340"/>
      <c r="E8" s="340"/>
      <c r="F8" s="340"/>
      <c r="G8" s="340"/>
      <c r="H8" s="340"/>
      <c r="I8" s="340"/>
      <c r="J8" s="341"/>
    </row>
    <row r="9" spans="1:41" ht="27" customHeight="1" x14ac:dyDescent="0.3">
      <c r="B9" s="339" t="s">
        <v>201</v>
      </c>
      <c r="C9" s="340"/>
      <c r="D9" s="340"/>
      <c r="E9" s="340"/>
      <c r="F9" s="340"/>
      <c r="G9" s="340"/>
      <c r="H9" s="340"/>
      <c r="I9" s="340"/>
      <c r="J9" s="341"/>
    </row>
    <row r="10" spans="1:41" ht="65.25" customHeight="1" x14ac:dyDescent="0.3">
      <c r="B10" s="214" t="s">
        <v>41</v>
      </c>
      <c r="C10" s="43" t="s">
        <v>42</v>
      </c>
      <c r="D10" s="42" t="s">
        <v>68</v>
      </c>
      <c r="E10" s="42" t="s">
        <v>185</v>
      </c>
      <c r="F10" s="43" t="s">
        <v>186</v>
      </c>
      <c r="G10" s="43" t="s">
        <v>187</v>
      </c>
      <c r="H10" s="52" t="s">
        <v>191</v>
      </c>
      <c r="I10" s="43" t="s">
        <v>188</v>
      </c>
      <c r="J10" s="220" t="s">
        <v>202</v>
      </c>
    </row>
    <row r="11" spans="1:41" ht="15" customHeight="1" x14ac:dyDescent="0.3">
      <c r="B11" s="345" t="s">
        <v>194</v>
      </c>
      <c r="C11" s="300">
        <v>20</v>
      </c>
      <c r="D11" s="303" t="s">
        <v>144</v>
      </c>
      <c r="E11" s="53" t="s">
        <v>69</v>
      </c>
      <c r="F11" s="27">
        <f>+C11*H11</f>
        <v>200</v>
      </c>
      <c r="G11" s="27" t="s">
        <v>71</v>
      </c>
      <c r="H11" s="27">
        <v>10</v>
      </c>
      <c r="I11" s="327">
        <v>15</v>
      </c>
      <c r="J11" s="221">
        <f>+F11*CIF!G13</f>
        <v>1685.1599353796446</v>
      </c>
    </row>
    <row r="12" spans="1:41" ht="15" customHeight="1" x14ac:dyDescent="0.3">
      <c r="B12" s="346"/>
      <c r="C12" s="301"/>
      <c r="D12" s="304"/>
      <c r="E12" s="53" t="s">
        <v>72</v>
      </c>
      <c r="F12" s="27">
        <f>+F11*H12</f>
        <v>100</v>
      </c>
      <c r="G12" s="27" t="s">
        <v>73</v>
      </c>
      <c r="H12" s="27">
        <v>0.5</v>
      </c>
      <c r="I12" s="328"/>
      <c r="J12" s="221">
        <f>+F12*'MATERIA PRIMA'!H22</f>
        <v>1057.9100000000001</v>
      </c>
    </row>
    <row r="13" spans="1:41" ht="15" customHeight="1" x14ac:dyDescent="0.3">
      <c r="B13" s="346"/>
      <c r="C13" s="301"/>
      <c r="D13" s="304"/>
      <c r="E13" s="53" t="s">
        <v>74</v>
      </c>
      <c r="F13" s="27">
        <f>+F11*H13</f>
        <v>100</v>
      </c>
      <c r="G13" s="27" t="s">
        <v>73</v>
      </c>
      <c r="H13" s="27">
        <v>0.5</v>
      </c>
      <c r="I13" s="328"/>
      <c r="J13" s="221">
        <f>+F13*'MATERIA PRIMA'!H21</f>
        <v>672.34999999999991</v>
      </c>
    </row>
    <row r="14" spans="1:41" ht="15" customHeight="1" x14ac:dyDescent="0.3">
      <c r="B14" s="346"/>
      <c r="C14" s="301"/>
      <c r="D14" s="305"/>
      <c r="E14" s="53" t="s">
        <v>75</v>
      </c>
      <c r="F14" s="27">
        <f>+F11*H14</f>
        <v>200</v>
      </c>
      <c r="G14" s="27" t="s">
        <v>73</v>
      </c>
      <c r="H14" s="27">
        <v>1</v>
      </c>
      <c r="I14" s="329"/>
      <c r="J14" s="221">
        <f>+F14*'MATERIA PRIMA'!H20</f>
        <v>1166.2</v>
      </c>
    </row>
    <row r="15" spans="1:41" ht="15" customHeight="1" x14ac:dyDescent="0.3">
      <c r="B15" s="346"/>
      <c r="C15" s="301"/>
      <c r="D15" s="303" t="s">
        <v>77</v>
      </c>
      <c r="E15" s="26" t="s">
        <v>147</v>
      </c>
      <c r="F15" s="27">
        <f>+(C11*1000)*H15</f>
        <v>300</v>
      </c>
      <c r="G15" s="27" t="s">
        <v>73</v>
      </c>
      <c r="H15" s="59">
        <v>1.4999999999999999E-2</v>
      </c>
      <c r="I15" s="327">
        <v>10</v>
      </c>
      <c r="J15" s="221">
        <f>+F15*'MATERIA PRIMA'!H47</f>
        <v>13173.300000000001</v>
      </c>
    </row>
    <row r="16" spans="1:41" ht="15" customHeight="1" x14ac:dyDescent="0.3">
      <c r="B16" s="346"/>
      <c r="C16" s="301"/>
      <c r="D16" s="304"/>
      <c r="E16" s="26" t="s">
        <v>49</v>
      </c>
      <c r="F16" s="27">
        <f>+(C11*1000)*H16</f>
        <v>290</v>
      </c>
      <c r="G16" s="27" t="s">
        <v>73</v>
      </c>
      <c r="H16" s="59">
        <v>1.4500000000000001E-2</v>
      </c>
      <c r="I16" s="328"/>
      <c r="J16" s="221">
        <f>+F16*'MATERIA PRIMA'!H33</f>
        <v>45794.770000000004</v>
      </c>
    </row>
    <row r="17" spans="2:10" ht="15" customHeight="1" x14ac:dyDescent="0.3">
      <c r="B17" s="346"/>
      <c r="C17" s="301"/>
      <c r="D17" s="304"/>
      <c r="E17" s="26" t="s">
        <v>149</v>
      </c>
      <c r="F17" s="27">
        <f>+(C11*1000)*H17</f>
        <v>36</v>
      </c>
      <c r="G17" s="27" t="s">
        <v>73</v>
      </c>
      <c r="H17" s="59">
        <v>1.8E-3</v>
      </c>
      <c r="I17" s="329"/>
      <c r="J17" s="222">
        <f>+F17*'MATERIA PRIMA'!H32</f>
        <v>1872.1079999999999</v>
      </c>
    </row>
    <row r="18" spans="2:10" ht="15" customHeight="1" x14ac:dyDescent="0.3">
      <c r="B18" s="346"/>
      <c r="C18" s="301"/>
      <c r="D18" s="305"/>
      <c r="E18" s="53" t="s">
        <v>79</v>
      </c>
      <c r="F18" s="27">
        <f>+F11*H18</f>
        <v>18</v>
      </c>
      <c r="G18" s="27" t="s">
        <v>28</v>
      </c>
      <c r="H18" s="58">
        <v>0.09</v>
      </c>
      <c r="I18" s="27">
        <v>20</v>
      </c>
      <c r="J18" s="223">
        <f>+F18*'MATERIA PRIMA'!H54</f>
        <v>8459.9960759999994</v>
      </c>
    </row>
    <row r="19" spans="2:10" ht="15" customHeight="1" x14ac:dyDescent="0.3">
      <c r="B19" s="346"/>
      <c r="C19" s="301"/>
      <c r="D19" s="303" t="s">
        <v>80</v>
      </c>
      <c r="E19" s="53" t="s">
        <v>204</v>
      </c>
      <c r="F19" s="27">
        <f>+F11*H19</f>
        <v>1000</v>
      </c>
      <c r="G19" s="27" t="s">
        <v>73</v>
      </c>
      <c r="H19" s="27">
        <v>5</v>
      </c>
      <c r="I19" s="27">
        <v>40</v>
      </c>
      <c r="J19" s="221">
        <f>+F19*'MATERIA PRIMA'!H16</f>
        <v>5295.5</v>
      </c>
    </row>
    <row r="20" spans="2:10" ht="15" customHeight="1" x14ac:dyDescent="0.3">
      <c r="B20" s="346"/>
      <c r="C20" s="301"/>
      <c r="D20" s="305"/>
      <c r="E20" s="53" t="s">
        <v>82</v>
      </c>
      <c r="F20" s="27">
        <f>+F11*H20</f>
        <v>600</v>
      </c>
      <c r="G20" s="27" t="s">
        <v>71</v>
      </c>
      <c r="H20" s="27">
        <v>3</v>
      </c>
      <c r="I20" s="27">
        <v>10</v>
      </c>
      <c r="J20" s="221">
        <f>+F20*CIF!G13</f>
        <v>5055.4798061389338</v>
      </c>
    </row>
    <row r="21" spans="2:10" ht="15" customHeight="1" x14ac:dyDescent="0.3">
      <c r="B21" s="346"/>
      <c r="C21" s="301"/>
      <c r="D21" s="303" t="s">
        <v>146</v>
      </c>
      <c r="E21" s="53" t="s">
        <v>83</v>
      </c>
      <c r="F21" s="27">
        <f>+F11*H21</f>
        <v>200</v>
      </c>
      <c r="G21" s="27" t="s">
        <v>71</v>
      </c>
      <c r="H21" s="27">
        <v>1</v>
      </c>
      <c r="I21" s="27">
        <v>5</v>
      </c>
      <c r="J21" s="221">
        <f>+F21*CIF!G13</f>
        <v>1685.1599353796446</v>
      </c>
    </row>
    <row r="22" spans="2:10" ht="15" customHeight="1" x14ac:dyDescent="0.3">
      <c r="B22" s="346"/>
      <c r="C22" s="301"/>
      <c r="D22" s="304"/>
      <c r="E22" s="53" t="s">
        <v>84</v>
      </c>
      <c r="F22" s="27">
        <f>+F11*H22</f>
        <v>600</v>
      </c>
      <c r="G22" s="27" t="s">
        <v>73</v>
      </c>
      <c r="H22" s="27">
        <v>3</v>
      </c>
      <c r="I22" s="27">
        <v>15</v>
      </c>
      <c r="J22" s="221">
        <f>+F22*'MATERIA PRIMA'!H17</f>
        <v>14280</v>
      </c>
    </row>
    <row r="23" spans="2:10" ht="15" customHeight="1" x14ac:dyDescent="0.3">
      <c r="B23" s="346"/>
      <c r="C23" s="301"/>
      <c r="D23" s="304"/>
      <c r="E23" s="53" t="s">
        <v>82</v>
      </c>
      <c r="F23" s="27">
        <f>+F11*H23</f>
        <v>600</v>
      </c>
      <c r="G23" s="27" t="s">
        <v>71</v>
      </c>
      <c r="H23" s="27">
        <v>3</v>
      </c>
      <c r="I23" s="27">
        <v>15</v>
      </c>
      <c r="J23" s="221">
        <f>+F23*CIF!G13</f>
        <v>5055.4798061389338</v>
      </c>
    </row>
    <row r="24" spans="2:10" ht="15" customHeight="1" x14ac:dyDescent="0.3">
      <c r="B24" s="346"/>
      <c r="C24" s="301"/>
      <c r="D24" s="305"/>
      <c r="E24" s="53" t="s">
        <v>83</v>
      </c>
      <c r="F24" s="27">
        <f>+F11*H24</f>
        <v>100</v>
      </c>
      <c r="G24" s="27" t="s">
        <v>71</v>
      </c>
      <c r="H24" s="27">
        <v>0.5</v>
      </c>
      <c r="I24" s="27">
        <v>5</v>
      </c>
      <c r="J24" s="221">
        <f>+F24*CIF!G13</f>
        <v>842.5799676898223</v>
      </c>
    </row>
    <row r="25" spans="2:10" ht="15" customHeight="1" x14ac:dyDescent="0.3">
      <c r="B25" s="347"/>
      <c r="C25" s="348"/>
      <c r="D25" s="51" t="s">
        <v>142</v>
      </c>
      <c r="E25" s="53" t="s">
        <v>151</v>
      </c>
      <c r="F25" s="27">
        <f>+F11*H25</f>
        <v>100</v>
      </c>
      <c r="G25" s="27" t="s">
        <v>73</v>
      </c>
      <c r="H25" s="27">
        <v>0.5</v>
      </c>
      <c r="I25" s="27">
        <v>15</v>
      </c>
      <c r="J25" s="224">
        <f>+F25*'MATERIA PRIMA'!H15</f>
        <v>3094</v>
      </c>
    </row>
    <row r="26" spans="2:10" ht="15" customHeight="1" thickBot="1" x14ac:dyDescent="0.35">
      <c r="B26" s="342" t="s">
        <v>216</v>
      </c>
      <c r="C26" s="343"/>
      <c r="D26" s="343"/>
      <c r="E26" s="343"/>
      <c r="F26" s="343"/>
      <c r="G26" s="343"/>
      <c r="H26" s="344"/>
      <c r="I26" s="219">
        <f>+SUM(I11:I25)</f>
        <v>150</v>
      </c>
      <c r="J26" s="225">
        <f>+SUM(J11:J25)</f>
        <v>109189.99352672698</v>
      </c>
    </row>
    <row r="27" spans="2:10" ht="15" customHeight="1" thickBot="1" x14ac:dyDescent="0.35">
      <c r="B27" s="66"/>
      <c r="C27" s="66"/>
      <c r="D27" s="66"/>
      <c r="E27" s="66"/>
      <c r="F27" s="66"/>
      <c r="G27" s="66"/>
      <c r="H27" s="66"/>
      <c r="J27" s="67"/>
    </row>
    <row r="28" spans="2:10" ht="15" customHeight="1" x14ac:dyDescent="0.3">
      <c r="B28" s="312" t="s">
        <v>205</v>
      </c>
      <c r="C28" s="313"/>
      <c r="D28" s="313"/>
      <c r="E28" s="313"/>
      <c r="F28" s="313"/>
      <c r="G28" s="314"/>
      <c r="H28" s="78"/>
      <c r="I28" s="78"/>
      <c r="J28" s="78"/>
    </row>
    <row r="29" spans="2:10" ht="15" customHeight="1" x14ac:dyDescent="0.3">
      <c r="B29" s="247" t="s">
        <v>205</v>
      </c>
      <c r="C29" s="75" t="s">
        <v>206</v>
      </c>
      <c r="D29" s="76" t="s">
        <v>207</v>
      </c>
      <c r="E29" s="77" t="s">
        <v>208</v>
      </c>
      <c r="F29" s="76" t="s">
        <v>209</v>
      </c>
      <c r="G29" s="244" t="s">
        <v>87</v>
      </c>
      <c r="J29" s="12"/>
    </row>
    <row r="30" spans="2:10" ht="15" customHeight="1" x14ac:dyDescent="0.3">
      <c r="B30" s="230" t="s">
        <v>210</v>
      </c>
      <c r="C30" s="27">
        <v>1</v>
      </c>
      <c r="D30" s="60" t="s">
        <v>214</v>
      </c>
      <c r="E30" s="62">
        <f>+I26/60</f>
        <v>2.5</v>
      </c>
      <c r="F30" s="93">
        <f>+'MANO OBRA P.'!C35</f>
        <v>28609.121739130438</v>
      </c>
      <c r="G30" s="228">
        <f>C30*E30*F30</f>
        <v>71522.804347826095</v>
      </c>
      <c r="J30" s="12"/>
    </row>
    <row r="31" spans="2:10" ht="15" customHeight="1" x14ac:dyDescent="0.3">
      <c r="B31" s="230" t="s">
        <v>211</v>
      </c>
      <c r="C31" s="27">
        <v>1</v>
      </c>
      <c r="D31" s="60" t="s">
        <v>214</v>
      </c>
      <c r="E31" s="62">
        <f>+I26/60</f>
        <v>2.5</v>
      </c>
      <c r="F31" s="93">
        <f>+'MANO OBRA P.'!C60</f>
        <v>16728.110869565218</v>
      </c>
      <c r="G31" s="228">
        <f t="shared" ref="G31:G35" si="0">C31*E31*F31</f>
        <v>41820.277173913048</v>
      </c>
      <c r="J31" s="12"/>
    </row>
    <row r="32" spans="2:10" ht="15" customHeight="1" x14ac:dyDescent="0.3">
      <c r="B32" s="230" t="s">
        <v>222</v>
      </c>
      <c r="C32" s="27">
        <v>1</v>
      </c>
      <c r="D32" s="60" t="s">
        <v>214</v>
      </c>
      <c r="E32" s="62">
        <v>2</v>
      </c>
      <c r="F32" s="93">
        <f>+'MANO OBRA P.'!C85</f>
        <v>13072.415217391304</v>
      </c>
      <c r="G32" s="228">
        <f t="shared" si="0"/>
        <v>26144.830434782609</v>
      </c>
      <c r="J32" s="12"/>
    </row>
    <row r="33" spans="2:10" ht="15" customHeight="1" x14ac:dyDescent="0.3">
      <c r="B33" s="230" t="s">
        <v>212</v>
      </c>
      <c r="C33" s="27">
        <v>1</v>
      </c>
      <c r="D33" s="60" t="s">
        <v>214</v>
      </c>
      <c r="E33" s="62">
        <v>1</v>
      </c>
      <c r="F33" s="93">
        <f>+'MANO OBRA P.'!C85</f>
        <v>13072.415217391304</v>
      </c>
      <c r="G33" s="228">
        <f t="shared" si="0"/>
        <v>13072.415217391304</v>
      </c>
      <c r="J33" s="12"/>
    </row>
    <row r="34" spans="2:10" ht="15" customHeight="1" x14ac:dyDescent="0.3">
      <c r="B34" s="230" t="s">
        <v>213</v>
      </c>
      <c r="C34" s="27">
        <v>1</v>
      </c>
      <c r="D34" s="60" t="s">
        <v>214</v>
      </c>
      <c r="E34" s="62">
        <v>1.5</v>
      </c>
      <c r="F34" s="93">
        <f>+'MANO OBRA P.'!C85</f>
        <v>13072.415217391304</v>
      </c>
      <c r="G34" s="228">
        <f t="shared" si="0"/>
        <v>19608.622826086958</v>
      </c>
      <c r="J34" s="12"/>
    </row>
    <row r="35" spans="2:10" ht="15" customHeight="1" x14ac:dyDescent="0.3">
      <c r="B35" s="230" t="s">
        <v>221</v>
      </c>
      <c r="C35" s="27">
        <v>1</v>
      </c>
      <c r="D35" s="60" t="s">
        <v>214</v>
      </c>
      <c r="E35" s="64">
        <v>1</v>
      </c>
      <c r="F35" s="99">
        <f>+'MANO OBRA P.'!C110</f>
        <v>13986.339130434782</v>
      </c>
      <c r="G35" s="228">
        <f t="shared" si="0"/>
        <v>13986.339130434782</v>
      </c>
      <c r="J35" s="12"/>
    </row>
    <row r="36" spans="2:10" ht="15" customHeight="1" thickBot="1" x14ac:dyDescent="0.35">
      <c r="B36" s="242" t="s">
        <v>215</v>
      </c>
      <c r="C36" s="248"/>
      <c r="D36" s="248"/>
      <c r="E36" s="248"/>
      <c r="F36" s="245"/>
      <c r="G36" s="229">
        <f>SUM(G30:G35)</f>
        <v>186155.2891304348</v>
      </c>
    </row>
    <row r="37" spans="2:10" ht="15" customHeight="1" thickBot="1" x14ac:dyDescent="0.35">
      <c r="B37" s="68"/>
      <c r="C37" s="68"/>
      <c r="D37" s="68"/>
      <c r="E37" s="68"/>
      <c r="F37" s="68"/>
      <c r="G37" s="68"/>
      <c r="I37" s="69"/>
      <c r="J37" s="70"/>
    </row>
    <row r="38" spans="2:10" ht="15" customHeight="1" x14ac:dyDescent="0.3">
      <c r="B38" s="377" t="s">
        <v>219</v>
      </c>
      <c r="C38" s="378"/>
      <c r="D38" s="378"/>
      <c r="E38" s="379"/>
      <c r="F38" s="78"/>
      <c r="G38" s="78"/>
      <c r="H38" s="78"/>
      <c r="I38" s="78"/>
      <c r="J38" s="78"/>
    </row>
    <row r="39" spans="2:10" ht="15" customHeight="1" x14ac:dyDescent="0.3">
      <c r="B39" s="247" t="s">
        <v>217</v>
      </c>
      <c r="C39" s="75" t="s">
        <v>185</v>
      </c>
      <c r="D39" s="76" t="s">
        <v>207</v>
      </c>
      <c r="E39" s="249" t="s">
        <v>208</v>
      </c>
      <c r="G39" s="71"/>
      <c r="H39" s="72"/>
      <c r="J39" s="12"/>
    </row>
    <row r="40" spans="2:10" ht="15" customHeight="1" x14ac:dyDescent="0.3">
      <c r="B40" s="230" t="s">
        <v>88</v>
      </c>
      <c r="C40" s="27" t="s">
        <v>39</v>
      </c>
      <c r="D40" s="60" t="s">
        <v>214</v>
      </c>
      <c r="E40" s="231">
        <f>+E33</f>
        <v>1</v>
      </c>
      <c r="G40" s="73"/>
      <c r="H40" s="74"/>
      <c r="J40" s="12"/>
    </row>
    <row r="41" spans="2:10" ht="15" customHeight="1" x14ac:dyDescent="0.3">
      <c r="B41" s="230" t="s">
        <v>89</v>
      </c>
      <c r="C41" s="27" t="s">
        <v>39</v>
      </c>
      <c r="D41" s="60" t="s">
        <v>214</v>
      </c>
      <c r="E41" s="231">
        <f>+E34</f>
        <v>1.5</v>
      </c>
      <c r="G41" s="73"/>
      <c r="H41" s="74"/>
      <c r="J41" s="12"/>
    </row>
    <row r="42" spans="2:10" ht="15" customHeight="1" x14ac:dyDescent="0.3">
      <c r="B42" s="230"/>
      <c r="C42" s="27" t="s">
        <v>40</v>
      </c>
      <c r="D42" s="60" t="s">
        <v>214</v>
      </c>
      <c r="E42" s="231">
        <f>+E34</f>
        <v>1.5</v>
      </c>
      <c r="G42" s="73"/>
      <c r="H42" s="74"/>
      <c r="J42" s="12"/>
    </row>
    <row r="43" spans="2:10" ht="15" customHeight="1" thickBot="1" x14ac:dyDescent="0.35">
      <c r="B43" s="242" t="s">
        <v>220</v>
      </c>
      <c r="C43" s="162" t="s">
        <v>40</v>
      </c>
      <c r="D43" s="213" t="s">
        <v>214</v>
      </c>
      <c r="E43" s="235">
        <f>+E35</f>
        <v>1</v>
      </c>
      <c r="G43" s="73"/>
      <c r="H43" s="74"/>
      <c r="J43" s="12"/>
    </row>
    <row r="44" spans="2:10" ht="15" customHeight="1" thickBot="1" x14ac:dyDescent="0.35">
      <c r="B44" s="68"/>
      <c r="C44" s="68"/>
      <c r="D44" s="68"/>
      <c r="E44" s="68"/>
      <c r="F44" s="68"/>
      <c r="G44" s="68"/>
      <c r="I44" s="69"/>
      <c r="J44" s="70"/>
    </row>
    <row r="45" spans="2:10" ht="15" customHeight="1" x14ac:dyDescent="0.3">
      <c r="B45" s="360" t="s">
        <v>224</v>
      </c>
      <c r="C45" s="361"/>
      <c r="D45" s="361"/>
      <c r="E45" s="362"/>
      <c r="F45" s="68"/>
      <c r="G45" s="68"/>
      <c r="I45" s="69"/>
      <c r="J45" s="70"/>
    </row>
    <row r="46" spans="2:10" ht="15" customHeight="1" x14ac:dyDescent="0.3">
      <c r="B46" s="214" t="s">
        <v>217</v>
      </c>
      <c r="C46" s="43" t="s">
        <v>223</v>
      </c>
      <c r="D46" s="43" t="s">
        <v>226</v>
      </c>
      <c r="E46" s="236" t="s">
        <v>225</v>
      </c>
      <c r="F46" s="68"/>
      <c r="G46" s="68"/>
      <c r="I46" s="69"/>
      <c r="J46" s="70"/>
    </row>
    <row r="47" spans="2:10" ht="15" customHeight="1" x14ac:dyDescent="0.3">
      <c r="B47" s="227" t="s">
        <v>39</v>
      </c>
      <c r="C47" s="81">
        <f>+I26+E40+E41</f>
        <v>152.5</v>
      </c>
      <c r="D47" s="100" t="s">
        <v>227</v>
      </c>
      <c r="E47" s="237">
        <f>+C47/60</f>
        <v>2.5416666666666665</v>
      </c>
      <c r="F47" s="68"/>
      <c r="G47" s="68"/>
      <c r="I47" s="69"/>
      <c r="J47" s="70"/>
    </row>
    <row r="48" spans="2:10" ht="15" customHeight="1" x14ac:dyDescent="0.3">
      <c r="B48" s="227" t="s">
        <v>40</v>
      </c>
      <c r="C48" s="81">
        <f>+I26+E42+E43</f>
        <v>152.5</v>
      </c>
      <c r="D48" s="100" t="s">
        <v>227</v>
      </c>
      <c r="E48" s="237">
        <f t="shared" ref="E48:E49" si="1">+C48/60</f>
        <v>2.5416666666666665</v>
      </c>
      <c r="F48" s="68"/>
      <c r="G48" s="68"/>
      <c r="I48" s="69"/>
      <c r="J48" s="70"/>
    </row>
    <row r="49" spans="2:10" ht="15" customHeight="1" x14ac:dyDescent="0.3">
      <c r="B49" s="227" t="s">
        <v>175</v>
      </c>
      <c r="C49" s="81">
        <f>+I26+E40+E41+E42+E43</f>
        <v>155</v>
      </c>
      <c r="D49" s="100" t="s">
        <v>227</v>
      </c>
      <c r="E49" s="237">
        <f t="shared" si="1"/>
        <v>2.5833333333333335</v>
      </c>
      <c r="F49" s="68"/>
      <c r="G49" s="68"/>
      <c r="I49" s="69"/>
      <c r="J49" s="70"/>
    </row>
    <row r="50" spans="2:10" ht="15" customHeight="1" thickBot="1" x14ac:dyDescent="0.35">
      <c r="B50" s="238" t="s">
        <v>169</v>
      </c>
      <c r="C50" s="239">
        <f>+F11+F20+F21+F23+F24</f>
        <v>1700</v>
      </c>
      <c r="D50" s="213" t="s">
        <v>71</v>
      </c>
      <c r="E50" s="240"/>
      <c r="F50" s="68"/>
      <c r="G50" s="68"/>
      <c r="I50" s="69"/>
      <c r="J50" s="70"/>
    </row>
    <row r="51" spans="2:10" ht="15" customHeight="1" thickBot="1" x14ac:dyDescent="0.35"/>
    <row r="52" spans="2:10" ht="15" customHeight="1" x14ac:dyDescent="0.3">
      <c r="B52" s="312" t="s">
        <v>242</v>
      </c>
      <c r="C52" s="313"/>
      <c r="D52" s="313"/>
      <c r="E52" s="313"/>
      <c r="F52" s="313"/>
      <c r="G52" s="314"/>
      <c r="J52" s="12"/>
    </row>
    <row r="53" spans="2:10" ht="15" customHeight="1" x14ac:dyDescent="0.3">
      <c r="B53" s="214" t="s">
        <v>243</v>
      </c>
      <c r="C53" s="27" t="s">
        <v>206</v>
      </c>
      <c r="D53" s="43" t="s">
        <v>207</v>
      </c>
      <c r="E53" s="61" t="s">
        <v>208</v>
      </c>
      <c r="F53" s="43" t="s">
        <v>228</v>
      </c>
      <c r="G53" s="226" t="s">
        <v>87</v>
      </c>
      <c r="J53" s="12"/>
    </row>
    <row r="54" spans="2:10" ht="15" customHeight="1" x14ac:dyDescent="0.3">
      <c r="B54" s="243" t="s">
        <v>169</v>
      </c>
      <c r="C54" s="82">
        <f>+C50</f>
        <v>1700</v>
      </c>
      <c r="D54" s="60" t="s">
        <v>71</v>
      </c>
      <c r="E54" s="62"/>
      <c r="F54" s="93">
        <f>+CIF!G13</f>
        <v>8.4257996768982224</v>
      </c>
      <c r="G54" s="228">
        <f>+F54*C54</f>
        <v>14323.859450726977</v>
      </c>
      <c r="J54" s="12"/>
    </row>
    <row r="55" spans="2:10" ht="15" customHeight="1" x14ac:dyDescent="0.3">
      <c r="B55" s="243" t="s">
        <v>39</v>
      </c>
      <c r="C55" s="79">
        <f>+C47</f>
        <v>152.5</v>
      </c>
      <c r="D55" s="60" t="s">
        <v>214</v>
      </c>
      <c r="E55" s="62">
        <f>+I26/60</f>
        <v>2.5</v>
      </c>
      <c r="F55" s="93">
        <f>+CIF!G17</f>
        <v>9015.703846153845</v>
      </c>
      <c r="G55" s="228">
        <f>+E55*F55</f>
        <v>22539.259615384613</v>
      </c>
      <c r="J55" s="12"/>
    </row>
    <row r="56" spans="2:10" ht="15" customHeight="1" x14ac:dyDescent="0.3">
      <c r="B56" s="243" t="s">
        <v>40</v>
      </c>
      <c r="C56" s="80">
        <f>+I26+E42+E43</f>
        <v>152.5</v>
      </c>
      <c r="D56" s="60" t="s">
        <v>214</v>
      </c>
      <c r="E56" s="62">
        <f>+E48</f>
        <v>2.5416666666666665</v>
      </c>
      <c r="F56" s="93">
        <f>+CIF!G21</f>
        <v>56187.532051282054</v>
      </c>
      <c r="G56" s="228">
        <f>+E56*F56</f>
        <v>142809.97729700853</v>
      </c>
      <c r="J56" s="12"/>
    </row>
    <row r="57" spans="2:10" ht="15" customHeight="1" x14ac:dyDescent="0.3">
      <c r="B57" s="243" t="s">
        <v>175</v>
      </c>
      <c r="C57" s="80">
        <f>+C49</f>
        <v>155</v>
      </c>
      <c r="D57" s="60" t="s">
        <v>214</v>
      </c>
      <c r="E57" s="62">
        <f>+E49</f>
        <v>2.5833333333333335</v>
      </c>
      <c r="F57" s="93">
        <f>+CIF!F25</f>
        <v>8012.8205128205127</v>
      </c>
      <c r="G57" s="228">
        <f>+E57*F57</f>
        <v>20699.786324786324</v>
      </c>
      <c r="J57" s="12"/>
    </row>
    <row r="58" spans="2:10" ht="15" customHeight="1" thickBot="1" x14ac:dyDescent="0.35">
      <c r="B58" s="363" t="s">
        <v>218</v>
      </c>
      <c r="C58" s="364"/>
      <c r="D58" s="364"/>
      <c r="E58" s="364"/>
      <c r="F58" s="365"/>
      <c r="G58" s="229">
        <f>SUM(G54:G57)</f>
        <v>200372.88268790644</v>
      </c>
      <c r="J58" s="12"/>
    </row>
    <row r="59" spans="2:10" ht="15" customHeight="1" thickBot="1" x14ac:dyDescent="0.35"/>
    <row r="60" spans="2:10" ht="15" customHeight="1" x14ac:dyDescent="0.3">
      <c r="B60" s="312" t="s">
        <v>245</v>
      </c>
      <c r="C60" s="313"/>
      <c r="D60" s="314"/>
    </row>
    <row r="61" spans="2:10" ht="15" customHeight="1" x14ac:dyDescent="0.3">
      <c r="B61" s="356" t="s">
        <v>201</v>
      </c>
      <c r="C61" s="357"/>
      <c r="D61" s="152">
        <f>+J26</f>
        <v>109189.99352672698</v>
      </c>
    </row>
    <row r="62" spans="2:10" ht="15" customHeight="1" x14ac:dyDescent="0.3">
      <c r="B62" s="356" t="s">
        <v>205</v>
      </c>
      <c r="C62" s="357"/>
      <c r="D62" s="152">
        <f>+G36</f>
        <v>186155.2891304348</v>
      </c>
    </row>
    <row r="63" spans="2:10" ht="15" customHeight="1" x14ac:dyDescent="0.3">
      <c r="B63" s="356" t="s">
        <v>242</v>
      </c>
      <c r="C63" s="357"/>
      <c r="D63" s="152">
        <f>+G58</f>
        <v>200372.88268790644</v>
      </c>
    </row>
    <row r="64" spans="2:10" x14ac:dyDescent="0.3">
      <c r="B64" s="356" t="s">
        <v>246</v>
      </c>
      <c r="C64" s="357"/>
      <c r="D64" s="152">
        <f>+D61+D62+D63</f>
        <v>495718.16534506821</v>
      </c>
    </row>
    <row r="65" spans="2:4" x14ac:dyDescent="0.3">
      <c r="B65" s="356" t="s">
        <v>247</v>
      </c>
      <c r="C65" s="357"/>
      <c r="D65" s="241">
        <f>+C11</f>
        <v>20</v>
      </c>
    </row>
    <row r="66" spans="2:4" ht="17.25" thickBot="1" x14ac:dyDescent="0.35">
      <c r="B66" s="358" t="s">
        <v>248</v>
      </c>
      <c r="C66" s="359"/>
      <c r="D66" s="225">
        <f>+D64/D65</f>
        <v>24785.90826725341</v>
      </c>
    </row>
    <row r="110" ht="16.5" customHeight="1" x14ac:dyDescent="0.3"/>
    <row r="135" ht="16.5" customHeight="1" x14ac:dyDescent="0.3"/>
    <row r="216" ht="16.5" customHeight="1" x14ac:dyDescent="0.3"/>
    <row r="234" spans="11:11" x14ac:dyDescent="0.3">
      <c r="K234" s="11"/>
    </row>
    <row r="235" spans="11:11" ht="16.5" customHeight="1" x14ac:dyDescent="0.3">
      <c r="K235" s="11"/>
    </row>
    <row r="236" spans="11:11" x14ac:dyDescent="0.3">
      <c r="K236" s="11"/>
    </row>
    <row r="237" spans="11:11" x14ac:dyDescent="0.3">
      <c r="K237" s="11"/>
    </row>
    <row r="238" spans="11:11" x14ac:dyDescent="0.3">
      <c r="K238" s="11"/>
    </row>
    <row r="239" spans="11:11" x14ac:dyDescent="0.3">
      <c r="K239" s="11"/>
    </row>
    <row r="240" spans="11:11" x14ac:dyDescent="0.3">
      <c r="K240" s="11"/>
    </row>
    <row r="241" spans="11:11" x14ac:dyDescent="0.3">
      <c r="K241" s="11"/>
    </row>
    <row r="242" spans="11:11" x14ac:dyDescent="0.3">
      <c r="K242" s="11"/>
    </row>
    <row r="243" spans="11:11" x14ac:dyDescent="0.3">
      <c r="K243" s="11"/>
    </row>
    <row r="244" spans="11:11" x14ac:dyDescent="0.3">
      <c r="K244" s="11"/>
    </row>
    <row r="245" spans="11:11" x14ac:dyDescent="0.3">
      <c r="K245" s="11"/>
    </row>
    <row r="246" spans="11:11" x14ac:dyDescent="0.3">
      <c r="K246" s="11"/>
    </row>
    <row r="247" spans="11:11" x14ac:dyDescent="0.3">
      <c r="K247" s="11"/>
    </row>
    <row r="248" spans="11:11" x14ac:dyDescent="0.3">
      <c r="K248" s="11"/>
    </row>
    <row r="249" spans="11:11" x14ac:dyDescent="0.3">
      <c r="K249" s="11"/>
    </row>
    <row r="250" spans="11:11" x14ac:dyDescent="0.3">
      <c r="K250" s="11"/>
    </row>
    <row r="251" spans="11:11" x14ac:dyDescent="0.3">
      <c r="K251" s="11"/>
    </row>
    <row r="252" spans="11:11" x14ac:dyDescent="0.3">
      <c r="K252" s="11"/>
    </row>
    <row r="253" spans="11:11" x14ac:dyDescent="0.3">
      <c r="K253" s="11"/>
    </row>
    <row r="254" spans="11:11" x14ac:dyDescent="0.3">
      <c r="K254" s="11"/>
    </row>
    <row r="255" spans="11:11" x14ac:dyDescent="0.3">
      <c r="K255" s="11"/>
    </row>
    <row r="256" spans="11:11" x14ac:dyDescent="0.3">
      <c r="K256" s="11"/>
    </row>
    <row r="257" spans="11:11" x14ac:dyDescent="0.3">
      <c r="K257" s="11"/>
    </row>
    <row r="258" spans="11:11" x14ac:dyDescent="0.3">
      <c r="K258" s="11"/>
    </row>
    <row r="259" spans="11:11" x14ac:dyDescent="0.3">
      <c r="K259" s="11"/>
    </row>
  </sheetData>
  <mergeCells count="23">
    <mergeCell ref="B65:C65"/>
    <mergeCell ref="B66:C66"/>
    <mergeCell ref="I11:I14"/>
    <mergeCell ref="B58:F58"/>
    <mergeCell ref="B60:D60"/>
    <mergeCell ref="B61:C61"/>
    <mergeCell ref="B62:C62"/>
    <mergeCell ref="B63:C63"/>
    <mergeCell ref="B64:C64"/>
    <mergeCell ref="B45:E45"/>
    <mergeCell ref="B52:G52"/>
    <mergeCell ref="B26:H26"/>
    <mergeCell ref="B28:G28"/>
    <mergeCell ref="B38:E38"/>
    <mergeCell ref="B8:J8"/>
    <mergeCell ref="B9:J9"/>
    <mergeCell ref="B11:B25"/>
    <mergeCell ref="C11:C25"/>
    <mergeCell ref="D11:D14"/>
    <mergeCell ref="D15:D18"/>
    <mergeCell ref="I15:I17"/>
    <mergeCell ref="D19:D20"/>
    <mergeCell ref="D21:D24"/>
  </mergeCells>
  <pageMargins left="0.7" right="0.7" top="0.75" bottom="0.75" header="0.3" footer="0.3"/>
  <pageSetup paperSize="9" scale="48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FDCB2-0968-4E12-991A-085357387F14}">
  <dimension ref="A1:AO261"/>
  <sheetViews>
    <sheetView showGridLines="0" view="pageBreakPreview" topLeftCell="A36" zoomScale="90" zoomScaleNormal="80" zoomScaleSheetLayoutView="90" workbookViewId="0">
      <selection activeCell="B62" sqref="B62:D68"/>
    </sheetView>
  </sheetViews>
  <sheetFormatPr baseColWidth="10" defaultColWidth="11.42578125" defaultRowHeight="16.5" x14ac:dyDescent="0.3"/>
  <cols>
    <col min="1" max="1" width="11.42578125" style="12"/>
    <col min="2" max="2" width="14" style="12" customWidth="1"/>
    <col min="3" max="3" width="17.42578125" style="12" customWidth="1"/>
    <col min="4" max="4" width="15.7109375" style="12" customWidth="1"/>
    <col min="5" max="5" width="24" style="12" customWidth="1"/>
    <col min="6" max="6" width="12" style="12" customWidth="1"/>
    <col min="7" max="7" width="14.140625" style="12" customWidth="1"/>
    <col min="8" max="8" width="14" style="12" customWidth="1"/>
    <col min="9" max="9" width="11.42578125" style="12" customWidth="1"/>
    <col min="10" max="10" width="14.28515625" style="19" customWidth="1"/>
    <col min="11" max="16384" width="11.42578125" style="12"/>
  </cols>
  <sheetData>
    <row r="1" spans="1:41" x14ac:dyDescent="0.3">
      <c r="B1" s="169"/>
      <c r="C1" s="170"/>
      <c r="D1" s="170"/>
      <c r="E1" s="170"/>
      <c r="F1" s="170"/>
      <c r="G1" s="170"/>
      <c r="H1" s="170"/>
      <c r="I1" s="170"/>
      <c r="J1" s="199"/>
    </row>
    <row r="2" spans="1:41" x14ac:dyDescent="0.3">
      <c r="B2" s="172"/>
      <c r="J2" s="200"/>
    </row>
    <row r="3" spans="1:41" x14ac:dyDescent="0.3">
      <c r="B3" s="172"/>
      <c r="J3" s="200"/>
    </row>
    <row r="4" spans="1:41" x14ac:dyDescent="0.3">
      <c r="B4" s="172"/>
      <c r="J4" s="200"/>
    </row>
    <row r="5" spans="1:41" x14ac:dyDescent="0.3">
      <c r="B5" s="172"/>
      <c r="J5" s="200"/>
    </row>
    <row r="6" spans="1:41" x14ac:dyDescent="0.3">
      <c r="B6" s="172"/>
      <c r="J6" s="200"/>
    </row>
    <row r="7" spans="1:41" x14ac:dyDescent="0.3">
      <c r="B7" s="172"/>
      <c r="J7" s="200"/>
    </row>
    <row r="8" spans="1:41" x14ac:dyDescent="0.3">
      <c r="B8" s="172"/>
      <c r="J8" s="200"/>
    </row>
    <row r="9" spans="1:41" s="46" customFormat="1" ht="17.25" thickBot="1" x14ac:dyDescent="0.35">
      <c r="A9" s="12"/>
      <c r="B9" s="174"/>
      <c r="J9" s="201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</row>
    <row r="10" spans="1:41" x14ac:dyDescent="0.3">
      <c r="B10" s="380"/>
      <c r="C10" s="381"/>
      <c r="D10" s="381"/>
      <c r="E10" s="381"/>
      <c r="F10" s="381"/>
      <c r="G10" s="381"/>
      <c r="H10" s="381"/>
      <c r="I10" s="381"/>
      <c r="J10" s="200"/>
    </row>
    <row r="11" spans="1:41" x14ac:dyDescent="0.3">
      <c r="B11" s="382"/>
      <c r="C11" s="383"/>
      <c r="D11" s="383"/>
      <c r="E11" s="383"/>
      <c r="F11" s="383"/>
      <c r="G11" s="383"/>
      <c r="H11" s="383"/>
      <c r="I11" s="383"/>
      <c r="J11" s="200"/>
    </row>
    <row r="12" spans="1:41" ht="36" customHeight="1" x14ac:dyDescent="0.3">
      <c r="B12" s="339" t="s">
        <v>235</v>
      </c>
      <c r="C12" s="340"/>
      <c r="D12" s="340"/>
      <c r="E12" s="340"/>
      <c r="F12" s="340"/>
      <c r="G12" s="340"/>
      <c r="H12" s="340"/>
      <c r="I12" s="340"/>
      <c r="J12" s="341"/>
    </row>
    <row r="13" spans="1:41" ht="27" customHeight="1" x14ac:dyDescent="0.3">
      <c r="B13" s="339" t="s">
        <v>201</v>
      </c>
      <c r="C13" s="340"/>
      <c r="D13" s="340"/>
      <c r="E13" s="340"/>
      <c r="F13" s="340"/>
      <c r="G13" s="340"/>
      <c r="H13" s="340"/>
      <c r="I13" s="340"/>
      <c r="J13" s="341"/>
    </row>
    <row r="14" spans="1:41" ht="66" customHeight="1" x14ac:dyDescent="0.3">
      <c r="B14" s="214" t="s">
        <v>41</v>
      </c>
      <c r="C14" s="43" t="s">
        <v>42</v>
      </c>
      <c r="D14" s="42" t="s">
        <v>68</v>
      </c>
      <c r="E14" s="42" t="s">
        <v>185</v>
      </c>
      <c r="F14" s="43" t="s">
        <v>186</v>
      </c>
      <c r="G14" s="43" t="s">
        <v>187</v>
      </c>
      <c r="H14" s="52" t="s">
        <v>191</v>
      </c>
      <c r="I14" s="43" t="s">
        <v>188</v>
      </c>
      <c r="J14" s="220" t="s">
        <v>202</v>
      </c>
    </row>
    <row r="15" spans="1:41" ht="15" customHeight="1" x14ac:dyDescent="0.3">
      <c r="B15" s="345" t="s">
        <v>153</v>
      </c>
      <c r="C15" s="300">
        <v>20</v>
      </c>
      <c r="D15" s="303" t="s">
        <v>144</v>
      </c>
      <c r="E15" s="53" t="s">
        <v>69</v>
      </c>
      <c r="F15" s="27">
        <f>+C15*H15</f>
        <v>200</v>
      </c>
      <c r="G15" s="27" t="s">
        <v>71</v>
      </c>
      <c r="H15" s="27">
        <v>10</v>
      </c>
      <c r="I15" s="327">
        <v>15</v>
      </c>
      <c r="J15" s="221">
        <f>+F15*CIF!G13</f>
        <v>1685.1599353796446</v>
      </c>
    </row>
    <row r="16" spans="1:41" ht="15" customHeight="1" x14ac:dyDescent="0.3">
      <c r="B16" s="346"/>
      <c r="C16" s="301"/>
      <c r="D16" s="304"/>
      <c r="E16" s="53" t="s">
        <v>72</v>
      </c>
      <c r="F16" s="27">
        <f>+F15*H16</f>
        <v>100</v>
      </c>
      <c r="G16" s="27" t="s">
        <v>73</v>
      </c>
      <c r="H16" s="27">
        <v>0.5</v>
      </c>
      <c r="I16" s="328"/>
      <c r="J16" s="221">
        <f>+F16*'MATERIA PRIMA'!H22</f>
        <v>1057.9100000000001</v>
      </c>
    </row>
    <row r="17" spans="2:10" ht="15" customHeight="1" x14ac:dyDescent="0.3">
      <c r="B17" s="346"/>
      <c r="C17" s="301"/>
      <c r="D17" s="304"/>
      <c r="E17" s="53" t="s">
        <v>74</v>
      </c>
      <c r="F17" s="27">
        <f>+F15*H17</f>
        <v>100</v>
      </c>
      <c r="G17" s="27" t="s">
        <v>73</v>
      </c>
      <c r="H17" s="27">
        <v>0.5</v>
      </c>
      <c r="I17" s="328"/>
      <c r="J17" s="221">
        <f>+F17*'MATERIA PRIMA'!H21</f>
        <v>672.34999999999991</v>
      </c>
    </row>
    <row r="18" spans="2:10" ht="15" customHeight="1" x14ac:dyDescent="0.3">
      <c r="B18" s="346"/>
      <c r="C18" s="301"/>
      <c r="D18" s="305"/>
      <c r="E18" s="53" t="s">
        <v>75</v>
      </c>
      <c r="F18" s="27">
        <f>+F15*H18</f>
        <v>200</v>
      </c>
      <c r="G18" s="27" t="s">
        <v>73</v>
      </c>
      <c r="H18" s="27">
        <v>1</v>
      </c>
      <c r="I18" s="329"/>
      <c r="J18" s="221">
        <f>+F18*'MATERIA PRIMA'!H20</f>
        <v>1166.2</v>
      </c>
    </row>
    <row r="19" spans="2:10" ht="15" customHeight="1" x14ac:dyDescent="0.3">
      <c r="B19" s="346"/>
      <c r="C19" s="301"/>
      <c r="D19" s="304"/>
      <c r="E19" s="26" t="s">
        <v>49</v>
      </c>
      <c r="F19" s="27">
        <f>+(C15*1000)*H19</f>
        <v>20</v>
      </c>
      <c r="G19" s="27" t="s">
        <v>73</v>
      </c>
      <c r="H19" s="59">
        <v>1E-3</v>
      </c>
      <c r="I19" s="84">
        <v>10</v>
      </c>
      <c r="J19" s="221">
        <f>+F19*'MATERIA PRIMA'!H33</f>
        <v>3158.26</v>
      </c>
    </row>
    <row r="20" spans="2:10" ht="15" customHeight="1" x14ac:dyDescent="0.3">
      <c r="B20" s="346"/>
      <c r="C20" s="301"/>
      <c r="D20" s="305"/>
      <c r="E20" s="53" t="s">
        <v>79</v>
      </c>
      <c r="F20" s="27">
        <f>+F15*H20</f>
        <v>6</v>
      </c>
      <c r="G20" s="27" t="s">
        <v>28</v>
      </c>
      <c r="H20" s="58">
        <v>0.03</v>
      </c>
      <c r="I20" s="27">
        <v>20</v>
      </c>
      <c r="J20" s="223">
        <f>+F20*'MATERIA PRIMA'!H54</f>
        <v>2819.9986920000001</v>
      </c>
    </row>
    <row r="21" spans="2:10" ht="15" customHeight="1" x14ac:dyDescent="0.3">
      <c r="B21" s="346"/>
      <c r="C21" s="301"/>
      <c r="D21" s="303" t="s">
        <v>80</v>
      </c>
      <c r="E21" s="53" t="s">
        <v>204</v>
      </c>
      <c r="F21" s="27">
        <f>+F15*H21</f>
        <v>500</v>
      </c>
      <c r="G21" s="27" t="s">
        <v>73</v>
      </c>
      <c r="H21" s="27">
        <v>2.5</v>
      </c>
      <c r="I21" s="27">
        <v>40</v>
      </c>
      <c r="J21" s="221">
        <f>+F21*'MATERIA PRIMA'!H16</f>
        <v>2647.75</v>
      </c>
    </row>
    <row r="22" spans="2:10" ht="15" customHeight="1" x14ac:dyDescent="0.3">
      <c r="B22" s="346"/>
      <c r="C22" s="301"/>
      <c r="D22" s="305"/>
      <c r="E22" s="53" t="s">
        <v>82</v>
      </c>
      <c r="F22" s="27">
        <f>+F15*H22</f>
        <v>600</v>
      </c>
      <c r="G22" s="27" t="s">
        <v>71</v>
      </c>
      <c r="H22" s="27">
        <v>3</v>
      </c>
      <c r="I22" s="27">
        <v>10</v>
      </c>
      <c r="J22" s="221">
        <f>+F22*CIF!G13</f>
        <v>5055.4798061389338</v>
      </c>
    </row>
    <row r="23" spans="2:10" ht="15" customHeight="1" x14ac:dyDescent="0.3">
      <c r="B23" s="346"/>
      <c r="C23" s="301"/>
      <c r="D23" s="303" t="s">
        <v>146</v>
      </c>
      <c r="E23" s="53" t="s">
        <v>83</v>
      </c>
      <c r="F23" s="27">
        <f>+F15*H23</f>
        <v>200</v>
      </c>
      <c r="G23" s="27" t="s">
        <v>71</v>
      </c>
      <c r="H23" s="27">
        <v>1</v>
      </c>
      <c r="I23" s="27">
        <v>5</v>
      </c>
      <c r="J23" s="221">
        <f>+F23*CIF!G13</f>
        <v>1685.1599353796446</v>
      </c>
    </row>
    <row r="24" spans="2:10" ht="15" customHeight="1" x14ac:dyDescent="0.3">
      <c r="B24" s="346"/>
      <c r="C24" s="301"/>
      <c r="D24" s="304"/>
      <c r="E24" s="53" t="s">
        <v>84</v>
      </c>
      <c r="F24" s="27">
        <f>+F15*H24</f>
        <v>600</v>
      </c>
      <c r="G24" s="27" t="s">
        <v>73</v>
      </c>
      <c r="H24" s="27">
        <v>3</v>
      </c>
      <c r="I24" s="27">
        <v>15</v>
      </c>
      <c r="J24" s="221">
        <f>+F24*'MATERIA PRIMA'!H17</f>
        <v>14280</v>
      </c>
    </row>
    <row r="25" spans="2:10" ht="15" customHeight="1" x14ac:dyDescent="0.3">
      <c r="B25" s="346"/>
      <c r="C25" s="301"/>
      <c r="D25" s="304"/>
      <c r="E25" s="53" t="s">
        <v>82</v>
      </c>
      <c r="F25" s="27">
        <f>+F15*H25</f>
        <v>600</v>
      </c>
      <c r="G25" s="27" t="s">
        <v>71</v>
      </c>
      <c r="H25" s="27">
        <v>3</v>
      </c>
      <c r="I25" s="27">
        <v>15</v>
      </c>
      <c r="J25" s="221">
        <f>+F25*CIF!G13</f>
        <v>5055.4798061389338</v>
      </c>
    </row>
    <row r="26" spans="2:10" ht="15" customHeight="1" x14ac:dyDescent="0.3">
      <c r="B26" s="346"/>
      <c r="C26" s="301"/>
      <c r="D26" s="305"/>
      <c r="E26" s="53" t="s">
        <v>83</v>
      </c>
      <c r="F26" s="27">
        <f>+F15*H26</f>
        <v>100</v>
      </c>
      <c r="G26" s="27" t="s">
        <v>71</v>
      </c>
      <c r="H26" s="27">
        <v>0.5</v>
      </c>
      <c r="I26" s="27">
        <v>5</v>
      </c>
      <c r="J26" s="221">
        <f>+F26*CIF!G13</f>
        <v>842.5799676898223</v>
      </c>
    </row>
    <row r="27" spans="2:10" ht="15" customHeight="1" x14ac:dyDescent="0.3">
      <c r="B27" s="347"/>
      <c r="C27" s="348"/>
      <c r="D27" s="51" t="s">
        <v>142</v>
      </c>
      <c r="E27" s="53" t="s">
        <v>151</v>
      </c>
      <c r="F27" s="27">
        <f>+F15*H27</f>
        <v>100</v>
      </c>
      <c r="G27" s="27" t="s">
        <v>73</v>
      </c>
      <c r="H27" s="27">
        <v>0.5</v>
      </c>
      <c r="I27" s="27">
        <v>15</v>
      </c>
      <c r="J27" s="224">
        <f>+F27*'MATERIA PRIMA'!H15</f>
        <v>3094</v>
      </c>
    </row>
    <row r="28" spans="2:10" ht="15" customHeight="1" thickBot="1" x14ac:dyDescent="0.35">
      <c r="B28" s="342" t="s">
        <v>216</v>
      </c>
      <c r="C28" s="343"/>
      <c r="D28" s="343"/>
      <c r="E28" s="343"/>
      <c r="F28" s="343"/>
      <c r="G28" s="343"/>
      <c r="H28" s="344"/>
      <c r="I28" s="162">
        <f>+SUM(I15:I27)</f>
        <v>150</v>
      </c>
      <c r="J28" s="225">
        <f>+SUM(J15:J27)</f>
        <v>43220.328142726976</v>
      </c>
    </row>
    <row r="29" spans="2:10" ht="15" customHeight="1" thickBot="1" x14ac:dyDescent="0.35">
      <c r="B29" s="66"/>
      <c r="C29" s="66"/>
      <c r="D29" s="66"/>
      <c r="E29" s="66"/>
      <c r="F29" s="66"/>
      <c r="G29" s="66"/>
      <c r="H29" s="66"/>
      <c r="J29" s="67"/>
    </row>
    <row r="30" spans="2:10" ht="15" customHeight="1" x14ac:dyDescent="0.3">
      <c r="B30" s="312" t="s">
        <v>205</v>
      </c>
      <c r="C30" s="313"/>
      <c r="D30" s="313"/>
      <c r="E30" s="313"/>
      <c r="F30" s="313"/>
      <c r="G30" s="313"/>
      <c r="H30" s="314"/>
      <c r="I30" s="78"/>
      <c r="J30" s="78"/>
    </row>
    <row r="31" spans="2:10" ht="15" customHeight="1" x14ac:dyDescent="0.3">
      <c r="B31" s="384" t="s">
        <v>205</v>
      </c>
      <c r="C31" s="385"/>
      <c r="D31" s="98" t="s">
        <v>206</v>
      </c>
      <c r="E31" s="76" t="s">
        <v>207</v>
      </c>
      <c r="F31" s="77" t="s">
        <v>208</v>
      </c>
      <c r="G31" s="76" t="s">
        <v>209</v>
      </c>
      <c r="H31" s="244" t="s">
        <v>87</v>
      </c>
      <c r="J31" s="12"/>
    </row>
    <row r="32" spans="2:10" ht="15" customHeight="1" x14ac:dyDescent="0.3">
      <c r="B32" s="309" t="s">
        <v>210</v>
      </c>
      <c r="C32" s="310"/>
      <c r="D32" s="27">
        <v>1</v>
      </c>
      <c r="E32" s="60" t="s">
        <v>214</v>
      </c>
      <c r="F32" s="62">
        <f>+I28/60</f>
        <v>2.5</v>
      </c>
      <c r="G32" s="93">
        <f>+'MANO OBRA P.'!C35</f>
        <v>28609.121739130438</v>
      </c>
      <c r="H32" s="228">
        <f>D32*F32*G32</f>
        <v>71522.804347826095</v>
      </c>
      <c r="J32" s="12"/>
    </row>
    <row r="33" spans="2:10" ht="15" customHeight="1" x14ac:dyDescent="0.3">
      <c r="B33" s="309" t="s">
        <v>211</v>
      </c>
      <c r="C33" s="310" t="s">
        <v>174</v>
      </c>
      <c r="D33" s="27">
        <v>1</v>
      </c>
      <c r="E33" s="60" t="s">
        <v>214</v>
      </c>
      <c r="F33" s="62">
        <f>+I28/60</f>
        <v>2.5</v>
      </c>
      <c r="G33" s="93">
        <f>+'MANO OBRA P.'!C60</f>
        <v>16728.110869565218</v>
      </c>
      <c r="H33" s="228">
        <f t="shared" ref="H33:H37" si="0">D33*F33*G33</f>
        <v>41820.277173913048</v>
      </c>
      <c r="J33" s="12"/>
    </row>
    <row r="34" spans="2:10" ht="15" customHeight="1" x14ac:dyDescent="0.3">
      <c r="B34" s="309" t="s">
        <v>222</v>
      </c>
      <c r="C34" s="310" t="s">
        <v>174</v>
      </c>
      <c r="D34" s="27">
        <v>1</v>
      </c>
      <c r="E34" s="60" t="s">
        <v>214</v>
      </c>
      <c r="F34" s="62">
        <v>2</v>
      </c>
      <c r="G34" s="93">
        <f>+'MANO OBRA P.'!C85</f>
        <v>13072.415217391304</v>
      </c>
      <c r="H34" s="228">
        <f t="shared" si="0"/>
        <v>26144.830434782609</v>
      </c>
      <c r="J34" s="12"/>
    </row>
    <row r="35" spans="2:10" ht="15" customHeight="1" x14ac:dyDescent="0.3">
      <c r="B35" s="309" t="s">
        <v>212</v>
      </c>
      <c r="C35" s="310" t="s">
        <v>174</v>
      </c>
      <c r="D35" s="27">
        <v>1</v>
      </c>
      <c r="E35" s="60" t="s">
        <v>214</v>
      </c>
      <c r="F35" s="62">
        <v>1</v>
      </c>
      <c r="G35" s="93">
        <f>+'MANO OBRA P.'!C85</f>
        <v>13072.415217391304</v>
      </c>
      <c r="H35" s="228">
        <f t="shared" si="0"/>
        <v>13072.415217391304</v>
      </c>
      <c r="J35" s="12"/>
    </row>
    <row r="36" spans="2:10" ht="15" customHeight="1" x14ac:dyDescent="0.3">
      <c r="B36" s="309" t="s">
        <v>213</v>
      </c>
      <c r="C36" s="310" t="s">
        <v>174</v>
      </c>
      <c r="D36" s="27">
        <v>1</v>
      </c>
      <c r="E36" s="60" t="s">
        <v>214</v>
      </c>
      <c r="F36" s="62">
        <v>1.5</v>
      </c>
      <c r="G36" s="93">
        <f>+'MANO OBRA P.'!C85</f>
        <v>13072.415217391304</v>
      </c>
      <c r="H36" s="228">
        <f t="shared" si="0"/>
        <v>19608.622826086958</v>
      </c>
      <c r="J36" s="12"/>
    </row>
    <row r="37" spans="2:10" ht="15" customHeight="1" x14ac:dyDescent="0.3">
      <c r="B37" s="309" t="s">
        <v>221</v>
      </c>
      <c r="C37" s="310" t="s">
        <v>174</v>
      </c>
      <c r="D37" s="27">
        <v>1</v>
      </c>
      <c r="E37" s="60" t="s">
        <v>214</v>
      </c>
      <c r="F37" s="64">
        <v>1</v>
      </c>
      <c r="G37" s="99">
        <f>+'MANO OBRA P.'!C110</f>
        <v>13986.339130434782</v>
      </c>
      <c r="H37" s="228">
        <f t="shared" si="0"/>
        <v>13986.339130434782</v>
      </c>
      <c r="J37" s="12"/>
    </row>
    <row r="38" spans="2:10" ht="15" customHeight="1" thickBot="1" x14ac:dyDescent="0.35">
      <c r="B38" s="363" t="s">
        <v>215</v>
      </c>
      <c r="C38" s="364"/>
      <c r="D38" s="364"/>
      <c r="E38" s="364"/>
      <c r="F38" s="365"/>
      <c r="G38" s="251"/>
      <c r="H38" s="229">
        <f>SUM(H32:H37)</f>
        <v>186155.2891304348</v>
      </c>
      <c r="J38" s="12"/>
    </row>
    <row r="39" spans="2:10" ht="15" customHeight="1" thickBot="1" x14ac:dyDescent="0.35">
      <c r="B39" s="68"/>
      <c r="C39" s="68"/>
      <c r="D39" s="68"/>
      <c r="E39" s="68"/>
      <c r="F39" s="68"/>
      <c r="G39" s="68"/>
      <c r="I39" s="69"/>
      <c r="J39" s="70"/>
    </row>
    <row r="40" spans="2:10" ht="15" customHeight="1" x14ac:dyDescent="0.3">
      <c r="B40" s="377" t="s">
        <v>219</v>
      </c>
      <c r="C40" s="378"/>
      <c r="D40" s="378"/>
      <c r="E40" s="379"/>
      <c r="F40" s="78"/>
      <c r="G40" s="78"/>
      <c r="H40" s="78"/>
      <c r="I40" s="78"/>
      <c r="J40" s="78"/>
    </row>
    <row r="41" spans="2:10" ht="15" customHeight="1" x14ac:dyDescent="0.3">
      <c r="B41" s="247" t="s">
        <v>217</v>
      </c>
      <c r="C41" s="98" t="s">
        <v>185</v>
      </c>
      <c r="D41" s="76" t="s">
        <v>207</v>
      </c>
      <c r="E41" s="249" t="s">
        <v>208</v>
      </c>
      <c r="G41" s="71"/>
      <c r="H41" s="72"/>
      <c r="J41" s="12"/>
    </row>
    <row r="42" spans="2:10" ht="15" customHeight="1" x14ac:dyDescent="0.3">
      <c r="B42" s="230" t="s">
        <v>88</v>
      </c>
      <c r="C42" s="27" t="s">
        <v>39</v>
      </c>
      <c r="D42" s="60" t="s">
        <v>214</v>
      </c>
      <c r="E42" s="231">
        <f>+F35</f>
        <v>1</v>
      </c>
      <c r="G42" s="73"/>
      <c r="H42" s="74"/>
      <c r="J42" s="12"/>
    </row>
    <row r="43" spans="2:10" ht="15" customHeight="1" x14ac:dyDescent="0.3">
      <c r="B43" s="386" t="s">
        <v>89</v>
      </c>
      <c r="C43" s="27" t="s">
        <v>39</v>
      </c>
      <c r="D43" s="60" t="s">
        <v>214</v>
      </c>
      <c r="E43" s="231">
        <f>+F36</f>
        <v>1.5</v>
      </c>
      <c r="G43" s="73"/>
      <c r="H43" s="74"/>
      <c r="J43" s="12"/>
    </row>
    <row r="44" spans="2:10" ht="15" customHeight="1" x14ac:dyDescent="0.3">
      <c r="B44" s="387"/>
      <c r="C44" s="27" t="s">
        <v>40</v>
      </c>
      <c r="D44" s="60" t="s">
        <v>214</v>
      </c>
      <c r="E44" s="231">
        <f>+F36</f>
        <v>1.5</v>
      </c>
      <c r="G44" s="73"/>
      <c r="H44" s="74"/>
      <c r="J44" s="12"/>
    </row>
    <row r="45" spans="2:10" ht="15" customHeight="1" thickBot="1" x14ac:dyDescent="0.35">
      <c r="B45" s="242" t="s">
        <v>220</v>
      </c>
      <c r="C45" s="162" t="s">
        <v>40</v>
      </c>
      <c r="D45" s="213" t="s">
        <v>214</v>
      </c>
      <c r="E45" s="235">
        <f>+F37</f>
        <v>1</v>
      </c>
      <c r="G45" s="73"/>
      <c r="H45" s="74"/>
      <c r="J45" s="12"/>
    </row>
    <row r="46" spans="2:10" ht="15" customHeight="1" thickBot="1" x14ac:dyDescent="0.35">
      <c r="B46" s="68"/>
      <c r="C46" s="68"/>
      <c r="D46" s="68"/>
      <c r="E46" s="68"/>
      <c r="F46" s="68"/>
      <c r="G46" s="68"/>
      <c r="I46" s="69"/>
      <c r="J46" s="70"/>
    </row>
    <row r="47" spans="2:10" ht="15" customHeight="1" x14ac:dyDescent="0.3">
      <c r="B47" s="360" t="s">
        <v>224</v>
      </c>
      <c r="C47" s="361"/>
      <c r="D47" s="361"/>
      <c r="E47" s="362"/>
      <c r="F47" s="68"/>
      <c r="G47" s="68"/>
      <c r="I47" s="69"/>
      <c r="J47" s="70"/>
    </row>
    <row r="48" spans="2:10" ht="15" customHeight="1" x14ac:dyDescent="0.3">
      <c r="B48" s="214" t="s">
        <v>217</v>
      </c>
      <c r="C48" s="43" t="s">
        <v>223</v>
      </c>
      <c r="D48" s="43" t="s">
        <v>226</v>
      </c>
      <c r="E48" s="236" t="s">
        <v>225</v>
      </c>
      <c r="F48" s="68"/>
      <c r="G48" s="68"/>
      <c r="I48" s="69"/>
      <c r="J48" s="70"/>
    </row>
    <row r="49" spans="2:10" ht="15" customHeight="1" x14ac:dyDescent="0.3">
      <c r="B49" s="227" t="s">
        <v>39</v>
      </c>
      <c r="C49" s="81">
        <f>+I28+E42+E43</f>
        <v>152.5</v>
      </c>
      <c r="D49" s="100" t="s">
        <v>227</v>
      </c>
      <c r="E49" s="237">
        <f>+C49/60</f>
        <v>2.5416666666666665</v>
      </c>
      <c r="F49" s="68"/>
      <c r="G49" s="68"/>
      <c r="I49" s="69"/>
      <c r="J49" s="70"/>
    </row>
    <row r="50" spans="2:10" ht="15" customHeight="1" x14ac:dyDescent="0.3">
      <c r="B50" s="227" t="s">
        <v>40</v>
      </c>
      <c r="C50" s="81">
        <f>+I28+E44+E45</f>
        <v>152.5</v>
      </c>
      <c r="D50" s="100" t="s">
        <v>227</v>
      </c>
      <c r="E50" s="237">
        <f>+C50/60</f>
        <v>2.5416666666666665</v>
      </c>
      <c r="F50" s="68"/>
      <c r="G50" s="68"/>
      <c r="I50" s="69"/>
      <c r="J50" s="70"/>
    </row>
    <row r="51" spans="2:10" ht="15" customHeight="1" x14ac:dyDescent="0.3">
      <c r="B51" s="227" t="s">
        <v>175</v>
      </c>
      <c r="C51" s="81">
        <f>+I28+E42+E43+E44+E45</f>
        <v>155</v>
      </c>
      <c r="D51" s="100" t="s">
        <v>227</v>
      </c>
      <c r="E51" s="237">
        <f>+C51/60</f>
        <v>2.5833333333333335</v>
      </c>
      <c r="F51" s="68"/>
      <c r="G51" s="68"/>
      <c r="I51" s="69"/>
      <c r="J51" s="70"/>
    </row>
    <row r="52" spans="2:10" ht="15" customHeight="1" thickBot="1" x14ac:dyDescent="0.35">
      <c r="B52" s="238" t="s">
        <v>169</v>
      </c>
      <c r="C52" s="239">
        <f>+F15+F22+F23+F25+F26</f>
        <v>1700</v>
      </c>
      <c r="D52" s="213" t="s">
        <v>71</v>
      </c>
      <c r="E52" s="240"/>
      <c r="F52" s="68"/>
      <c r="G52" s="68"/>
      <c r="I52" s="69"/>
      <c r="J52" s="70"/>
    </row>
    <row r="53" spans="2:10" ht="15" customHeight="1" thickBot="1" x14ac:dyDescent="0.35"/>
    <row r="54" spans="2:10" ht="15" customHeight="1" x14ac:dyDescent="0.3">
      <c r="B54" s="312" t="s">
        <v>242</v>
      </c>
      <c r="C54" s="313"/>
      <c r="D54" s="313"/>
      <c r="E54" s="313"/>
      <c r="F54" s="313"/>
      <c r="G54" s="314"/>
      <c r="J54" s="12"/>
    </row>
    <row r="55" spans="2:10" ht="15" customHeight="1" x14ac:dyDescent="0.3">
      <c r="B55" s="214" t="s">
        <v>243</v>
      </c>
      <c r="C55" s="88" t="s">
        <v>206</v>
      </c>
      <c r="D55" s="43" t="s">
        <v>207</v>
      </c>
      <c r="E55" s="42" t="s">
        <v>208</v>
      </c>
      <c r="F55" s="43" t="s">
        <v>228</v>
      </c>
      <c r="G55" s="226" t="s">
        <v>87</v>
      </c>
      <c r="J55" s="12"/>
    </row>
    <row r="56" spans="2:10" ht="15" customHeight="1" x14ac:dyDescent="0.3">
      <c r="B56" s="230" t="s">
        <v>169</v>
      </c>
      <c r="C56" s="82">
        <f>+C52</f>
        <v>1700</v>
      </c>
      <c r="D56" s="60" t="s">
        <v>71</v>
      </c>
      <c r="E56" s="62"/>
      <c r="F56" s="93">
        <f>+CIF!G13</f>
        <v>8.4257996768982224</v>
      </c>
      <c r="G56" s="228">
        <f>+F56*C56</f>
        <v>14323.859450726977</v>
      </c>
      <c r="J56" s="12"/>
    </row>
    <row r="57" spans="2:10" ht="15" customHeight="1" x14ac:dyDescent="0.3">
      <c r="B57" s="230" t="s">
        <v>39</v>
      </c>
      <c r="C57" s="79">
        <f>+C49</f>
        <v>152.5</v>
      </c>
      <c r="D57" s="60" t="s">
        <v>214</v>
      </c>
      <c r="E57" s="62">
        <f>+I28/60</f>
        <v>2.5</v>
      </c>
      <c r="F57" s="93">
        <f>+CIF!G17</f>
        <v>9015.703846153845</v>
      </c>
      <c r="G57" s="228">
        <f>+E57*F57</f>
        <v>22539.259615384613</v>
      </c>
      <c r="J57" s="12"/>
    </row>
    <row r="58" spans="2:10" ht="15" customHeight="1" x14ac:dyDescent="0.3">
      <c r="B58" s="230" t="s">
        <v>40</v>
      </c>
      <c r="C58" s="80">
        <f>+I28+E44+E45</f>
        <v>152.5</v>
      </c>
      <c r="D58" s="60" t="s">
        <v>214</v>
      </c>
      <c r="E58" s="62">
        <f>+E50</f>
        <v>2.5416666666666665</v>
      </c>
      <c r="F58" s="93">
        <f>+CIF!G21</f>
        <v>56187.532051282054</v>
      </c>
      <c r="G58" s="228">
        <f>+E58*F58</f>
        <v>142809.97729700853</v>
      </c>
      <c r="J58" s="12"/>
    </row>
    <row r="59" spans="2:10" ht="15" customHeight="1" x14ac:dyDescent="0.3">
      <c r="B59" s="230" t="s">
        <v>175</v>
      </c>
      <c r="C59" s="80">
        <f>+C51</f>
        <v>155</v>
      </c>
      <c r="D59" s="60" t="s">
        <v>214</v>
      </c>
      <c r="E59" s="62">
        <f>+E51</f>
        <v>2.5833333333333335</v>
      </c>
      <c r="F59" s="93">
        <f>+CIF!F25</f>
        <v>8012.8205128205127</v>
      </c>
      <c r="G59" s="228">
        <f>+E59*F59</f>
        <v>20699.786324786324</v>
      </c>
      <c r="J59" s="12"/>
    </row>
    <row r="60" spans="2:10" ht="15" customHeight="1" thickBot="1" x14ac:dyDescent="0.35">
      <c r="B60" s="363" t="s">
        <v>218</v>
      </c>
      <c r="C60" s="364"/>
      <c r="D60" s="364"/>
      <c r="E60" s="364"/>
      <c r="F60" s="365"/>
      <c r="G60" s="229">
        <f>SUM(G56:G59)</f>
        <v>200372.88268790644</v>
      </c>
    </row>
    <row r="61" spans="2:10" ht="15" customHeight="1" thickBot="1" x14ac:dyDescent="0.35"/>
    <row r="62" spans="2:10" ht="15" customHeight="1" x14ac:dyDescent="0.3">
      <c r="B62" s="312" t="s">
        <v>245</v>
      </c>
      <c r="C62" s="313"/>
      <c r="D62" s="314"/>
    </row>
    <row r="63" spans="2:10" ht="15" customHeight="1" x14ac:dyDescent="0.3">
      <c r="B63" s="356" t="s">
        <v>201</v>
      </c>
      <c r="C63" s="357"/>
      <c r="D63" s="152">
        <f>+J28</f>
        <v>43220.328142726976</v>
      </c>
    </row>
    <row r="64" spans="2:10" ht="15" customHeight="1" x14ac:dyDescent="0.3">
      <c r="B64" s="356" t="s">
        <v>205</v>
      </c>
      <c r="C64" s="357"/>
      <c r="D64" s="152">
        <f>+H38</f>
        <v>186155.2891304348</v>
      </c>
    </row>
    <row r="65" spans="2:4" ht="15" customHeight="1" x14ac:dyDescent="0.3">
      <c r="B65" s="356" t="s">
        <v>242</v>
      </c>
      <c r="C65" s="357"/>
      <c r="D65" s="152">
        <f>+G60</f>
        <v>200372.88268790644</v>
      </c>
    </row>
    <row r="66" spans="2:4" ht="15" customHeight="1" x14ac:dyDescent="0.3">
      <c r="B66" s="356" t="s">
        <v>246</v>
      </c>
      <c r="C66" s="357"/>
      <c r="D66" s="152">
        <f>+D63+D64+D65</f>
        <v>429748.49996106821</v>
      </c>
    </row>
    <row r="67" spans="2:4" ht="15" customHeight="1" x14ac:dyDescent="0.3">
      <c r="B67" s="356" t="s">
        <v>247</v>
      </c>
      <c r="C67" s="357"/>
      <c r="D67" s="241">
        <f>+C15</f>
        <v>20</v>
      </c>
    </row>
    <row r="68" spans="2:4" ht="15" customHeight="1" thickBot="1" x14ac:dyDescent="0.35">
      <c r="B68" s="358" t="s">
        <v>248</v>
      </c>
      <c r="C68" s="359"/>
      <c r="D68" s="225">
        <f>+D66/D67</f>
        <v>21487.424998053411</v>
      </c>
    </row>
    <row r="69" spans="2:4" ht="15" customHeight="1" x14ac:dyDescent="0.3"/>
    <row r="70" spans="2:4" ht="15" customHeight="1" x14ac:dyDescent="0.3"/>
    <row r="71" spans="2:4" ht="15" customHeight="1" x14ac:dyDescent="0.3"/>
    <row r="72" spans="2:4" ht="15" customHeight="1" x14ac:dyDescent="0.3"/>
    <row r="73" spans="2:4" ht="15" customHeight="1" x14ac:dyDescent="0.3"/>
    <row r="74" spans="2:4" ht="15" customHeight="1" x14ac:dyDescent="0.3"/>
    <row r="75" spans="2:4" ht="15" customHeight="1" x14ac:dyDescent="0.3"/>
    <row r="76" spans="2:4" ht="15" customHeight="1" x14ac:dyDescent="0.3"/>
    <row r="77" spans="2:4" ht="15" customHeight="1" x14ac:dyDescent="0.3"/>
    <row r="78" spans="2:4" ht="15" customHeight="1" x14ac:dyDescent="0.3"/>
    <row r="79" spans="2:4" ht="15" customHeight="1" x14ac:dyDescent="0.3"/>
    <row r="80" spans="2:4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112" ht="16.5" customHeight="1" x14ac:dyDescent="0.3"/>
    <row r="137" ht="16.5" customHeight="1" x14ac:dyDescent="0.3"/>
    <row r="218" ht="16.5" customHeight="1" x14ac:dyDescent="0.3"/>
    <row r="236" spans="11:11" x14ac:dyDescent="0.3">
      <c r="K236" s="11"/>
    </row>
    <row r="237" spans="11:11" ht="16.5" customHeight="1" x14ac:dyDescent="0.3">
      <c r="K237" s="11"/>
    </row>
    <row r="238" spans="11:11" x14ac:dyDescent="0.3">
      <c r="K238" s="11"/>
    </row>
    <row r="239" spans="11:11" x14ac:dyDescent="0.3">
      <c r="K239" s="11"/>
    </row>
    <row r="240" spans="11:11" x14ac:dyDescent="0.3">
      <c r="K240" s="11"/>
    </row>
    <row r="241" spans="11:11" x14ac:dyDescent="0.3">
      <c r="K241" s="11"/>
    </row>
    <row r="242" spans="11:11" x14ac:dyDescent="0.3">
      <c r="K242" s="11"/>
    </row>
    <row r="243" spans="11:11" x14ac:dyDescent="0.3">
      <c r="K243" s="11"/>
    </row>
    <row r="244" spans="11:11" x14ac:dyDescent="0.3">
      <c r="K244" s="11"/>
    </row>
    <row r="245" spans="11:11" x14ac:dyDescent="0.3">
      <c r="K245" s="11"/>
    </row>
    <row r="246" spans="11:11" x14ac:dyDescent="0.3">
      <c r="K246" s="11"/>
    </row>
    <row r="247" spans="11:11" x14ac:dyDescent="0.3">
      <c r="K247" s="11"/>
    </row>
    <row r="248" spans="11:11" x14ac:dyDescent="0.3">
      <c r="K248" s="11"/>
    </row>
    <row r="249" spans="11:11" x14ac:dyDescent="0.3">
      <c r="K249" s="11"/>
    </row>
    <row r="250" spans="11:11" x14ac:dyDescent="0.3">
      <c r="K250" s="11"/>
    </row>
    <row r="251" spans="11:11" x14ac:dyDescent="0.3">
      <c r="K251" s="11"/>
    </row>
    <row r="252" spans="11:11" x14ac:dyDescent="0.3">
      <c r="K252" s="11"/>
    </row>
    <row r="253" spans="11:11" x14ac:dyDescent="0.3">
      <c r="K253" s="11"/>
    </row>
    <row r="254" spans="11:11" x14ac:dyDescent="0.3">
      <c r="K254" s="11"/>
    </row>
    <row r="255" spans="11:11" x14ac:dyDescent="0.3">
      <c r="K255" s="11"/>
    </row>
    <row r="256" spans="11:11" x14ac:dyDescent="0.3">
      <c r="K256" s="11"/>
    </row>
    <row r="257" spans="11:11" x14ac:dyDescent="0.3">
      <c r="K257" s="11"/>
    </row>
    <row r="258" spans="11:11" x14ac:dyDescent="0.3">
      <c r="K258" s="11"/>
    </row>
    <row r="259" spans="11:11" x14ac:dyDescent="0.3">
      <c r="K259" s="11"/>
    </row>
    <row r="260" spans="11:11" x14ac:dyDescent="0.3">
      <c r="K260" s="11"/>
    </row>
    <row r="261" spans="11:11" x14ac:dyDescent="0.3">
      <c r="K261" s="11"/>
    </row>
  </sheetData>
  <mergeCells count="32">
    <mergeCell ref="B67:C67"/>
    <mergeCell ref="B68:C68"/>
    <mergeCell ref="B43:B44"/>
    <mergeCell ref="I15:I18"/>
    <mergeCell ref="B60:F60"/>
    <mergeCell ref="B62:D62"/>
    <mergeCell ref="B63:C63"/>
    <mergeCell ref="B64:C64"/>
    <mergeCell ref="B65:C65"/>
    <mergeCell ref="B66:C66"/>
    <mergeCell ref="B35:C35"/>
    <mergeCell ref="B36:C36"/>
    <mergeCell ref="B37:C37"/>
    <mergeCell ref="B30:H30"/>
    <mergeCell ref="B47:E47"/>
    <mergeCell ref="B40:E40"/>
    <mergeCell ref="B38:F38"/>
    <mergeCell ref="B54:G54"/>
    <mergeCell ref="B28:H28"/>
    <mergeCell ref="B31:C31"/>
    <mergeCell ref="B32:C32"/>
    <mergeCell ref="B33:C33"/>
    <mergeCell ref="B34:C34"/>
    <mergeCell ref="B10:I11"/>
    <mergeCell ref="B12:J12"/>
    <mergeCell ref="B13:J13"/>
    <mergeCell ref="B15:B27"/>
    <mergeCell ref="C15:C27"/>
    <mergeCell ref="D15:D18"/>
    <mergeCell ref="D19:D20"/>
    <mergeCell ref="D21:D22"/>
    <mergeCell ref="D23:D26"/>
  </mergeCells>
  <pageMargins left="0.7" right="0.7" top="0.75" bottom="0.75" header="0.3" footer="0.3"/>
  <pageSetup paperSize="9" scale="4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8A3E0-58CB-4C09-B838-B7670A7EBF6F}">
  <sheetPr codeName="Hoja3"/>
  <dimension ref="A1:AT55"/>
  <sheetViews>
    <sheetView showGridLines="0" workbookViewId="0">
      <selection activeCell="B9" sqref="B9:H9"/>
    </sheetView>
  </sheetViews>
  <sheetFormatPr baseColWidth="10" defaultRowHeight="16.5" x14ac:dyDescent="0.3"/>
  <cols>
    <col min="1" max="1" width="11.42578125" style="12"/>
    <col min="2" max="2" width="31.85546875" style="12" customWidth="1"/>
    <col min="3" max="3" width="15.140625" style="12" customWidth="1"/>
    <col min="4" max="4" width="15.42578125" style="12" customWidth="1"/>
    <col min="5" max="5" width="12.5703125" style="12" bestFit="1" customWidth="1"/>
    <col min="6" max="6" width="13.85546875" style="12" customWidth="1"/>
    <col min="7" max="7" width="13.7109375" style="12" customWidth="1"/>
    <col min="8" max="8" width="15" style="12" customWidth="1"/>
    <col min="9" max="9" width="14.28515625" style="12" customWidth="1"/>
    <col min="10" max="16384" width="11.42578125" style="12"/>
  </cols>
  <sheetData>
    <row r="1" spans="1:46" x14ac:dyDescent="0.3">
      <c r="A1" s="169"/>
      <c r="B1" s="169"/>
      <c r="C1" s="170"/>
      <c r="D1" s="170"/>
      <c r="E1" s="170"/>
      <c r="F1" s="170"/>
      <c r="G1" s="170"/>
      <c r="H1" s="171"/>
      <c r="I1" s="19"/>
    </row>
    <row r="2" spans="1:46" x14ac:dyDescent="0.3">
      <c r="A2" s="172"/>
      <c r="B2" s="172"/>
      <c r="H2" s="173"/>
      <c r="I2" s="19"/>
    </row>
    <row r="3" spans="1:46" x14ac:dyDescent="0.3">
      <c r="A3" s="172"/>
      <c r="B3" s="172"/>
      <c r="H3" s="173"/>
      <c r="I3" s="19"/>
    </row>
    <row r="4" spans="1:46" x14ac:dyDescent="0.3">
      <c r="A4" s="172"/>
      <c r="B4" s="172"/>
      <c r="H4" s="173"/>
      <c r="I4" s="19"/>
    </row>
    <row r="5" spans="1:46" x14ac:dyDescent="0.3">
      <c r="A5" s="172"/>
      <c r="B5" s="172"/>
      <c r="H5" s="173"/>
      <c r="I5" s="19"/>
    </row>
    <row r="6" spans="1:46" x14ac:dyDescent="0.3">
      <c r="A6" s="172"/>
      <c r="B6" s="172"/>
      <c r="H6" s="173"/>
      <c r="I6" s="19"/>
    </row>
    <row r="7" spans="1:46" s="46" customFormat="1" ht="17.25" thickBot="1" x14ac:dyDescent="0.35">
      <c r="A7" s="172"/>
      <c r="B7" s="174"/>
      <c r="H7" s="175"/>
      <c r="I7" s="19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</row>
    <row r="8" spans="1:46" ht="17.25" thickBot="1" x14ac:dyDescent="0.35"/>
    <row r="9" spans="1:46" ht="18.75" customHeight="1" x14ac:dyDescent="0.3">
      <c r="B9" s="271" t="s">
        <v>99</v>
      </c>
      <c r="C9" s="272"/>
      <c r="D9" s="272"/>
      <c r="E9" s="272"/>
      <c r="F9" s="272"/>
      <c r="G9" s="272"/>
      <c r="H9" s="273"/>
    </row>
    <row r="10" spans="1:46" s="13" customFormat="1" ht="32.25" x14ac:dyDescent="0.3">
      <c r="B10" s="149" t="s">
        <v>24</v>
      </c>
      <c r="C10" s="22" t="s">
        <v>25</v>
      </c>
      <c r="D10" s="23" t="s">
        <v>26</v>
      </c>
      <c r="E10" s="24" t="s">
        <v>29</v>
      </c>
      <c r="F10" s="25" t="s">
        <v>32</v>
      </c>
      <c r="G10" s="22" t="s">
        <v>46</v>
      </c>
      <c r="H10" s="150" t="s">
        <v>31</v>
      </c>
    </row>
    <row r="11" spans="1:46" x14ac:dyDescent="0.3">
      <c r="B11" s="151" t="s">
        <v>44</v>
      </c>
      <c r="C11" s="27" t="s">
        <v>28</v>
      </c>
      <c r="D11" s="27">
        <v>1</v>
      </c>
      <c r="E11" s="28">
        <v>140000</v>
      </c>
      <c r="F11" s="29">
        <f>+(E11*19%)</f>
        <v>26600</v>
      </c>
      <c r="G11" s="29">
        <f>+E11+F11</f>
        <v>166600</v>
      </c>
      <c r="H11" s="152">
        <f>(G11/30)/1000</f>
        <v>5.5533333333333328</v>
      </c>
    </row>
    <row r="12" spans="1:46" x14ac:dyDescent="0.3">
      <c r="B12" s="151" t="s">
        <v>58</v>
      </c>
      <c r="C12" s="27" t="s">
        <v>28</v>
      </c>
      <c r="D12" s="27">
        <v>1</v>
      </c>
      <c r="E12" s="28">
        <v>14000</v>
      </c>
      <c r="F12" s="31">
        <f>+(E12*19%)</f>
        <v>2660</v>
      </c>
      <c r="G12" s="31">
        <f>+E12+F12</f>
        <v>16660</v>
      </c>
      <c r="H12" s="152">
        <f>+G12/1000</f>
        <v>16.66</v>
      </c>
    </row>
    <row r="13" spans="1:46" x14ac:dyDescent="0.3">
      <c r="B13" s="151" t="s">
        <v>47</v>
      </c>
      <c r="C13" s="27" t="s">
        <v>28</v>
      </c>
      <c r="D13" s="27">
        <v>1</v>
      </c>
      <c r="E13" s="30">
        <v>14400</v>
      </c>
      <c r="F13" s="29">
        <f t="shared" ref="F13:F37" si="0">+(E13*19%)</f>
        <v>2736</v>
      </c>
      <c r="G13" s="29">
        <f t="shared" ref="G13" si="1">+E13+F13</f>
        <v>17136</v>
      </c>
      <c r="H13" s="152">
        <f t="shared" ref="H13:H22" si="2">+G13/1000</f>
        <v>17.135999999999999</v>
      </c>
    </row>
    <row r="14" spans="1:46" x14ac:dyDescent="0.3">
      <c r="B14" s="151" t="s">
        <v>52</v>
      </c>
      <c r="C14" s="27" t="s">
        <v>28</v>
      </c>
      <c r="D14" s="27">
        <v>1</v>
      </c>
      <c r="E14" s="28">
        <v>19500</v>
      </c>
      <c r="F14" s="29">
        <f t="shared" ref="F14:F23" si="3">+(E14*19%)</f>
        <v>3705</v>
      </c>
      <c r="G14" s="29">
        <f t="shared" ref="G14:G23" si="4">+E14+F14</f>
        <v>23205</v>
      </c>
      <c r="H14" s="152">
        <f t="shared" si="2"/>
        <v>23.204999999999998</v>
      </c>
    </row>
    <row r="15" spans="1:46" x14ac:dyDescent="0.3">
      <c r="B15" s="151" t="s">
        <v>53</v>
      </c>
      <c r="C15" s="27" t="s">
        <v>28</v>
      </c>
      <c r="D15" s="27">
        <v>1</v>
      </c>
      <c r="E15" s="28">
        <v>26000</v>
      </c>
      <c r="F15" s="31">
        <f t="shared" si="3"/>
        <v>4940</v>
      </c>
      <c r="G15" s="31">
        <f t="shared" si="4"/>
        <v>30940</v>
      </c>
      <c r="H15" s="152">
        <f t="shared" si="2"/>
        <v>30.94</v>
      </c>
    </row>
    <row r="16" spans="1:46" x14ac:dyDescent="0.3">
      <c r="B16" s="153" t="s">
        <v>34</v>
      </c>
      <c r="C16" s="32" t="s">
        <v>28</v>
      </c>
      <c r="D16" s="33">
        <v>1</v>
      </c>
      <c r="E16" s="34">
        <v>4450</v>
      </c>
      <c r="F16" s="29">
        <f t="shared" si="3"/>
        <v>845.5</v>
      </c>
      <c r="G16" s="29">
        <f t="shared" si="4"/>
        <v>5295.5</v>
      </c>
      <c r="H16" s="152">
        <f t="shared" si="2"/>
        <v>5.2954999999999997</v>
      </c>
    </row>
    <row r="17" spans="2:8" x14ac:dyDescent="0.3">
      <c r="B17" s="153" t="s">
        <v>57</v>
      </c>
      <c r="C17" s="32" t="s">
        <v>28</v>
      </c>
      <c r="D17" s="33">
        <v>1</v>
      </c>
      <c r="E17" s="34">
        <v>20000</v>
      </c>
      <c r="F17" s="29">
        <f t="shared" si="3"/>
        <v>3800</v>
      </c>
      <c r="G17" s="29">
        <f t="shared" si="4"/>
        <v>23800</v>
      </c>
      <c r="H17" s="152">
        <f t="shared" si="2"/>
        <v>23.8</v>
      </c>
    </row>
    <row r="18" spans="2:8" x14ac:dyDescent="0.3">
      <c r="B18" s="153" t="s">
        <v>35</v>
      </c>
      <c r="C18" s="32" t="s">
        <v>28</v>
      </c>
      <c r="D18" s="33">
        <v>1</v>
      </c>
      <c r="E18" s="34">
        <v>17000</v>
      </c>
      <c r="F18" s="29">
        <f t="shared" si="3"/>
        <v>3230</v>
      </c>
      <c r="G18" s="29">
        <f t="shared" si="4"/>
        <v>20230</v>
      </c>
      <c r="H18" s="152">
        <f t="shared" si="2"/>
        <v>20.23</v>
      </c>
    </row>
    <row r="19" spans="2:8" x14ac:dyDescent="0.3">
      <c r="B19" s="154" t="s">
        <v>36</v>
      </c>
      <c r="C19" s="27" t="s">
        <v>28</v>
      </c>
      <c r="D19" s="33">
        <v>1</v>
      </c>
      <c r="E19" s="34">
        <v>18000</v>
      </c>
      <c r="F19" s="29">
        <f t="shared" si="3"/>
        <v>3420</v>
      </c>
      <c r="G19" s="29">
        <f t="shared" si="4"/>
        <v>21420</v>
      </c>
      <c r="H19" s="152">
        <f t="shared" si="2"/>
        <v>21.42</v>
      </c>
    </row>
    <row r="20" spans="2:8" x14ac:dyDescent="0.3">
      <c r="B20" s="153" t="s">
        <v>27</v>
      </c>
      <c r="C20" s="32" t="s">
        <v>28</v>
      </c>
      <c r="D20" s="33">
        <v>1</v>
      </c>
      <c r="E20" s="34">
        <v>4900</v>
      </c>
      <c r="F20" s="29">
        <f t="shared" si="3"/>
        <v>931</v>
      </c>
      <c r="G20" s="29">
        <f t="shared" si="4"/>
        <v>5831</v>
      </c>
      <c r="H20" s="152">
        <f t="shared" si="2"/>
        <v>5.8310000000000004</v>
      </c>
    </row>
    <row r="21" spans="2:8" x14ac:dyDescent="0.3">
      <c r="B21" s="153" t="s">
        <v>33</v>
      </c>
      <c r="C21" s="32" t="s">
        <v>28</v>
      </c>
      <c r="D21" s="33">
        <v>1</v>
      </c>
      <c r="E21" s="34">
        <v>5650</v>
      </c>
      <c r="F21" s="29">
        <f t="shared" si="3"/>
        <v>1073.5</v>
      </c>
      <c r="G21" s="29">
        <f t="shared" si="4"/>
        <v>6723.5</v>
      </c>
      <c r="H21" s="152">
        <f t="shared" si="2"/>
        <v>6.7234999999999996</v>
      </c>
    </row>
    <row r="22" spans="2:8" x14ac:dyDescent="0.3">
      <c r="B22" s="153" t="s">
        <v>114</v>
      </c>
      <c r="C22" s="32" t="s">
        <v>28</v>
      </c>
      <c r="D22" s="33">
        <v>1</v>
      </c>
      <c r="E22" s="34">
        <v>8890</v>
      </c>
      <c r="F22" s="29">
        <f t="shared" si="3"/>
        <v>1689.1</v>
      </c>
      <c r="G22" s="29">
        <f t="shared" si="4"/>
        <v>10579.1</v>
      </c>
      <c r="H22" s="152">
        <f t="shared" si="2"/>
        <v>10.5791</v>
      </c>
    </row>
    <row r="23" spans="2:8" x14ac:dyDescent="0.3">
      <c r="B23" s="151" t="s">
        <v>54</v>
      </c>
      <c r="C23" s="27" t="s">
        <v>28</v>
      </c>
      <c r="D23" s="27">
        <v>1</v>
      </c>
      <c r="E23" s="28">
        <v>120000</v>
      </c>
      <c r="F23" s="29">
        <f t="shared" si="3"/>
        <v>22800</v>
      </c>
      <c r="G23" s="29">
        <f t="shared" si="4"/>
        <v>142800</v>
      </c>
      <c r="H23" s="152">
        <f>(G23/25)/1000</f>
        <v>5.7119999999999997</v>
      </c>
    </row>
    <row r="24" spans="2:8" x14ac:dyDescent="0.3">
      <c r="B24" s="153" t="s">
        <v>101</v>
      </c>
      <c r="C24" s="32" t="s">
        <v>28</v>
      </c>
      <c r="D24" s="33">
        <v>1</v>
      </c>
      <c r="E24" s="34">
        <v>5600</v>
      </c>
      <c r="F24" s="29">
        <f t="shared" ref="F24:F25" si="5">+(E24*19%)</f>
        <v>1064</v>
      </c>
      <c r="G24" s="29">
        <f t="shared" ref="G24:G27" si="6">+E24+F24</f>
        <v>6664</v>
      </c>
      <c r="H24" s="152">
        <f t="shared" ref="H24:H25" si="7">+G24/1000</f>
        <v>6.6639999999999997</v>
      </c>
    </row>
    <row r="25" spans="2:8" x14ac:dyDescent="0.3">
      <c r="B25" s="153" t="s">
        <v>102</v>
      </c>
      <c r="C25" s="32" t="s">
        <v>28</v>
      </c>
      <c r="D25" s="33">
        <v>1</v>
      </c>
      <c r="E25" s="34">
        <v>16000</v>
      </c>
      <c r="F25" s="29">
        <f t="shared" si="5"/>
        <v>3040</v>
      </c>
      <c r="G25" s="29">
        <f t="shared" si="6"/>
        <v>19040</v>
      </c>
      <c r="H25" s="152">
        <f t="shared" si="7"/>
        <v>19.04</v>
      </c>
    </row>
    <row r="26" spans="2:8" x14ac:dyDescent="0.3">
      <c r="B26" s="153" t="s">
        <v>111</v>
      </c>
      <c r="C26" s="32" t="s">
        <v>28</v>
      </c>
      <c r="D26" s="33">
        <v>1</v>
      </c>
      <c r="E26" s="34">
        <v>475000</v>
      </c>
      <c r="F26" s="29">
        <f>+(E26*19%)</f>
        <v>90250</v>
      </c>
      <c r="G26" s="29">
        <f t="shared" si="6"/>
        <v>565250</v>
      </c>
      <c r="H26" s="152">
        <f>(G26/45)/1000</f>
        <v>12.561111111111112</v>
      </c>
    </row>
    <row r="27" spans="2:8" ht="20.25" customHeight="1" thickBot="1" x14ac:dyDescent="0.35">
      <c r="B27" s="155" t="s">
        <v>118</v>
      </c>
      <c r="C27" s="156" t="s">
        <v>28</v>
      </c>
      <c r="D27" s="157">
        <v>1</v>
      </c>
      <c r="E27" s="158">
        <v>130000</v>
      </c>
      <c r="F27" s="159">
        <f t="shared" ref="F27" si="8">+(E27*19%)</f>
        <v>24700</v>
      </c>
      <c r="G27" s="159">
        <f t="shared" si="6"/>
        <v>154700</v>
      </c>
      <c r="H27" s="160">
        <f>(G27/25)/1000</f>
        <v>6.1879999999999997</v>
      </c>
    </row>
    <row r="28" spans="2:8" ht="15" customHeight="1" thickBot="1" x14ac:dyDescent="0.35">
      <c r="B28" s="37"/>
      <c r="C28" s="14"/>
      <c r="D28" s="16"/>
      <c r="E28" s="38"/>
      <c r="F28" s="39"/>
      <c r="G28" s="39"/>
      <c r="H28" s="36"/>
    </row>
    <row r="29" spans="2:8" x14ac:dyDescent="0.3">
      <c r="B29" s="271" t="s">
        <v>100</v>
      </c>
      <c r="C29" s="272"/>
      <c r="D29" s="272"/>
      <c r="E29" s="272"/>
      <c r="F29" s="272"/>
      <c r="G29" s="272"/>
      <c r="H29" s="273"/>
    </row>
    <row r="30" spans="2:8" ht="32.25" x14ac:dyDescent="0.3">
      <c r="B30" s="149" t="s">
        <v>24</v>
      </c>
      <c r="C30" s="22" t="s">
        <v>25</v>
      </c>
      <c r="D30" s="23" t="s">
        <v>26</v>
      </c>
      <c r="E30" s="24" t="s">
        <v>29</v>
      </c>
      <c r="F30" s="25" t="s">
        <v>32</v>
      </c>
      <c r="G30" s="22" t="s">
        <v>46</v>
      </c>
      <c r="H30" s="150" t="s">
        <v>31</v>
      </c>
    </row>
    <row r="31" spans="2:8" x14ac:dyDescent="0.3">
      <c r="B31" s="151" t="s">
        <v>45</v>
      </c>
      <c r="C31" s="27" t="s">
        <v>28</v>
      </c>
      <c r="D31" s="27">
        <v>1</v>
      </c>
      <c r="E31" s="28">
        <v>35800</v>
      </c>
      <c r="F31" s="29">
        <f t="shared" ref="F31:F36" si="9">+(E31*19%)</f>
        <v>6802</v>
      </c>
      <c r="G31" s="29">
        <f t="shared" ref="G31:G36" si="10">+E31+F31</f>
        <v>42602</v>
      </c>
      <c r="H31" s="152">
        <f t="shared" ref="H31:H36" si="11">+G31/1000</f>
        <v>42.601999999999997</v>
      </c>
    </row>
    <row r="32" spans="2:8" x14ac:dyDescent="0.3">
      <c r="B32" s="151" t="s">
        <v>48</v>
      </c>
      <c r="C32" s="27" t="s">
        <v>28</v>
      </c>
      <c r="D32" s="27">
        <v>1</v>
      </c>
      <c r="E32" s="28">
        <v>43700</v>
      </c>
      <c r="F32" s="29">
        <f t="shared" si="9"/>
        <v>8303</v>
      </c>
      <c r="G32" s="29">
        <f t="shared" si="10"/>
        <v>52003</v>
      </c>
      <c r="H32" s="152">
        <f t="shared" si="11"/>
        <v>52.003</v>
      </c>
    </row>
    <row r="33" spans="2:8" x14ac:dyDescent="0.3">
      <c r="B33" s="151" t="s">
        <v>49</v>
      </c>
      <c r="C33" s="27" t="s">
        <v>28</v>
      </c>
      <c r="D33" s="27">
        <v>1</v>
      </c>
      <c r="E33" s="28">
        <v>132700</v>
      </c>
      <c r="F33" s="29">
        <f t="shared" si="9"/>
        <v>25213</v>
      </c>
      <c r="G33" s="29">
        <f t="shared" si="10"/>
        <v>157913</v>
      </c>
      <c r="H33" s="152">
        <f t="shared" si="11"/>
        <v>157.91300000000001</v>
      </c>
    </row>
    <row r="34" spans="2:8" x14ac:dyDescent="0.3">
      <c r="B34" s="151" t="s">
        <v>50</v>
      </c>
      <c r="C34" s="27" t="s">
        <v>28</v>
      </c>
      <c r="D34" s="27">
        <v>1</v>
      </c>
      <c r="E34" s="92">
        <v>112000</v>
      </c>
      <c r="F34" s="29">
        <f t="shared" si="9"/>
        <v>21280</v>
      </c>
      <c r="G34" s="29">
        <f t="shared" si="10"/>
        <v>133280</v>
      </c>
      <c r="H34" s="152">
        <f t="shared" si="11"/>
        <v>133.28</v>
      </c>
    </row>
    <row r="35" spans="2:8" x14ac:dyDescent="0.3">
      <c r="B35" s="151" t="s">
        <v>51</v>
      </c>
      <c r="C35" s="27" t="s">
        <v>28</v>
      </c>
      <c r="D35" s="27">
        <v>1</v>
      </c>
      <c r="E35" s="28">
        <v>119600</v>
      </c>
      <c r="F35" s="29">
        <f t="shared" si="9"/>
        <v>22724</v>
      </c>
      <c r="G35" s="29">
        <f t="shared" si="10"/>
        <v>142324</v>
      </c>
      <c r="H35" s="152">
        <f t="shared" si="11"/>
        <v>142.32400000000001</v>
      </c>
    </row>
    <row r="36" spans="2:8" x14ac:dyDescent="0.3">
      <c r="B36" s="151" t="s">
        <v>103</v>
      </c>
      <c r="C36" s="27" t="s">
        <v>28</v>
      </c>
      <c r="D36" s="27">
        <v>1</v>
      </c>
      <c r="E36" s="28">
        <v>57000</v>
      </c>
      <c r="F36" s="29">
        <f t="shared" si="9"/>
        <v>10830</v>
      </c>
      <c r="G36" s="29">
        <f t="shared" si="10"/>
        <v>67830</v>
      </c>
      <c r="H36" s="152">
        <f t="shared" si="11"/>
        <v>67.83</v>
      </c>
    </row>
    <row r="37" spans="2:8" x14ac:dyDescent="0.3">
      <c r="B37" s="151" t="s">
        <v>55</v>
      </c>
      <c r="C37" s="27" t="s">
        <v>28</v>
      </c>
      <c r="D37" s="27">
        <v>1</v>
      </c>
      <c r="E37" s="28">
        <v>37400</v>
      </c>
      <c r="F37" s="31">
        <f t="shared" si="0"/>
        <v>7106</v>
      </c>
      <c r="G37" s="31">
        <f t="shared" ref="G37" si="12">+E37+F37</f>
        <v>44506</v>
      </c>
      <c r="H37" s="152">
        <f t="shared" ref="H37" si="13">+G37/1000</f>
        <v>44.506</v>
      </c>
    </row>
    <row r="38" spans="2:8" x14ac:dyDescent="0.3">
      <c r="B38" s="151" t="s">
        <v>56</v>
      </c>
      <c r="C38" s="27" t="s">
        <v>28</v>
      </c>
      <c r="D38" s="27">
        <v>1</v>
      </c>
      <c r="E38" s="28">
        <v>56000</v>
      </c>
      <c r="F38" s="31">
        <f>+(E38*19%)</f>
        <v>10640</v>
      </c>
      <c r="G38" s="31">
        <f>+E38+F38</f>
        <v>66640</v>
      </c>
      <c r="H38" s="152">
        <f>+G38/1000</f>
        <v>66.64</v>
      </c>
    </row>
    <row r="39" spans="2:8" x14ac:dyDescent="0.3">
      <c r="B39" s="151" t="s">
        <v>104</v>
      </c>
      <c r="C39" s="27" t="s">
        <v>28</v>
      </c>
      <c r="D39" s="27">
        <v>1</v>
      </c>
      <c r="E39" s="28">
        <v>26000</v>
      </c>
      <c r="F39" s="31">
        <f>+(E39*19%)</f>
        <v>4940</v>
      </c>
      <c r="G39" s="31">
        <f>+E39+F39</f>
        <v>30940</v>
      </c>
      <c r="H39" s="152">
        <f>+G39/1000</f>
        <v>30.94</v>
      </c>
    </row>
    <row r="40" spans="2:8" x14ac:dyDescent="0.3">
      <c r="B40" s="151" t="s">
        <v>105</v>
      </c>
      <c r="C40" s="27" t="s">
        <v>28</v>
      </c>
      <c r="D40" s="27">
        <v>1</v>
      </c>
      <c r="E40" s="28">
        <v>24000</v>
      </c>
      <c r="F40" s="31">
        <f t="shared" ref="F40:F45" si="14">+(E40*19%)</f>
        <v>4560</v>
      </c>
      <c r="G40" s="31">
        <f t="shared" ref="G40:G45" si="15">+E40+F40</f>
        <v>28560</v>
      </c>
      <c r="H40" s="152">
        <f t="shared" ref="H40:H45" si="16">+G40/1000</f>
        <v>28.56</v>
      </c>
    </row>
    <row r="41" spans="2:8" x14ac:dyDescent="0.3">
      <c r="B41" s="153" t="s">
        <v>106</v>
      </c>
      <c r="C41" s="32" t="s">
        <v>28</v>
      </c>
      <c r="D41" s="33">
        <v>1</v>
      </c>
      <c r="E41" s="34">
        <v>26000</v>
      </c>
      <c r="F41" s="31">
        <f t="shared" si="14"/>
        <v>4940</v>
      </c>
      <c r="G41" s="31">
        <f t="shared" si="15"/>
        <v>30940</v>
      </c>
      <c r="H41" s="152">
        <f t="shared" si="16"/>
        <v>30.94</v>
      </c>
    </row>
    <row r="42" spans="2:8" x14ac:dyDescent="0.3">
      <c r="B42" s="151" t="s">
        <v>107</v>
      </c>
      <c r="C42" s="27" t="s">
        <v>28</v>
      </c>
      <c r="D42" s="27">
        <v>1</v>
      </c>
      <c r="E42" s="28">
        <v>32500</v>
      </c>
      <c r="F42" s="31">
        <f t="shared" si="14"/>
        <v>6175</v>
      </c>
      <c r="G42" s="31">
        <f t="shared" si="15"/>
        <v>38675</v>
      </c>
      <c r="H42" s="152">
        <f t="shared" si="16"/>
        <v>38.674999999999997</v>
      </c>
    </row>
    <row r="43" spans="2:8" x14ac:dyDescent="0.3">
      <c r="B43" s="151" t="s">
        <v>108</v>
      </c>
      <c r="C43" s="27" t="s">
        <v>28</v>
      </c>
      <c r="D43" s="27">
        <v>1</v>
      </c>
      <c r="E43" s="28">
        <v>28000</v>
      </c>
      <c r="F43" s="31">
        <f t="shared" si="14"/>
        <v>5320</v>
      </c>
      <c r="G43" s="31">
        <f t="shared" si="15"/>
        <v>33320</v>
      </c>
      <c r="H43" s="152">
        <f t="shared" si="16"/>
        <v>33.32</v>
      </c>
    </row>
    <row r="44" spans="2:8" x14ac:dyDescent="0.3">
      <c r="B44" s="151" t="s">
        <v>109</v>
      </c>
      <c r="C44" s="27" t="s">
        <v>28</v>
      </c>
      <c r="D44" s="27">
        <v>1</v>
      </c>
      <c r="E44" s="28">
        <v>32500</v>
      </c>
      <c r="F44" s="31">
        <f t="shared" si="14"/>
        <v>6175</v>
      </c>
      <c r="G44" s="31">
        <f t="shared" si="15"/>
        <v>38675</v>
      </c>
      <c r="H44" s="152">
        <f t="shared" si="16"/>
        <v>38.674999999999997</v>
      </c>
    </row>
    <row r="45" spans="2:8" x14ac:dyDescent="0.3">
      <c r="B45" s="151" t="s">
        <v>110</v>
      </c>
      <c r="C45" s="27" t="s">
        <v>28</v>
      </c>
      <c r="D45" s="27">
        <v>1</v>
      </c>
      <c r="E45" s="28">
        <v>72000</v>
      </c>
      <c r="F45" s="31">
        <f t="shared" si="14"/>
        <v>13680</v>
      </c>
      <c r="G45" s="31">
        <f t="shared" si="15"/>
        <v>85680</v>
      </c>
      <c r="H45" s="152">
        <f t="shared" si="16"/>
        <v>85.68</v>
      </c>
    </row>
    <row r="46" spans="2:8" x14ac:dyDescent="0.3">
      <c r="B46" s="151" t="s">
        <v>112</v>
      </c>
      <c r="C46" s="27" t="s">
        <v>28</v>
      </c>
      <c r="D46" s="27">
        <v>1</v>
      </c>
      <c r="E46" s="28">
        <v>130000</v>
      </c>
      <c r="F46" s="31">
        <f t="shared" ref="F46:F50" si="17">+(E46*19%)</f>
        <v>24700</v>
      </c>
      <c r="G46" s="31">
        <f t="shared" ref="G46:G50" si="18">+E46+F46</f>
        <v>154700</v>
      </c>
      <c r="H46" s="152">
        <f t="shared" ref="H46:H50" si="19">+G46/1000</f>
        <v>154.69999999999999</v>
      </c>
    </row>
    <row r="47" spans="2:8" x14ac:dyDescent="0.3">
      <c r="B47" s="151" t="s">
        <v>113</v>
      </c>
      <c r="C47" s="27" t="s">
        <v>28</v>
      </c>
      <c r="D47" s="27">
        <v>1</v>
      </c>
      <c r="E47" s="28">
        <v>36900</v>
      </c>
      <c r="F47" s="31">
        <f t="shared" si="17"/>
        <v>7011</v>
      </c>
      <c r="G47" s="31">
        <f t="shared" si="18"/>
        <v>43911</v>
      </c>
      <c r="H47" s="152">
        <f t="shared" si="19"/>
        <v>43.911000000000001</v>
      </c>
    </row>
    <row r="48" spans="2:8" x14ac:dyDescent="0.3">
      <c r="B48" s="151" t="s">
        <v>115</v>
      </c>
      <c r="C48" s="27" t="s">
        <v>28</v>
      </c>
      <c r="D48" s="27">
        <v>1</v>
      </c>
      <c r="E48" s="28">
        <v>69000</v>
      </c>
      <c r="F48" s="31">
        <f t="shared" si="17"/>
        <v>13110</v>
      </c>
      <c r="G48" s="31">
        <f t="shared" si="18"/>
        <v>82110</v>
      </c>
      <c r="H48" s="152">
        <f t="shared" si="19"/>
        <v>82.11</v>
      </c>
    </row>
    <row r="49" spans="2:8" x14ac:dyDescent="0.3">
      <c r="B49" s="151" t="s">
        <v>116</v>
      </c>
      <c r="C49" s="27" t="s">
        <v>28</v>
      </c>
      <c r="D49" s="27">
        <v>1</v>
      </c>
      <c r="E49" s="28">
        <v>37000</v>
      </c>
      <c r="F49" s="31">
        <f t="shared" si="17"/>
        <v>7030</v>
      </c>
      <c r="G49" s="31">
        <f t="shared" si="18"/>
        <v>44030</v>
      </c>
      <c r="H49" s="152">
        <f t="shared" si="19"/>
        <v>44.03</v>
      </c>
    </row>
    <row r="50" spans="2:8" ht="17.25" thickBot="1" x14ac:dyDescent="0.35">
      <c r="B50" s="161" t="s">
        <v>117</v>
      </c>
      <c r="C50" s="162" t="s">
        <v>28</v>
      </c>
      <c r="D50" s="162">
        <v>1</v>
      </c>
      <c r="E50" s="163">
        <v>27000</v>
      </c>
      <c r="F50" s="164">
        <f t="shared" si="17"/>
        <v>5130</v>
      </c>
      <c r="G50" s="164">
        <f t="shared" si="18"/>
        <v>32130</v>
      </c>
      <c r="H50" s="160">
        <f t="shared" si="19"/>
        <v>32.130000000000003</v>
      </c>
    </row>
    <row r="51" spans="2:8" ht="17.25" thickBot="1" x14ac:dyDescent="0.35">
      <c r="C51" s="19"/>
      <c r="D51" s="19"/>
      <c r="E51" s="20"/>
      <c r="F51" s="21"/>
      <c r="G51" s="21"/>
      <c r="H51" s="15"/>
    </row>
    <row r="52" spans="2:8" x14ac:dyDescent="0.3">
      <c r="B52" s="271" t="s">
        <v>43</v>
      </c>
      <c r="C52" s="272"/>
      <c r="D52" s="272"/>
      <c r="E52" s="272"/>
      <c r="F52" s="272"/>
      <c r="G52" s="272"/>
      <c r="H52" s="273"/>
    </row>
    <row r="53" spans="2:8" ht="31.5" x14ac:dyDescent="0.3">
      <c r="B53" s="165" t="s">
        <v>24</v>
      </c>
      <c r="C53" s="23" t="s">
        <v>25</v>
      </c>
      <c r="D53" s="23" t="s">
        <v>26</v>
      </c>
      <c r="E53" s="25" t="s">
        <v>29</v>
      </c>
      <c r="F53" s="25" t="s">
        <v>32</v>
      </c>
      <c r="G53" s="23" t="s">
        <v>30</v>
      </c>
      <c r="H53" s="166" t="s">
        <v>38</v>
      </c>
    </row>
    <row r="54" spans="2:8" ht="33" thickBot="1" x14ac:dyDescent="0.35">
      <c r="B54" s="167" t="s">
        <v>37</v>
      </c>
      <c r="C54" s="156" t="s">
        <v>28</v>
      </c>
      <c r="D54" s="157">
        <v>1</v>
      </c>
      <c r="E54" s="159">
        <v>19747.89</v>
      </c>
      <c r="F54" s="159">
        <f>+(E54*19%)</f>
        <v>3752.0990999999999</v>
      </c>
      <c r="G54" s="159">
        <f>+E54+F54</f>
        <v>23499.989099999999</v>
      </c>
      <c r="H54" s="168">
        <f>+G54/50</f>
        <v>469.99978199999998</v>
      </c>
    </row>
    <row r="55" spans="2:8" x14ac:dyDescent="0.3">
      <c r="B55" s="14"/>
      <c r="C55" s="14"/>
      <c r="D55" s="16"/>
      <c r="E55" s="17"/>
      <c r="F55" s="18"/>
      <c r="G55" s="18"/>
      <c r="H55" s="15"/>
    </row>
  </sheetData>
  <mergeCells count="3">
    <mergeCell ref="B9:H9"/>
    <mergeCell ref="B52:H52"/>
    <mergeCell ref="B29:H29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D5A1C-ABE0-4D1C-ABB7-4CC510ECB3F5}">
  <dimension ref="A1:AT259"/>
  <sheetViews>
    <sheetView showGridLines="0" view="pageBreakPreview" zoomScale="90" zoomScaleNormal="80" zoomScaleSheetLayoutView="90" workbookViewId="0">
      <selection activeCell="L8" sqref="L8"/>
    </sheetView>
  </sheetViews>
  <sheetFormatPr baseColWidth="10" defaultColWidth="11.42578125" defaultRowHeight="16.5" x14ac:dyDescent="0.3"/>
  <cols>
    <col min="1" max="1" width="11.42578125" style="12"/>
    <col min="2" max="2" width="15.140625" style="12" customWidth="1"/>
    <col min="3" max="3" width="17.5703125" style="12" customWidth="1"/>
    <col min="4" max="4" width="15.7109375" style="12" customWidth="1"/>
    <col min="5" max="5" width="23.7109375" style="12" customWidth="1"/>
    <col min="6" max="6" width="13.42578125" style="12" customWidth="1"/>
    <col min="7" max="7" width="12.85546875" style="12" customWidth="1"/>
    <col min="8" max="8" width="14.140625" style="12" customWidth="1"/>
    <col min="9" max="9" width="12.7109375" style="12" customWidth="1"/>
    <col min="10" max="10" width="14.28515625" style="19" customWidth="1"/>
    <col min="11" max="16384" width="11.42578125" style="12"/>
  </cols>
  <sheetData>
    <row r="1" spans="1:46" x14ac:dyDescent="0.3">
      <c r="B1" s="169"/>
      <c r="C1" s="170"/>
      <c r="D1" s="170"/>
      <c r="E1" s="170"/>
      <c r="F1" s="170"/>
      <c r="G1" s="170"/>
      <c r="H1" s="170"/>
      <c r="I1" s="170"/>
      <c r="J1" s="199"/>
    </row>
    <row r="2" spans="1:46" x14ac:dyDescent="0.3">
      <c r="B2" s="172"/>
      <c r="J2" s="200"/>
    </row>
    <row r="3" spans="1:46" x14ac:dyDescent="0.3">
      <c r="B3" s="172"/>
      <c r="J3" s="200"/>
    </row>
    <row r="4" spans="1:46" x14ac:dyDescent="0.3">
      <c r="B4" s="172"/>
      <c r="J4" s="200"/>
    </row>
    <row r="5" spans="1:46" x14ac:dyDescent="0.3">
      <c r="B5" s="172"/>
      <c r="J5" s="200"/>
    </row>
    <row r="6" spans="1:46" x14ac:dyDescent="0.3">
      <c r="B6" s="172"/>
      <c r="J6" s="200"/>
    </row>
    <row r="7" spans="1:46" s="46" customFormat="1" ht="17.25" thickBot="1" x14ac:dyDescent="0.35">
      <c r="A7" s="12"/>
      <c r="B7" s="174"/>
      <c r="J7" s="201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</row>
    <row r="8" spans="1:46" ht="36" customHeight="1" x14ac:dyDescent="0.3">
      <c r="B8" s="339" t="s">
        <v>236</v>
      </c>
      <c r="C8" s="340"/>
      <c r="D8" s="340"/>
      <c r="E8" s="340"/>
      <c r="F8" s="340"/>
      <c r="G8" s="340"/>
      <c r="H8" s="340"/>
      <c r="I8" s="340"/>
      <c r="J8" s="341"/>
    </row>
    <row r="9" spans="1:46" ht="27" customHeight="1" x14ac:dyDescent="0.3">
      <c r="B9" s="339" t="s">
        <v>201</v>
      </c>
      <c r="C9" s="340"/>
      <c r="D9" s="340"/>
      <c r="E9" s="340"/>
      <c r="F9" s="340"/>
      <c r="G9" s="340"/>
      <c r="H9" s="340"/>
      <c r="I9" s="340"/>
      <c r="J9" s="341"/>
    </row>
    <row r="10" spans="1:46" ht="65.25" customHeight="1" x14ac:dyDescent="0.3">
      <c r="B10" s="214" t="s">
        <v>41</v>
      </c>
      <c r="C10" s="43" t="s">
        <v>42</v>
      </c>
      <c r="D10" s="42" t="s">
        <v>68</v>
      </c>
      <c r="E10" s="42" t="s">
        <v>185</v>
      </c>
      <c r="F10" s="43" t="s">
        <v>186</v>
      </c>
      <c r="G10" s="43" t="s">
        <v>187</v>
      </c>
      <c r="H10" s="52" t="s">
        <v>191</v>
      </c>
      <c r="I10" s="43" t="s">
        <v>188</v>
      </c>
      <c r="J10" s="220" t="s">
        <v>202</v>
      </c>
    </row>
    <row r="11" spans="1:46" ht="15" customHeight="1" x14ac:dyDescent="0.3">
      <c r="B11" s="345" t="s">
        <v>153</v>
      </c>
      <c r="C11" s="300">
        <v>20</v>
      </c>
      <c r="D11" s="303" t="s">
        <v>144</v>
      </c>
      <c r="E11" s="53" t="s">
        <v>69</v>
      </c>
      <c r="F11" s="27">
        <f>+C11*H11</f>
        <v>200</v>
      </c>
      <c r="G11" s="27" t="s">
        <v>71</v>
      </c>
      <c r="H11" s="27">
        <v>10</v>
      </c>
      <c r="I11" s="369">
        <v>15</v>
      </c>
      <c r="J11" s="221">
        <f>+F11*CIF!G13</f>
        <v>1685.1599353796446</v>
      </c>
    </row>
    <row r="12" spans="1:46" ht="15" customHeight="1" x14ac:dyDescent="0.3">
      <c r="B12" s="346"/>
      <c r="C12" s="301"/>
      <c r="D12" s="304"/>
      <c r="E12" s="53" t="s">
        <v>72</v>
      </c>
      <c r="F12" s="27">
        <f>+F11*H12</f>
        <v>100</v>
      </c>
      <c r="G12" s="27" t="s">
        <v>73</v>
      </c>
      <c r="H12" s="27">
        <v>0.5</v>
      </c>
      <c r="I12" s="370"/>
      <c r="J12" s="221">
        <f>+F12*'MATERIA PRIMA'!H22</f>
        <v>1057.9100000000001</v>
      </c>
    </row>
    <row r="13" spans="1:46" ht="15" customHeight="1" x14ac:dyDescent="0.3">
      <c r="B13" s="346"/>
      <c r="C13" s="301"/>
      <c r="D13" s="304"/>
      <c r="E13" s="53" t="s">
        <v>74</v>
      </c>
      <c r="F13" s="27">
        <f>+F11*H13</f>
        <v>100</v>
      </c>
      <c r="G13" s="27" t="s">
        <v>73</v>
      </c>
      <c r="H13" s="27">
        <v>0.5</v>
      </c>
      <c r="I13" s="370"/>
      <c r="J13" s="221">
        <f>+F13*'MATERIA PRIMA'!H21</f>
        <v>672.34999999999991</v>
      </c>
    </row>
    <row r="14" spans="1:46" ht="15" customHeight="1" x14ac:dyDescent="0.3">
      <c r="B14" s="346"/>
      <c r="C14" s="301"/>
      <c r="D14" s="305"/>
      <c r="E14" s="53" t="s">
        <v>75</v>
      </c>
      <c r="F14" s="27">
        <f>+F11*H14</f>
        <v>200</v>
      </c>
      <c r="G14" s="27" t="s">
        <v>73</v>
      </c>
      <c r="H14" s="27">
        <v>1</v>
      </c>
      <c r="I14" s="371"/>
      <c r="J14" s="221">
        <f>+F14*'MATERIA PRIMA'!H20</f>
        <v>1166.2</v>
      </c>
    </row>
    <row r="15" spans="1:46" ht="15" customHeight="1" x14ac:dyDescent="0.3">
      <c r="B15" s="346"/>
      <c r="C15" s="301"/>
      <c r="D15" s="303" t="s">
        <v>77</v>
      </c>
      <c r="E15" s="26" t="s">
        <v>147</v>
      </c>
      <c r="F15" s="27">
        <f>+(C11*1000)*H15</f>
        <v>9.6</v>
      </c>
      <c r="G15" s="27" t="s">
        <v>73</v>
      </c>
      <c r="H15" s="59">
        <v>4.8000000000000001E-4</v>
      </c>
      <c r="I15" s="369">
        <v>10</v>
      </c>
      <c r="J15" s="221">
        <f>+F15*'MATERIA PRIMA'!H47</f>
        <v>421.54559999999998</v>
      </c>
    </row>
    <row r="16" spans="1:46" ht="15" customHeight="1" x14ac:dyDescent="0.3">
      <c r="B16" s="346"/>
      <c r="C16" s="301"/>
      <c r="D16" s="304"/>
      <c r="E16" s="26" t="s">
        <v>49</v>
      </c>
      <c r="F16" s="27">
        <f>+(C11*1000)*H16</f>
        <v>7.8</v>
      </c>
      <c r="G16" s="27" t="s">
        <v>73</v>
      </c>
      <c r="H16" s="59">
        <v>3.8999999999999999E-4</v>
      </c>
      <c r="I16" s="370"/>
      <c r="J16" s="221">
        <f>+F16*'MATERIA PRIMA'!H33</f>
        <v>1231.7214000000001</v>
      </c>
    </row>
    <row r="17" spans="2:10" ht="15" customHeight="1" x14ac:dyDescent="0.3">
      <c r="B17" s="346"/>
      <c r="C17" s="301"/>
      <c r="D17" s="304"/>
      <c r="E17" s="26" t="s">
        <v>149</v>
      </c>
      <c r="F17" s="27">
        <f>+(C11*1000)*H17</f>
        <v>5.4</v>
      </c>
      <c r="G17" s="27" t="s">
        <v>73</v>
      </c>
      <c r="H17" s="59">
        <v>2.7E-4</v>
      </c>
      <c r="I17" s="371"/>
      <c r="J17" s="222">
        <f>+F17*'MATERIA PRIMA'!H32</f>
        <v>280.81620000000004</v>
      </c>
    </row>
    <row r="18" spans="2:10" ht="15" customHeight="1" x14ac:dyDescent="0.3">
      <c r="B18" s="346"/>
      <c r="C18" s="301"/>
      <c r="D18" s="305"/>
      <c r="E18" s="53" t="s">
        <v>79</v>
      </c>
      <c r="F18" s="27">
        <f>+F11*H18</f>
        <v>6</v>
      </c>
      <c r="G18" s="27" t="s">
        <v>28</v>
      </c>
      <c r="H18" s="58">
        <v>0.03</v>
      </c>
      <c r="I18" s="27">
        <v>20</v>
      </c>
      <c r="J18" s="223">
        <f>+F18*'MATERIA PRIMA'!H54</f>
        <v>2819.9986920000001</v>
      </c>
    </row>
    <row r="19" spans="2:10" ht="15" customHeight="1" x14ac:dyDescent="0.3">
      <c r="B19" s="346"/>
      <c r="C19" s="301"/>
      <c r="D19" s="303" t="s">
        <v>80</v>
      </c>
      <c r="E19" s="53" t="s">
        <v>204</v>
      </c>
      <c r="F19" s="27">
        <f>+F11*H19</f>
        <v>500</v>
      </c>
      <c r="G19" s="27" t="s">
        <v>73</v>
      </c>
      <c r="H19" s="27">
        <v>2.5</v>
      </c>
      <c r="I19" s="27">
        <v>40</v>
      </c>
      <c r="J19" s="221">
        <f>+F19*'MATERIA PRIMA'!H16</f>
        <v>2647.75</v>
      </c>
    </row>
    <row r="20" spans="2:10" ht="15" customHeight="1" x14ac:dyDescent="0.3">
      <c r="B20" s="346"/>
      <c r="C20" s="301"/>
      <c r="D20" s="305"/>
      <c r="E20" s="53" t="s">
        <v>82</v>
      </c>
      <c r="F20" s="27">
        <f>+F11*H20</f>
        <v>600</v>
      </c>
      <c r="G20" s="27" t="s">
        <v>71</v>
      </c>
      <c r="H20" s="27">
        <v>3</v>
      </c>
      <c r="I20" s="27">
        <v>10</v>
      </c>
      <c r="J20" s="221">
        <f>+F20*CIF!G13</f>
        <v>5055.4798061389338</v>
      </c>
    </row>
    <row r="21" spans="2:10" ht="15" customHeight="1" x14ac:dyDescent="0.3">
      <c r="B21" s="346"/>
      <c r="C21" s="301"/>
      <c r="D21" s="303" t="s">
        <v>146</v>
      </c>
      <c r="E21" s="53" t="s">
        <v>83</v>
      </c>
      <c r="F21" s="27">
        <f>+F11*H21</f>
        <v>200</v>
      </c>
      <c r="G21" s="27" t="s">
        <v>71</v>
      </c>
      <c r="H21" s="27">
        <v>1</v>
      </c>
      <c r="I21" s="27">
        <v>5</v>
      </c>
      <c r="J21" s="221">
        <f>+F21*CIF!G13</f>
        <v>1685.1599353796446</v>
      </c>
    </row>
    <row r="22" spans="2:10" ht="15" customHeight="1" x14ac:dyDescent="0.3">
      <c r="B22" s="346"/>
      <c r="C22" s="301"/>
      <c r="D22" s="304"/>
      <c r="E22" s="53" t="s">
        <v>84</v>
      </c>
      <c r="F22" s="27">
        <f>+F11*H22</f>
        <v>600</v>
      </c>
      <c r="G22" s="27" t="s">
        <v>73</v>
      </c>
      <c r="H22" s="27">
        <v>3</v>
      </c>
      <c r="I22" s="27">
        <v>15</v>
      </c>
      <c r="J22" s="221">
        <f>+F22*'MATERIA PRIMA'!H17</f>
        <v>14280</v>
      </c>
    </row>
    <row r="23" spans="2:10" ht="15" customHeight="1" x14ac:dyDescent="0.3">
      <c r="B23" s="346"/>
      <c r="C23" s="301"/>
      <c r="D23" s="304"/>
      <c r="E23" s="53" t="s">
        <v>82</v>
      </c>
      <c r="F23" s="27">
        <f>+F11*H23</f>
        <v>600</v>
      </c>
      <c r="G23" s="27" t="s">
        <v>71</v>
      </c>
      <c r="H23" s="27">
        <v>3</v>
      </c>
      <c r="I23" s="27">
        <v>15</v>
      </c>
      <c r="J23" s="221">
        <f>+F23*CIF!G13</f>
        <v>5055.4798061389338</v>
      </c>
    </row>
    <row r="24" spans="2:10" ht="15" customHeight="1" x14ac:dyDescent="0.3">
      <c r="B24" s="346"/>
      <c r="C24" s="301"/>
      <c r="D24" s="305"/>
      <c r="E24" s="53" t="s">
        <v>83</v>
      </c>
      <c r="F24" s="27">
        <f>+F11*H24</f>
        <v>100</v>
      </c>
      <c r="G24" s="27" t="s">
        <v>71</v>
      </c>
      <c r="H24" s="27">
        <v>0.5</v>
      </c>
      <c r="I24" s="27">
        <v>5</v>
      </c>
      <c r="J24" s="221">
        <f>+F24*CIF!G13</f>
        <v>842.5799676898223</v>
      </c>
    </row>
    <row r="25" spans="2:10" ht="15" customHeight="1" x14ac:dyDescent="0.3">
      <c r="B25" s="347"/>
      <c r="C25" s="348"/>
      <c r="D25" s="51" t="s">
        <v>142</v>
      </c>
      <c r="E25" s="53" t="s">
        <v>151</v>
      </c>
      <c r="F25" s="27">
        <f>+F11*H25</f>
        <v>100</v>
      </c>
      <c r="G25" s="27" t="s">
        <v>73</v>
      </c>
      <c r="H25" s="27">
        <v>0.5</v>
      </c>
      <c r="I25" s="27">
        <v>15</v>
      </c>
      <c r="J25" s="224">
        <f>+F25*'MATERIA PRIMA'!H15</f>
        <v>3094</v>
      </c>
    </row>
    <row r="26" spans="2:10" ht="15" customHeight="1" thickBot="1" x14ac:dyDescent="0.35">
      <c r="B26" s="342" t="s">
        <v>216</v>
      </c>
      <c r="C26" s="343"/>
      <c r="D26" s="343"/>
      <c r="E26" s="343"/>
      <c r="F26" s="343"/>
      <c r="G26" s="343"/>
      <c r="H26" s="344"/>
      <c r="I26" s="162">
        <f>+SUM(I11:I25)</f>
        <v>150</v>
      </c>
      <c r="J26" s="225">
        <f>+SUM(J11:J25)</f>
        <v>41996.151342726975</v>
      </c>
    </row>
    <row r="27" spans="2:10" ht="15" customHeight="1" thickBot="1" x14ac:dyDescent="0.35">
      <c r="B27" s="66"/>
      <c r="C27" s="66"/>
      <c r="D27" s="66"/>
      <c r="E27" s="66"/>
      <c r="F27" s="66"/>
      <c r="G27" s="66"/>
      <c r="H27" s="66"/>
      <c r="J27" s="67"/>
    </row>
    <row r="28" spans="2:10" ht="15" customHeight="1" x14ac:dyDescent="0.3">
      <c r="B28" s="312" t="s">
        <v>205</v>
      </c>
      <c r="C28" s="313"/>
      <c r="D28" s="313"/>
      <c r="E28" s="313"/>
      <c r="F28" s="313"/>
      <c r="G28" s="313"/>
      <c r="H28" s="314"/>
      <c r="I28" s="78"/>
      <c r="J28" s="78"/>
    </row>
    <row r="29" spans="2:10" ht="15" customHeight="1" x14ac:dyDescent="0.3">
      <c r="B29" s="247" t="s">
        <v>205</v>
      </c>
      <c r="C29" s="96"/>
      <c r="D29" s="75" t="s">
        <v>206</v>
      </c>
      <c r="E29" s="76" t="s">
        <v>207</v>
      </c>
      <c r="F29" s="77" t="s">
        <v>208</v>
      </c>
      <c r="G29" s="76" t="s">
        <v>209</v>
      </c>
      <c r="H29" s="244" t="s">
        <v>87</v>
      </c>
      <c r="J29" s="12"/>
    </row>
    <row r="30" spans="2:10" ht="15" customHeight="1" x14ac:dyDescent="0.3">
      <c r="B30" s="309" t="s">
        <v>210</v>
      </c>
      <c r="C30" s="310"/>
      <c r="D30" s="27">
        <v>1</v>
      </c>
      <c r="E30" s="60" t="s">
        <v>214</v>
      </c>
      <c r="F30" s="62">
        <f>+I26/60</f>
        <v>2.5</v>
      </c>
      <c r="G30" s="93">
        <f>+'MANO OBRA P.'!C35</f>
        <v>28609.121739130438</v>
      </c>
      <c r="H30" s="228">
        <f>D30*F30*G30</f>
        <v>71522.804347826095</v>
      </c>
      <c r="J30" s="12"/>
    </row>
    <row r="31" spans="2:10" ht="15" customHeight="1" x14ac:dyDescent="0.3">
      <c r="B31" s="309" t="s">
        <v>211</v>
      </c>
      <c r="C31" s="310" t="s">
        <v>174</v>
      </c>
      <c r="D31" s="27">
        <v>1</v>
      </c>
      <c r="E31" s="60" t="s">
        <v>214</v>
      </c>
      <c r="F31" s="62">
        <f>+I26/60</f>
        <v>2.5</v>
      </c>
      <c r="G31" s="93">
        <f>+'MANO OBRA P.'!C60</f>
        <v>16728.110869565218</v>
      </c>
      <c r="H31" s="228">
        <f t="shared" ref="H31:H35" si="0">D31*F31*G31</f>
        <v>41820.277173913048</v>
      </c>
      <c r="J31" s="12"/>
    </row>
    <row r="32" spans="2:10" ht="15" customHeight="1" x14ac:dyDescent="0.3">
      <c r="B32" s="309" t="s">
        <v>222</v>
      </c>
      <c r="C32" s="310" t="s">
        <v>174</v>
      </c>
      <c r="D32" s="27">
        <v>1</v>
      </c>
      <c r="E32" s="60" t="s">
        <v>214</v>
      </c>
      <c r="F32" s="62">
        <v>2</v>
      </c>
      <c r="G32" s="93">
        <f>+'MANO OBRA P.'!C85</f>
        <v>13072.415217391304</v>
      </c>
      <c r="H32" s="228">
        <f t="shared" si="0"/>
        <v>26144.830434782609</v>
      </c>
      <c r="J32" s="12"/>
    </row>
    <row r="33" spans="2:10" ht="15" customHeight="1" x14ac:dyDescent="0.3">
      <c r="B33" s="309" t="s">
        <v>212</v>
      </c>
      <c r="C33" s="310" t="s">
        <v>174</v>
      </c>
      <c r="D33" s="27">
        <v>1</v>
      </c>
      <c r="E33" s="60" t="s">
        <v>214</v>
      </c>
      <c r="F33" s="62">
        <v>1</v>
      </c>
      <c r="G33" s="93">
        <f>+'MANO OBRA P.'!C85</f>
        <v>13072.415217391304</v>
      </c>
      <c r="H33" s="228">
        <f t="shared" si="0"/>
        <v>13072.415217391304</v>
      </c>
      <c r="J33" s="12"/>
    </row>
    <row r="34" spans="2:10" ht="15" customHeight="1" x14ac:dyDescent="0.3">
      <c r="B34" s="309" t="s">
        <v>213</v>
      </c>
      <c r="C34" s="310" t="s">
        <v>174</v>
      </c>
      <c r="D34" s="27">
        <v>1</v>
      </c>
      <c r="E34" s="60" t="s">
        <v>214</v>
      </c>
      <c r="F34" s="62">
        <v>1.5</v>
      </c>
      <c r="G34" s="93">
        <f>+'MANO OBRA P.'!C85</f>
        <v>13072.415217391304</v>
      </c>
      <c r="H34" s="228">
        <f t="shared" si="0"/>
        <v>19608.622826086958</v>
      </c>
      <c r="J34" s="12"/>
    </row>
    <row r="35" spans="2:10" ht="15" customHeight="1" x14ac:dyDescent="0.3">
      <c r="B35" s="309" t="s">
        <v>221</v>
      </c>
      <c r="C35" s="310" t="s">
        <v>174</v>
      </c>
      <c r="D35" s="27">
        <v>1</v>
      </c>
      <c r="E35" s="60" t="s">
        <v>214</v>
      </c>
      <c r="F35" s="64">
        <v>1</v>
      </c>
      <c r="G35" s="99">
        <f>+'MANO OBRA P.'!C110</f>
        <v>13986.339130434782</v>
      </c>
      <c r="H35" s="228">
        <f t="shared" si="0"/>
        <v>13986.339130434782</v>
      </c>
      <c r="J35" s="12"/>
    </row>
    <row r="36" spans="2:10" ht="15" customHeight="1" thickBot="1" x14ac:dyDescent="0.35">
      <c r="B36" s="242" t="s">
        <v>215</v>
      </c>
      <c r="C36" s="248"/>
      <c r="D36" s="248"/>
      <c r="E36" s="248"/>
      <c r="F36" s="248"/>
      <c r="G36" s="251"/>
      <c r="H36" s="229">
        <f>SUM(H30:H35)</f>
        <v>186155.2891304348</v>
      </c>
      <c r="J36" s="12"/>
    </row>
    <row r="37" spans="2:10" ht="15" customHeight="1" thickBot="1" x14ac:dyDescent="0.35">
      <c r="B37" s="68"/>
      <c r="C37" s="68"/>
      <c r="D37" s="68"/>
      <c r="E37" s="68"/>
      <c r="F37" s="68"/>
      <c r="G37" s="68"/>
      <c r="I37" s="69"/>
      <c r="J37" s="70"/>
    </row>
    <row r="38" spans="2:10" ht="15" customHeight="1" x14ac:dyDescent="0.3">
      <c r="B38" s="312" t="s">
        <v>219</v>
      </c>
      <c r="C38" s="313"/>
      <c r="D38" s="313"/>
      <c r="E38" s="314"/>
      <c r="F38" s="78"/>
      <c r="G38" s="78"/>
      <c r="H38" s="78"/>
      <c r="I38" s="78"/>
      <c r="J38" s="78"/>
    </row>
    <row r="39" spans="2:10" ht="15" customHeight="1" x14ac:dyDescent="0.3">
      <c r="B39" s="250" t="s">
        <v>217</v>
      </c>
      <c r="C39" s="75" t="s">
        <v>185</v>
      </c>
      <c r="D39" s="76" t="s">
        <v>207</v>
      </c>
      <c r="E39" s="249" t="s">
        <v>208</v>
      </c>
      <c r="G39" s="71"/>
      <c r="H39" s="72"/>
      <c r="J39" s="12"/>
    </row>
    <row r="40" spans="2:10" ht="15" customHeight="1" x14ac:dyDescent="0.3">
      <c r="B40" s="230" t="s">
        <v>88</v>
      </c>
      <c r="C40" s="27" t="s">
        <v>39</v>
      </c>
      <c r="D40" s="60" t="s">
        <v>214</v>
      </c>
      <c r="E40" s="231">
        <f>+F33</f>
        <v>1</v>
      </c>
      <c r="G40" s="73"/>
      <c r="H40" s="74"/>
      <c r="J40" s="12"/>
    </row>
    <row r="41" spans="2:10" ht="15" customHeight="1" x14ac:dyDescent="0.3">
      <c r="B41" s="375" t="s">
        <v>89</v>
      </c>
      <c r="C41" s="27" t="s">
        <v>39</v>
      </c>
      <c r="D41" s="60" t="s">
        <v>214</v>
      </c>
      <c r="E41" s="231">
        <f>+F34</f>
        <v>1.5</v>
      </c>
      <c r="G41" s="73"/>
      <c r="H41" s="74"/>
      <c r="J41" s="12"/>
    </row>
    <row r="42" spans="2:10" ht="15" customHeight="1" x14ac:dyDescent="0.3">
      <c r="B42" s="376"/>
      <c r="C42" s="27" t="s">
        <v>40</v>
      </c>
      <c r="D42" s="60" t="s">
        <v>214</v>
      </c>
      <c r="E42" s="231">
        <f>+F34</f>
        <v>1.5</v>
      </c>
      <c r="G42" s="73"/>
      <c r="H42" s="74"/>
      <c r="J42" s="12"/>
    </row>
    <row r="43" spans="2:10" ht="15" customHeight="1" thickBot="1" x14ac:dyDescent="0.35">
      <c r="B43" s="242" t="s">
        <v>220</v>
      </c>
      <c r="C43" s="162" t="s">
        <v>40</v>
      </c>
      <c r="D43" s="213" t="s">
        <v>214</v>
      </c>
      <c r="E43" s="235">
        <f>+F35</f>
        <v>1</v>
      </c>
      <c r="G43" s="73"/>
      <c r="H43" s="74"/>
      <c r="J43" s="12"/>
    </row>
    <row r="44" spans="2:10" ht="15" customHeight="1" thickBot="1" x14ac:dyDescent="0.35">
      <c r="B44" s="68"/>
      <c r="C44" s="68"/>
      <c r="D44" s="68"/>
      <c r="E44" s="68"/>
      <c r="F44" s="68"/>
      <c r="G44" s="68"/>
      <c r="I44" s="69"/>
      <c r="J44" s="70"/>
    </row>
    <row r="45" spans="2:10" ht="15" customHeight="1" x14ac:dyDescent="0.3">
      <c r="B45" s="360" t="s">
        <v>224</v>
      </c>
      <c r="C45" s="361"/>
      <c r="D45" s="361"/>
      <c r="E45" s="362"/>
      <c r="F45" s="68"/>
      <c r="G45" s="68"/>
      <c r="I45" s="69"/>
      <c r="J45" s="70"/>
    </row>
    <row r="46" spans="2:10" ht="15" customHeight="1" x14ac:dyDescent="0.3">
      <c r="B46" s="214" t="s">
        <v>217</v>
      </c>
      <c r="C46" s="43" t="s">
        <v>223</v>
      </c>
      <c r="D46" s="43" t="s">
        <v>226</v>
      </c>
      <c r="E46" s="236" t="s">
        <v>225</v>
      </c>
      <c r="F46" s="68"/>
      <c r="G46" s="68"/>
      <c r="I46" s="69"/>
      <c r="J46" s="70"/>
    </row>
    <row r="47" spans="2:10" ht="15" customHeight="1" x14ac:dyDescent="0.3">
      <c r="B47" s="227" t="s">
        <v>39</v>
      </c>
      <c r="C47" s="81">
        <f>+I26+E40+E41</f>
        <v>152.5</v>
      </c>
      <c r="D47" s="100" t="s">
        <v>227</v>
      </c>
      <c r="E47" s="237">
        <f>+C47/60</f>
        <v>2.5416666666666665</v>
      </c>
      <c r="F47" s="68"/>
      <c r="G47" s="68"/>
      <c r="I47" s="69"/>
      <c r="J47" s="70"/>
    </row>
    <row r="48" spans="2:10" ht="15" customHeight="1" x14ac:dyDescent="0.3">
      <c r="B48" s="227" t="s">
        <v>40</v>
      </c>
      <c r="C48" s="81">
        <f>+I26+E42+E43</f>
        <v>152.5</v>
      </c>
      <c r="D48" s="100" t="s">
        <v>227</v>
      </c>
      <c r="E48" s="237">
        <f t="shared" ref="E48:E49" si="1">+C48/60</f>
        <v>2.5416666666666665</v>
      </c>
      <c r="F48" s="68"/>
      <c r="G48" s="68"/>
      <c r="I48" s="69"/>
      <c r="J48" s="70"/>
    </row>
    <row r="49" spans="2:10" ht="15" customHeight="1" x14ac:dyDescent="0.3">
      <c r="B49" s="227" t="s">
        <v>175</v>
      </c>
      <c r="C49" s="81">
        <f>+I26+E40+E41+E42+E43</f>
        <v>155</v>
      </c>
      <c r="D49" s="100" t="s">
        <v>227</v>
      </c>
      <c r="E49" s="237">
        <f t="shared" si="1"/>
        <v>2.5833333333333335</v>
      </c>
      <c r="F49" s="68"/>
      <c r="G49" s="68"/>
      <c r="I49" s="69"/>
      <c r="J49" s="70"/>
    </row>
    <row r="50" spans="2:10" ht="15" customHeight="1" thickBot="1" x14ac:dyDescent="0.35">
      <c r="B50" s="238" t="s">
        <v>169</v>
      </c>
      <c r="C50" s="239">
        <f>+F11+F20+F21+F23+F24</f>
        <v>1700</v>
      </c>
      <c r="D50" s="213" t="s">
        <v>71</v>
      </c>
      <c r="E50" s="240"/>
      <c r="F50" s="68"/>
      <c r="G50" s="68"/>
      <c r="I50" s="69"/>
      <c r="J50" s="70"/>
    </row>
    <row r="51" spans="2:10" ht="15" customHeight="1" thickBot="1" x14ac:dyDescent="0.35"/>
    <row r="52" spans="2:10" ht="15" customHeight="1" x14ac:dyDescent="0.3">
      <c r="B52" s="312" t="s">
        <v>242</v>
      </c>
      <c r="C52" s="313"/>
      <c r="D52" s="313"/>
      <c r="E52" s="313"/>
      <c r="F52" s="313"/>
      <c r="G52" s="314"/>
      <c r="H52" s="78"/>
      <c r="I52" s="78"/>
      <c r="J52" s="78"/>
    </row>
    <row r="53" spans="2:10" ht="15" customHeight="1" x14ac:dyDescent="0.3">
      <c r="B53" s="250" t="s">
        <v>243</v>
      </c>
      <c r="C53" s="98" t="s">
        <v>206</v>
      </c>
      <c r="D53" s="76" t="s">
        <v>207</v>
      </c>
      <c r="E53" s="90" t="s">
        <v>208</v>
      </c>
      <c r="F53" s="76" t="s">
        <v>228</v>
      </c>
      <c r="G53" s="244" t="s">
        <v>87</v>
      </c>
      <c r="J53" s="12"/>
    </row>
    <row r="54" spans="2:10" ht="15" customHeight="1" x14ac:dyDescent="0.3">
      <c r="B54" s="230" t="s">
        <v>169</v>
      </c>
      <c r="C54" s="82">
        <f>+C50</f>
        <v>1700</v>
      </c>
      <c r="D54" s="60" t="s">
        <v>71</v>
      </c>
      <c r="E54" s="62"/>
      <c r="F54" s="93">
        <f>+CIF!G13</f>
        <v>8.4257996768982224</v>
      </c>
      <c r="G54" s="228">
        <f>+F54*C54</f>
        <v>14323.859450726977</v>
      </c>
      <c r="J54" s="12"/>
    </row>
    <row r="55" spans="2:10" ht="15" customHeight="1" x14ac:dyDescent="0.3">
      <c r="B55" s="230" t="s">
        <v>39</v>
      </c>
      <c r="C55" s="79">
        <f>+C47</f>
        <v>152.5</v>
      </c>
      <c r="D55" s="60" t="s">
        <v>214</v>
      </c>
      <c r="E55" s="62">
        <f>+I26/60</f>
        <v>2.5</v>
      </c>
      <c r="F55" s="93">
        <f>+CIF!G17</f>
        <v>9015.703846153845</v>
      </c>
      <c r="G55" s="228">
        <f>+E55*F55</f>
        <v>22539.259615384613</v>
      </c>
      <c r="J55" s="12"/>
    </row>
    <row r="56" spans="2:10" ht="15" customHeight="1" x14ac:dyDescent="0.3">
      <c r="B56" s="230" t="s">
        <v>40</v>
      </c>
      <c r="C56" s="80">
        <f>+I26+E42+E43</f>
        <v>152.5</v>
      </c>
      <c r="D56" s="60" t="s">
        <v>214</v>
      </c>
      <c r="E56" s="62">
        <f>+E48</f>
        <v>2.5416666666666665</v>
      </c>
      <c r="F56" s="93">
        <f>+CIF!G21</f>
        <v>56187.532051282054</v>
      </c>
      <c r="G56" s="228">
        <f>+E56*F56</f>
        <v>142809.97729700853</v>
      </c>
      <c r="J56" s="12"/>
    </row>
    <row r="57" spans="2:10" ht="15" customHeight="1" x14ac:dyDescent="0.3">
      <c r="B57" s="230" t="s">
        <v>175</v>
      </c>
      <c r="C57" s="80">
        <f>+C49</f>
        <v>155</v>
      </c>
      <c r="D57" s="60" t="s">
        <v>214</v>
      </c>
      <c r="E57" s="62">
        <f>+E49</f>
        <v>2.5833333333333335</v>
      </c>
      <c r="F57" s="93">
        <f>+CIF!F25</f>
        <v>8012.8205128205127</v>
      </c>
      <c r="G57" s="228">
        <f>+E57*F57</f>
        <v>20699.786324786324</v>
      </c>
      <c r="J57" s="12"/>
    </row>
    <row r="58" spans="2:10" ht="15" customHeight="1" thickBot="1" x14ac:dyDescent="0.35">
      <c r="B58" s="363" t="s">
        <v>218</v>
      </c>
      <c r="C58" s="364"/>
      <c r="D58" s="364"/>
      <c r="E58" s="364"/>
      <c r="F58" s="365"/>
      <c r="G58" s="229">
        <f>SUM(G54:G57)</f>
        <v>200372.88268790644</v>
      </c>
      <c r="J58" s="12"/>
    </row>
    <row r="59" spans="2:10" ht="15" customHeight="1" thickBot="1" x14ac:dyDescent="0.35"/>
    <row r="60" spans="2:10" ht="15" customHeight="1" x14ac:dyDescent="0.3">
      <c r="B60" s="312" t="s">
        <v>245</v>
      </c>
      <c r="C60" s="313"/>
      <c r="D60" s="314"/>
    </row>
    <row r="61" spans="2:10" ht="15" customHeight="1" x14ac:dyDescent="0.3">
      <c r="B61" s="356" t="s">
        <v>201</v>
      </c>
      <c r="C61" s="357"/>
      <c r="D61" s="152">
        <f>+J26</f>
        <v>41996.151342726975</v>
      </c>
    </row>
    <row r="62" spans="2:10" ht="15" customHeight="1" x14ac:dyDescent="0.3">
      <c r="B62" s="356" t="s">
        <v>205</v>
      </c>
      <c r="C62" s="357"/>
      <c r="D62" s="152">
        <f>+H36</f>
        <v>186155.2891304348</v>
      </c>
    </row>
    <row r="63" spans="2:10" ht="15" customHeight="1" x14ac:dyDescent="0.3">
      <c r="B63" s="356" t="s">
        <v>242</v>
      </c>
      <c r="C63" s="357"/>
      <c r="D63" s="152">
        <f>+G58</f>
        <v>200372.88268790644</v>
      </c>
    </row>
    <row r="64" spans="2:10" ht="15" customHeight="1" x14ac:dyDescent="0.3">
      <c r="B64" s="356" t="s">
        <v>246</v>
      </c>
      <c r="C64" s="357"/>
      <c r="D64" s="152">
        <f>+D61+D62+D63</f>
        <v>428524.32316106826</v>
      </c>
    </row>
    <row r="65" spans="2:4" ht="15" customHeight="1" x14ac:dyDescent="0.3">
      <c r="B65" s="356" t="s">
        <v>247</v>
      </c>
      <c r="C65" s="357"/>
      <c r="D65" s="241">
        <f>+C11</f>
        <v>20</v>
      </c>
    </row>
    <row r="66" spans="2:4" ht="15" customHeight="1" thickBot="1" x14ac:dyDescent="0.35">
      <c r="B66" s="358" t="s">
        <v>248</v>
      </c>
      <c r="C66" s="359"/>
      <c r="D66" s="225">
        <f>+D64/D65</f>
        <v>21426.216158053412</v>
      </c>
    </row>
    <row r="67" spans="2:4" ht="15" customHeight="1" x14ac:dyDescent="0.3"/>
    <row r="68" spans="2:4" ht="15" customHeight="1" x14ac:dyDescent="0.3"/>
    <row r="69" spans="2:4" ht="15" customHeight="1" x14ac:dyDescent="0.3"/>
    <row r="70" spans="2:4" ht="15" customHeight="1" x14ac:dyDescent="0.3"/>
    <row r="71" spans="2:4" ht="15" customHeight="1" x14ac:dyDescent="0.3"/>
    <row r="72" spans="2:4" ht="15" customHeight="1" x14ac:dyDescent="0.3"/>
    <row r="73" spans="2:4" ht="15" customHeight="1" x14ac:dyDescent="0.3"/>
    <row r="74" spans="2:4" ht="15" customHeight="1" x14ac:dyDescent="0.3"/>
    <row r="75" spans="2:4" ht="15" customHeight="1" x14ac:dyDescent="0.3"/>
    <row r="76" spans="2:4" ht="15" customHeight="1" x14ac:dyDescent="0.3"/>
    <row r="77" spans="2:4" ht="15" customHeight="1" x14ac:dyDescent="0.3"/>
    <row r="78" spans="2:4" ht="15" customHeight="1" x14ac:dyDescent="0.3"/>
    <row r="79" spans="2:4" ht="15" customHeight="1" x14ac:dyDescent="0.3"/>
    <row r="80" spans="2:4" ht="15" customHeight="1" x14ac:dyDescent="0.3"/>
    <row r="81" ht="15" customHeight="1" x14ac:dyDescent="0.3"/>
    <row r="82" ht="15" customHeight="1" x14ac:dyDescent="0.3"/>
    <row r="83" ht="15" customHeight="1" x14ac:dyDescent="0.3"/>
    <row r="110" ht="16.5" customHeight="1" x14ac:dyDescent="0.3"/>
    <row r="135" ht="16.5" customHeight="1" x14ac:dyDescent="0.3"/>
    <row r="216" ht="16.5" customHeight="1" x14ac:dyDescent="0.3"/>
    <row r="234" spans="11:11" x14ac:dyDescent="0.3">
      <c r="K234" s="11"/>
    </row>
    <row r="235" spans="11:11" ht="16.5" customHeight="1" x14ac:dyDescent="0.3">
      <c r="K235" s="11"/>
    </row>
    <row r="236" spans="11:11" x14ac:dyDescent="0.3">
      <c r="K236" s="11"/>
    </row>
    <row r="237" spans="11:11" x14ac:dyDescent="0.3">
      <c r="K237" s="11"/>
    </row>
    <row r="238" spans="11:11" x14ac:dyDescent="0.3">
      <c r="K238" s="11"/>
    </row>
    <row r="239" spans="11:11" x14ac:dyDescent="0.3">
      <c r="K239" s="11"/>
    </row>
    <row r="240" spans="11:11" x14ac:dyDescent="0.3">
      <c r="K240" s="11"/>
    </row>
    <row r="241" spans="11:11" x14ac:dyDescent="0.3">
      <c r="K241" s="11"/>
    </row>
    <row r="242" spans="11:11" x14ac:dyDescent="0.3">
      <c r="K242" s="11"/>
    </row>
    <row r="243" spans="11:11" x14ac:dyDescent="0.3">
      <c r="K243" s="11"/>
    </row>
    <row r="244" spans="11:11" x14ac:dyDescent="0.3">
      <c r="K244" s="11"/>
    </row>
    <row r="245" spans="11:11" x14ac:dyDescent="0.3">
      <c r="K245" s="11"/>
    </row>
    <row r="246" spans="11:11" x14ac:dyDescent="0.3">
      <c r="K246" s="11"/>
    </row>
    <row r="247" spans="11:11" x14ac:dyDescent="0.3">
      <c r="K247" s="11"/>
    </row>
    <row r="248" spans="11:11" x14ac:dyDescent="0.3">
      <c r="K248" s="11"/>
    </row>
    <row r="249" spans="11:11" x14ac:dyDescent="0.3">
      <c r="K249" s="11"/>
    </row>
    <row r="250" spans="11:11" x14ac:dyDescent="0.3">
      <c r="K250" s="11"/>
    </row>
    <row r="251" spans="11:11" x14ac:dyDescent="0.3">
      <c r="K251" s="11"/>
    </row>
    <row r="252" spans="11:11" x14ac:dyDescent="0.3">
      <c r="K252" s="11"/>
    </row>
    <row r="253" spans="11:11" x14ac:dyDescent="0.3">
      <c r="K253" s="11"/>
    </row>
    <row r="254" spans="11:11" x14ac:dyDescent="0.3">
      <c r="K254" s="11"/>
    </row>
    <row r="255" spans="11:11" x14ac:dyDescent="0.3">
      <c r="K255" s="11"/>
    </row>
    <row r="256" spans="11:11" x14ac:dyDescent="0.3">
      <c r="K256" s="11"/>
    </row>
    <row r="257" spans="11:11" x14ac:dyDescent="0.3">
      <c r="K257" s="11"/>
    </row>
    <row r="258" spans="11:11" x14ac:dyDescent="0.3">
      <c r="K258" s="11"/>
    </row>
    <row r="259" spans="11:11" x14ac:dyDescent="0.3">
      <c r="K259" s="11"/>
    </row>
  </sheetData>
  <mergeCells count="30">
    <mergeCell ref="B65:C65"/>
    <mergeCell ref="B66:C66"/>
    <mergeCell ref="B58:F58"/>
    <mergeCell ref="B60:D60"/>
    <mergeCell ref="B61:C61"/>
    <mergeCell ref="B62:C62"/>
    <mergeCell ref="B63:C63"/>
    <mergeCell ref="B64:C64"/>
    <mergeCell ref="B45:E45"/>
    <mergeCell ref="B52:G52"/>
    <mergeCell ref="B26:H26"/>
    <mergeCell ref="B30:C30"/>
    <mergeCell ref="B31:C31"/>
    <mergeCell ref="B32:C32"/>
    <mergeCell ref="B33:C33"/>
    <mergeCell ref="B34:C34"/>
    <mergeCell ref="B35:C35"/>
    <mergeCell ref="B28:H28"/>
    <mergeCell ref="B38:E38"/>
    <mergeCell ref="B41:B42"/>
    <mergeCell ref="B8:J8"/>
    <mergeCell ref="B9:J9"/>
    <mergeCell ref="B11:B25"/>
    <mergeCell ref="C11:C25"/>
    <mergeCell ref="D11:D14"/>
    <mergeCell ref="D15:D18"/>
    <mergeCell ref="I15:I17"/>
    <mergeCell ref="D19:D20"/>
    <mergeCell ref="D21:D24"/>
    <mergeCell ref="I11:I14"/>
  </mergeCells>
  <pageMargins left="0.7" right="0.7" top="0.75" bottom="0.75" header="0.3" footer="0.3"/>
  <pageSetup paperSize="9" scale="48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52493-97A7-44BB-97E2-AA81DBBCA437}">
  <dimension ref="A1:AW259"/>
  <sheetViews>
    <sheetView showGridLines="0" view="pageBreakPreview" topLeftCell="A41" zoomScale="90" zoomScaleNormal="80" zoomScaleSheetLayoutView="90" workbookViewId="0">
      <selection activeCell="B60" sqref="B60:D66"/>
    </sheetView>
  </sheetViews>
  <sheetFormatPr baseColWidth="10" defaultColWidth="11.42578125" defaultRowHeight="16.5" x14ac:dyDescent="0.3"/>
  <cols>
    <col min="1" max="1" width="11.42578125" style="12"/>
    <col min="2" max="3" width="21.140625" style="12" customWidth="1"/>
    <col min="4" max="4" width="15.7109375" style="12" customWidth="1"/>
    <col min="5" max="5" width="23.7109375" style="12" customWidth="1"/>
    <col min="6" max="7" width="15" style="12" customWidth="1"/>
    <col min="8" max="8" width="12.7109375" style="12" customWidth="1"/>
    <col min="9" max="9" width="10.28515625" style="12" customWidth="1"/>
    <col min="10" max="10" width="14.28515625" style="19" customWidth="1"/>
    <col min="11" max="16384" width="11.42578125" style="12"/>
  </cols>
  <sheetData>
    <row r="1" spans="1:49" x14ac:dyDescent="0.3">
      <c r="B1" s="169"/>
      <c r="C1" s="170"/>
      <c r="D1" s="170"/>
      <c r="E1" s="170"/>
      <c r="F1" s="170"/>
      <c r="G1" s="170"/>
      <c r="H1" s="170"/>
      <c r="I1" s="170"/>
      <c r="J1" s="199"/>
    </row>
    <row r="2" spans="1:49" x14ac:dyDescent="0.3">
      <c r="B2" s="172"/>
      <c r="J2" s="200"/>
    </row>
    <row r="3" spans="1:49" x14ac:dyDescent="0.3">
      <c r="B3" s="172"/>
      <c r="J3" s="200"/>
    </row>
    <row r="4" spans="1:49" x14ac:dyDescent="0.3">
      <c r="B4" s="172"/>
      <c r="J4" s="200"/>
    </row>
    <row r="5" spans="1:49" x14ac:dyDescent="0.3">
      <c r="B5" s="172"/>
      <c r="J5" s="200"/>
    </row>
    <row r="6" spans="1:49" x14ac:dyDescent="0.3">
      <c r="B6" s="172"/>
      <c r="J6" s="200"/>
    </row>
    <row r="7" spans="1:49" s="46" customFormat="1" ht="17.25" thickBot="1" x14ac:dyDescent="0.35">
      <c r="A7" s="12"/>
      <c r="B7" s="174"/>
      <c r="J7" s="201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</row>
    <row r="8" spans="1:49" ht="36" customHeight="1" x14ac:dyDescent="0.3">
      <c r="B8" s="339" t="s">
        <v>237</v>
      </c>
      <c r="C8" s="340"/>
      <c r="D8" s="340"/>
      <c r="E8" s="340"/>
      <c r="F8" s="340"/>
      <c r="G8" s="340"/>
      <c r="H8" s="340"/>
      <c r="I8" s="340"/>
      <c r="J8" s="341"/>
    </row>
    <row r="9" spans="1:49" ht="27" customHeight="1" x14ac:dyDescent="0.3">
      <c r="B9" s="339" t="s">
        <v>201</v>
      </c>
      <c r="C9" s="340"/>
      <c r="D9" s="340"/>
      <c r="E9" s="340"/>
      <c r="F9" s="340"/>
      <c r="G9" s="340"/>
      <c r="H9" s="340"/>
      <c r="I9" s="340"/>
      <c r="J9" s="341"/>
    </row>
    <row r="10" spans="1:49" ht="67.5" customHeight="1" x14ac:dyDescent="0.3">
      <c r="B10" s="214" t="s">
        <v>41</v>
      </c>
      <c r="C10" s="43" t="s">
        <v>42</v>
      </c>
      <c r="D10" s="42" t="s">
        <v>68</v>
      </c>
      <c r="E10" s="42" t="s">
        <v>185</v>
      </c>
      <c r="F10" s="43" t="s">
        <v>186</v>
      </c>
      <c r="G10" s="43" t="s">
        <v>187</v>
      </c>
      <c r="H10" s="52" t="s">
        <v>191</v>
      </c>
      <c r="I10" s="43" t="s">
        <v>188</v>
      </c>
      <c r="J10" s="220" t="s">
        <v>202</v>
      </c>
    </row>
    <row r="11" spans="1:49" ht="15" customHeight="1" x14ac:dyDescent="0.3">
      <c r="B11" s="345" t="s">
        <v>156</v>
      </c>
      <c r="C11" s="300">
        <v>20</v>
      </c>
      <c r="D11" s="303" t="s">
        <v>144</v>
      </c>
      <c r="E11" s="53" t="s">
        <v>69</v>
      </c>
      <c r="F11" s="27">
        <f>+C11*H11</f>
        <v>200</v>
      </c>
      <c r="G11" s="27" t="s">
        <v>71</v>
      </c>
      <c r="H11" s="27">
        <v>10</v>
      </c>
      <c r="I11" s="327">
        <v>15</v>
      </c>
      <c r="J11" s="221">
        <f>+F11*CIF!G13</f>
        <v>1685.1599353796446</v>
      </c>
    </row>
    <row r="12" spans="1:49" ht="15" customHeight="1" x14ac:dyDescent="0.3">
      <c r="B12" s="346"/>
      <c r="C12" s="301"/>
      <c r="D12" s="304"/>
      <c r="E12" s="53" t="s">
        <v>72</v>
      </c>
      <c r="F12" s="27">
        <f>+F11*H12</f>
        <v>100</v>
      </c>
      <c r="G12" s="27" t="s">
        <v>73</v>
      </c>
      <c r="H12" s="27">
        <v>0.5</v>
      </c>
      <c r="I12" s="328"/>
      <c r="J12" s="221">
        <f>+F12*'MATERIA PRIMA'!H22</f>
        <v>1057.9100000000001</v>
      </c>
    </row>
    <row r="13" spans="1:49" ht="15" customHeight="1" x14ac:dyDescent="0.3">
      <c r="B13" s="346"/>
      <c r="C13" s="301"/>
      <c r="D13" s="304"/>
      <c r="E13" s="53" t="s">
        <v>74</v>
      </c>
      <c r="F13" s="27">
        <f>+F11*H13</f>
        <v>100</v>
      </c>
      <c r="G13" s="27" t="s">
        <v>73</v>
      </c>
      <c r="H13" s="27">
        <v>0.5</v>
      </c>
      <c r="I13" s="328"/>
      <c r="J13" s="221">
        <f>+F13*'MATERIA PRIMA'!H21</f>
        <v>672.34999999999991</v>
      </c>
    </row>
    <row r="14" spans="1:49" ht="15" customHeight="1" x14ac:dyDescent="0.3">
      <c r="B14" s="346"/>
      <c r="C14" s="301"/>
      <c r="D14" s="305"/>
      <c r="E14" s="53" t="s">
        <v>75</v>
      </c>
      <c r="F14" s="27">
        <f>+F11*H14</f>
        <v>200</v>
      </c>
      <c r="G14" s="27" t="s">
        <v>73</v>
      </c>
      <c r="H14" s="27">
        <v>1</v>
      </c>
      <c r="I14" s="329"/>
      <c r="J14" s="221">
        <f>+F14*'MATERIA PRIMA'!H20</f>
        <v>1166.2</v>
      </c>
    </row>
    <row r="15" spans="1:49" ht="15" customHeight="1" x14ac:dyDescent="0.3">
      <c r="B15" s="346"/>
      <c r="C15" s="301"/>
      <c r="D15" s="303" t="s">
        <v>77</v>
      </c>
      <c r="E15" s="26" t="s">
        <v>147</v>
      </c>
      <c r="F15" s="27">
        <f>+(C11*1000)*H15</f>
        <v>7.8</v>
      </c>
      <c r="G15" s="27" t="s">
        <v>73</v>
      </c>
      <c r="H15" s="59">
        <v>3.8999999999999999E-4</v>
      </c>
      <c r="I15" s="369">
        <v>10</v>
      </c>
      <c r="J15" s="221">
        <f>+F15*'MATERIA PRIMA'!H47</f>
        <v>342.50580000000002</v>
      </c>
    </row>
    <row r="16" spans="1:49" ht="15" customHeight="1" x14ac:dyDescent="0.3">
      <c r="B16" s="346"/>
      <c r="C16" s="301"/>
      <c r="D16" s="304"/>
      <c r="E16" s="26" t="s">
        <v>49</v>
      </c>
      <c r="F16" s="27">
        <f>+(C11*1000)*H16</f>
        <v>9.6</v>
      </c>
      <c r="G16" s="27" t="s">
        <v>73</v>
      </c>
      <c r="H16" s="59">
        <v>4.8000000000000001E-4</v>
      </c>
      <c r="I16" s="370"/>
      <c r="J16" s="221">
        <f>+F16*'MATERIA PRIMA'!H33</f>
        <v>1515.9648</v>
      </c>
    </row>
    <row r="17" spans="2:10" ht="15" customHeight="1" x14ac:dyDescent="0.3">
      <c r="B17" s="346"/>
      <c r="C17" s="301"/>
      <c r="D17" s="304"/>
      <c r="E17" s="26" t="s">
        <v>149</v>
      </c>
      <c r="F17" s="27">
        <f>+(C11*1000)*H17</f>
        <v>5.4</v>
      </c>
      <c r="G17" s="27" t="s">
        <v>73</v>
      </c>
      <c r="H17" s="59">
        <v>2.7E-4</v>
      </c>
      <c r="I17" s="371"/>
      <c r="J17" s="222">
        <f>+F17*'MATERIA PRIMA'!H32</f>
        <v>280.81620000000004</v>
      </c>
    </row>
    <row r="18" spans="2:10" ht="15" customHeight="1" x14ac:dyDescent="0.3">
      <c r="B18" s="346"/>
      <c r="C18" s="301"/>
      <c r="D18" s="305"/>
      <c r="E18" s="53" t="s">
        <v>79</v>
      </c>
      <c r="F18" s="27">
        <f>+F11*H18</f>
        <v>6</v>
      </c>
      <c r="G18" s="27" t="s">
        <v>28</v>
      </c>
      <c r="H18" s="58">
        <v>0.03</v>
      </c>
      <c r="I18" s="27">
        <v>20</v>
      </c>
      <c r="J18" s="223">
        <f>+F18*'MATERIA PRIMA'!H54</f>
        <v>2819.9986920000001</v>
      </c>
    </row>
    <row r="19" spans="2:10" ht="15" customHeight="1" x14ac:dyDescent="0.3">
      <c r="B19" s="346"/>
      <c r="C19" s="301"/>
      <c r="D19" s="303" t="s">
        <v>80</v>
      </c>
      <c r="E19" s="53" t="s">
        <v>204</v>
      </c>
      <c r="F19" s="27">
        <f>+F11*H19</f>
        <v>500</v>
      </c>
      <c r="G19" s="27" t="s">
        <v>73</v>
      </c>
      <c r="H19" s="27">
        <v>2.5</v>
      </c>
      <c r="I19" s="27">
        <v>40</v>
      </c>
      <c r="J19" s="221">
        <f>+F19*'MATERIA PRIMA'!H16</f>
        <v>2647.75</v>
      </c>
    </row>
    <row r="20" spans="2:10" ht="15" customHeight="1" x14ac:dyDescent="0.3">
      <c r="B20" s="346"/>
      <c r="C20" s="301"/>
      <c r="D20" s="305"/>
      <c r="E20" s="53" t="s">
        <v>82</v>
      </c>
      <c r="F20" s="27">
        <f>+F11*H20</f>
        <v>600</v>
      </c>
      <c r="G20" s="27" t="s">
        <v>71</v>
      </c>
      <c r="H20" s="27">
        <v>3</v>
      </c>
      <c r="I20" s="27">
        <v>10</v>
      </c>
      <c r="J20" s="221">
        <f>+F20*CIF!G13</f>
        <v>5055.4798061389338</v>
      </c>
    </row>
    <row r="21" spans="2:10" ht="15" customHeight="1" x14ac:dyDescent="0.3">
      <c r="B21" s="346"/>
      <c r="C21" s="301"/>
      <c r="D21" s="303" t="s">
        <v>146</v>
      </c>
      <c r="E21" s="53" t="s">
        <v>83</v>
      </c>
      <c r="F21" s="27">
        <f>+F11*H21</f>
        <v>200</v>
      </c>
      <c r="G21" s="27" t="s">
        <v>71</v>
      </c>
      <c r="H21" s="27">
        <v>1</v>
      </c>
      <c r="I21" s="27">
        <v>5</v>
      </c>
      <c r="J21" s="221">
        <f>+F21*CIF!G13</f>
        <v>1685.1599353796446</v>
      </c>
    </row>
    <row r="22" spans="2:10" ht="15" customHeight="1" x14ac:dyDescent="0.3">
      <c r="B22" s="346"/>
      <c r="C22" s="301"/>
      <c r="D22" s="304"/>
      <c r="E22" s="53" t="s">
        <v>84</v>
      </c>
      <c r="F22" s="27">
        <f>+F11*H22</f>
        <v>600</v>
      </c>
      <c r="G22" s="27" t="s">
        <v>73</v>
      </c>
      <c r="H22" s="27">
        <v>3</v>
      </c>
      <c r="I22" s="27">
        <v>15</v>
      </c>
      <c r="J22" s="221">
        <f>+F22*'MATERIA PRIMA'!H17</f>
        <v>14280</v>
      </c>
    </row>
    <row r="23" spans="2:10" ht="15" customHeight="1" x14ac:dyDescent="0.3">
      <c r="B23" s="346"/>
      <c r="C23" s="301"/>
      <c r="D23" s="304"/>
      <c r="E23" s="53" t="s">
        <v>82</v>
      </c>
      <c r="F23" s="27">
        <f>+F11*H23</f>
        <v>600</v>
      </c>
      <c r="G23" s="27" t="s">
        <v>71</v>
      </c>
      <c r="H23" s="27">
        <v>3</v>
      </c>
      <c r="I23" s="27">
        <v>15</v>
      </c>
      <c r="J23" s="221">
        <f>+F23*CIF!G13</f>
        <v>5055.4798061389338</v>
      </c>
    </row>
    <row r="24" spans="2:10" ht="15" customHeight="1" x14ac:dyDescent="0.3">
      <c r="B24" s="346"/>
      <c r="C24" s="301"/>
      <c r="D24" s="305"/>
      <c r="E24" s="53" t="s">
        <v>83</v>
      </c>
      <c r="F24" s="27">
        <f>+F11*H24</f>
        <v>100</v>
      </c>
      <c r="G24" s="27" t="s">
        <v>71</v>
      </c>
      <c r="H24" s="27">
        <v>0.5</v>
      </c>
      <c r="I24" s="27">
        <v>5</v>
      </c>
      <c r="J24" s="221">
        <f>+F24*CIF!G13</f>
        <v>842.5799676898223</v>
      </c>
    </row>
    <row r="25" spans="2:10" ht="15" customHeight="1" x14ac:dyDescent="0.3">
      <c r="B25" s="347"/>
      <c r="C25" s="348"/>
      <c r="D25" s="51" t="s">
        <v>142</v>
      </c>
      <c r="E25" s="53" t="s">
        <v>151</v>
      </c>
      <c r="F25" s="27">
        <f>+F11*H25</f>
        <v>100</v>
      </c>
      <c r="G25" s="27" t="s">
        <v>73</v>
      </c>
      <c r="H25" s="27">
        <v>0.5</v>
      </c>
      <c r="I25" s="27">
        <v>15</v>
      </c>
      <c r="J25" s="224">
        <f>+F25*'MATERIA PRIMA'!H15</f>
        <v>3094</v>
      </c>
    </row>
    <row r="26" spans="2:10" ht="15" customHeight="1" thickBot="1" x14ac:dyDescent="0.35">
      <c r="B26" s="342" t="s">
        <v>216</v>
      </c>
      <c r="C26" s="343"/>
      <c r="D26" s="343"/>
      <c r="E26" s="343"/>
      <c r="F26" s="343"/>
      <c r="G26" s="343"/>
      <c r="H26" s="344"/>
      <c r="I26" s="162">
        <f>+SUM(I11:I25)</f>
        <v>150</v>
      </c>
      <c r="J26" s="225">
        <f>+SUM(J11:J25)</f>
        <v>42201.354942726983</v>
      </c>
    </row>
    <row r="27" spans="2:10" ht="15" customHeight="1" thickBot="1" x14ac:dyDescent="0.35">
      <c r="B27" s="66"/>
      <c r="C27" s="66"/>
      <c r="D27" s="66"/>
      <c r="E27" s="66"/>
      <c r="F27" s="66"/>
      <c r="G27" s="66"/>
      <c r="H27" s="66"/>
      <c r="J27" s="67"/>
    </row>
    <row r="28" spans="2:10" ht="15" customHeight="1" x14ac:dyDescent="0.3">
      <c r="B28" s="312" t="s">
        <v>205</v>
      </c>
      <c r="C28" s="313"/>
      <c r="D28" s="313"/>
      <c r="E28" s="313"/>
      <c r="F28" s="313"/>
      <c r="G28" s="313"/>
      <c r="H28" s="314"/>
      <c r="I28" s="78"/>
      <c r="J28" s="78"/>
    </row>
    <row r="29" spans="2:10" ht="15" customHeight="1" x14ac:dyDescent="0.3">
      <c r="B29" s="250" t="s">
        <v>205</v>
      </c>
      <c r="C29" s="91"/>
      <c r="D29" s="98" t="s">
        <v>206</v>
      </c>
      <c r="E29" s="76" t="s">
        <v>207</v>
      </c>
      <c r="F29" s="90" t="s">
        <v>208</v>
      </c>
      <c r="G29" s="76" t="s">
        <v>209</v>
      </c>
      <c r="H29" s="244" t="s">
        <v>87</v>
      </c>
      <c r="J29" s="12"/>
    </row>
    <row r="30" spans="2:10" ht="15" customHeight="1" x14ac:dyDescent="0.3">
      <c r="B30" s="309" t="s">
        <v>210</v>
      </c>
      <c r="C30" s="311"/>
      <c r="D30" s="27">
        <v>1</v>
      </c>
      <c r="E30" s="60" t="s">
        <v>214</v>
      </c>
      <c r="F30" s="62">
        <f>+I26/60</f>
        <v>2.5</v>
      </c>
      <c r="G30" s="93">
        <f>+'MANO OBRA P.'!C35</f>
        <v>28609.121739130438</v>
      </c>
      <c r="H30" s="228">
        <f>D30*F30*G30</f>
        <v>71522.804347826095</v>
      </c>
      <c r="J30" s="12"/>
    </row>
    <row r="31" spans="2:10" ht="15" customHeight="1" x14ac:dyDescent="0.3">
      <c r="B31" s="309" t="s">
        <v>211</v>
      </c>
      <c r="C31" s="311" t="s">
        <v>174</v>
      </c>
      <c r="D31" s="27">
        <v>1</v>
      </c>
      <c r="E31" s="60" t="s">
        <v>214</v>
      </c>
      <c r="F31" s="62">
        <f>+I26/60</f>
        <v>2.5</v>
      </c>
      <c r="G31" s="93">
        <f>+'MANO OBRA P.'!C60</f>
        <v>16728.110869565218</v>
      </c>
      <c r="H31" s="228">
        <f t="shared" ref="H31:H34" si="0">D31*F31*G31</f>
        <v>41820.277173913048</v>
      </c>
      <c r="J31" s="12"/>
    </row>
    <row r="32" spans="2:10" ht="15" customHeight="1" x14ac:dyDescent="0.3">
      <c r="B32" s="309" t="s">
        <v>222</v>
      </c>
      <c r="C32" s="311" t="s">
        <v>174</v>
      </c>
      <c r="D32" s="27">
        <v>1</v>
      </c>
      <c r="E32" s="60" t="s">
        <v>214</v>
      </c>
      <c r="F32" s="62">
        <v>2</v>
      </c>
      <c r="G32" s="93">
        <f>+'MANO OBRA P.'!C85</f>
        <v>13072.415217391304</v>
      </c>
      <c r="H32" s="228">
        <f t="shared" si="0"/>
        <v>26144.830434782609</v>
      </c>
      <c r="J32" s="12"/>
    </row>
    <row r="33" spans="2:10" ht="15" customHeight="1" x14ac:dyDescent="0.3">
      <c r="B33" s="309" t="s">
        <v>212</v>
      </c>
      <c r="C33" s="311" t="s">
        <v>174</v>
      </c>
      <c r="D33" s="27">
        <v>1</v>
      </c>
      <c r="E33" s="60" t="s">
        <v>214</v>
      </c>
      <c r="F33" s="62">
        <v>1</v>
      </c>
      <c r="G33" s="93">
        <f>+'MANO OBRA P.'!C85</f>
        <v>13072.415217391304</v>
      </c>
      <c r="H33" s="228">
        <f t="shared" si="0"/>
        <v>13072.415217391304</v>
      </c>
      <c r="J33" s="12"/>
    </row>
    <row r="34" spans="2:10" ht="15" customHeight="1" x14ac:dyDescent="0.3">
      <c r="B34" s="309" t="s">
        <v>213</v>
      </c>
      <c r="C34" s="311" t="s">
        <v>174</v>
      </c>
      <c r="D34" s="27">
        <v>1</v>
      </c>
      <c r="E34" s="60" t="s">
        <v>214</v>
      </c>
      <c r="F34" s="62">
        <v>1.5</v>
      </c>
      <c r="G34" s="93">
        <f>+'MANO OBRA P.'!C85</f>
        <v>13072.415217391304</v>
      </c>
      <c r="H34" s="228">
        <f t="shared" si="0"/>
        <v>19608.622826086958</v>
      </c>
      <c r="J34" s="12"/>
    </row>
    <row r="35" spans="2:10" ht="15" customHeight="1" x14ac:dyDescent="0.3">
      <c r="B35" s="309" t="s">
        <v>221</v>
      </c>
      <c r="C35" s="311" t="s">
        <v>174</v>
      </c>
      <c r="D35" s="27">
        <v>1</v>
      </c>
      <c r="E35" s="60" t="s">
        <v>214</v>
      </c>
      <c r="F35" s="64">
        <v>1</v>
      </c>
      <c r="G35" s="99">
        <f>+'MANO OBRA P.'!C110</f>
        <v>13986.339130434782</v>
      </c>
      <c r="H35" s="228">
        <f>D35*F35*G35</f>
        <v>13986.339130434782</v>
      </c>
      <c r="J35" s="12"/>
    </row>
    <row r="36" spans="2:10" ht="15" customHeight="1" thickBot="1" x14ac:dyDescent="0.35">
      <c r="B36" s="363" t="s">
        <v>215</v>
      </c>
      <c r="C36" s="364"/>
      <c r="D36" s="364"/>
      <c r="E36" s="364"/>
      <c r="F36" s="365"/>
      <c r="G36" s="251"/>
      <c r="H36" s="252">
        <f>+SUM(H30:H35)</f>
        <v>186155.2891304348</v>
      </c>
      <c r="J36" s="12"/>
    </row>
    <row r="37" spans="2:10" ht="15" customHeight="1" thickBot="1" x14ac:dyDescent="0.35">
      <c r="B37" s="68"/>
      <c r="C37" s="68"/>
      <c r="D37" s="68"/>
      <c r="E37" s="68"/>
      <c r="F37" s="68"/>
      <c r="G37" s="68"/>
      <c r="I37" s="69"/>
      <c r="J37" s="70"/>
    </row>
    <row r="38" spans="2:10" ht="15" customHeight="1" x14ac:dyDescent="0.3">
      <c r="B38" s="377" t="s">
        <v>219</v>
      </c>
      <c r="C38" s="378"/>
      <c r="D38" s="378"/>
      <c r="E38" s="379"/>
      <c r="F38" s="78"/>
      <c r="G38" s="78"/>
      <c r="H38" s="78"/>
      <c r="I38" s="78"/>
      <c r="J38" s="78"/>
    </row>
    <row r="39" spans="2:10" ht="15" customHeight="1" x14ac:dyDescent="0.3">
      <c r="B39" s="250" t="s">
        <v>217</v>
      </c>
      <c r="C39" s="98" t="s">
        <v>185</v>
      </c>
      <c r="D39" s="76" t="s">
        <v>207</v>
      </c>
      <c r="E39" s="249" t="s">
        <v>208</v>
      </c>
      <c r="G39" s="71"/>
      <c r="H39" s="72"/>
      <c r="J39" s="12"/>
    </row>
    <row r="40" spans="2:10" ht="15" customHeight="1" x14ac:dyDescent="0.3">
      <c r="B40" s="230" t="s">
        <v>88</v>
      </c>
      <c r="C40" s="27" t="s">
        <v>39</v>
      </c>
      <c r="D40" s="60" t="s">
        <v>214</v>
      </c>
      <c r="E40" s="231">
        <f>+F33</f>
        <v>1</v>
      </c>
      <c r="G40" s="73"/>
      <c r="H40" s="74"/>
      <c r="J40" s="12"/>
    </row>
    <row r="41" spans="2:10" ht="15" customHeight="1" x14ac:dyDescent="0.3">
      <c r="B41" s="375" t="s">
        <v>89</v>
      </c>
      <c r="C41" s="27" t="s">
        <v>39</v>
      </c>
      <c r="D41" s="60" t="s">
        <v>214</v>
      </c>
      <c r="E41" s="231">
        <f>+F34</f>
        <v>1.5</v>
      </c>
      <c r="G41" s="73"/>
      <c r="H41" s="74"/>
      <c r="J41" s="12"/>
    </row>
    <row r="42" spans="2:10" ht="15" customHeight="1" x14ac:dyDescent="0.3">
      <c r="B42" s="376"/>
      <c r="C42" s="27" t="s">
        <v>40</v>
      </c>
      <c r="D42" s="60" t="s">
        <v>214</v>
      </c>
      <c r="E42" s="231">
        <f>+F34</f>
        <v>1.5</v>
      </c>
      <c r="G42" s="73"/>
      <c r="H42" s="74"/>
      <c r="J42" s="12"/>
    </row>
    <row r="43" spans="2:10" ht="15" customHeight="1" thickBot="1" x14ac:dyDescent="0.35">
      <c r="B43" s="242" t="s">
        <v>220</v>
      </c>
      <c r="C43" s="162" t="s">
        <v>40</v>
      </c>
      <c r="D43" s="213" t="s">
        <v>214</v>
      </c>
      <c r="E43" s="235">
        <f>+F35</f>
        <v>1</v>
      </c>
      <c r="G43" s="73"/>
      <c r="H43" s="74"/>
      <c r="J43" s="12"/>
    </row>
    <row r="44" spans="2:10" ht="15" customHeight="1" thickBot="1" x14ac:dyDescent="0.35">
      <c r="B44" s="68"/>
      <c r="C44" s="68"/>
      <c r="D44" s="68"/>
      <c r="E44" s="68"/>
      <c r="F44" s="68"/>
      <c r="G44" s="68"/>
      <c r="I44" s="69"/>
      <c r="J44" s="70"/>
    </row>
    <row r="45" spans="2:10" ht="15" customHeight="1" x14ac:dyDescent="0.3">
      <c r="B45" s="360" t="s">
        <v>224</v>
      </c>
      <c r="C45" s="361"/>
      <c r="D45" s="361"/>
      <c r="E45" s="362"/>
      <c r="F45" s="68"/>
      <c r="G45" s="68"/>
      <c r="I45" s="69"/>
      <c r="J45" s="70"/>
    </row>
    <row r="46" spans="2:10" ht="15" customHeight="1" x14ac:dyDescent="0.3">
      <c r="B46" s="214" t="s">
        <v>217</v>
      </c>
      <c r="C46" s="43" t="s">
        <v>223</v>
      </c>
      <c r="D46" s="43" t="s">
        <v>226</v>
      </c>
      <c r="E46" s="236" t="s">
        <v>225</v>
      </c>
      <c r="F46" s="68"/>
      <c r="G46" s="68"/>
      <c r="I46" s="69"/>
      <c r="J46" s="70"/>
    </row>
    <row r="47" spans="2:10" ht="15" customHeight="1" x14ac:dyDescent="0.3">
      <c r="B47" s="227" t="s">
        <v>39</v>
      </c>
      <c r="C47" s="81">
        <f>+I26+E40+E41</f>
        <v>152.5</v>
      </c>
      <c r="D47" s="100" t="s">
        <v>227</v>
      </c>
      <c r="E47" s="237">
        <f>+C47/60</f>
        <v>2.5416666666666665</v>
      </c>
      <c r="F47" s="68"/>
      <c r="G47" s="68"/>
      <c r="I47" s="69"/>
      <c r="J47" s="70"/>
    </row>
    <row r="48" spans="2:10" ht="15" customHeight="1" x14ac:dyDescent="0.3">
      <c r="B48" s="227" t="s">
        <v>40</v>
      </c>
      <c r="C48" s="81">
        <f>+I26+E42+E43</f>
        <v>152.5</v>
      </c>
      <c r="D48" s="100" t="s">
        <v>227</v>
      </c>
      <c r="E48" s="237">
        <f t="shared" ref="E48:E49" si="1">+C48/60</f>
        <v>2.5416666666666665</v>
      </c>
      <c r="F48" s="68"/>
      <c r="G48" s="68"/>
      <c r="I48" s="69"/>
      <c r="J48" s="70"/>
    </row>
    <row r="49" spans="2:10" ht="15" customHeight="1" x14ac:dyDescent="0.3">
      <c r="B49" s="227" t="s">
        <v>175</v>
      </c>
      <c r="C49" s="81">
        <f>+I26+E40+E41+E42+E43</f>
        <v>155</v>
      </c>
      <c r="D49" s="100" t="s">
        <v>227</v>
      </c>
      <c r="E49" s="237">
        <f t="shared" si="1"/>
        <v>2.5833333333333335</v>
      </c>
      <c r="F49" s="68"/>
      <c r="G49" s="68"/>
      <c r="I49" s="69"/>
      <c r="J49" s="70"/>
    </row>
    <row r="50" spans="2:10" ht="15" customHeight="1" thickBot="1" x14ac:dyDescent="0.35">
      <c r="B50" s="238" t="s">
        <v>169</v>
      </c>
      <c r="C50" s="239">
        <f>+F11+F20+F21+F23+F24</f>
        <v>1700</v>
      </c>
      <c r="D50" s="213" t="s">
        <v>71</v>
      </c>
      <c r="E50" s="240"/>
      <c r="F50" s="68"/>
      <c r="G50" s="68"/>
      <c r="I50" s="69"/>
      <c r="J50" s="70"/>
    </row>
    <row r="51" spans="2:10" ht="15" customHeight="1" thickBot="1" x14ac:dyDescent="0.35"/>
    <row r="52" spans="2:10" ht="15" customHeight="1" x14ac:dyDescent="0.3">
      <c r="B52" s="312" t="s">
        <v>242</v>
      </c>
      <c r="C52" s="313"/>
      <c r="D52" s="313"/>
      <c r="E52" s="313"/>
      <c r="F52" s="313"/>
      <c r="G52" s="314"/>
      <c r="J52" s="12"/>
    </row>
    <row r="53" spans="2:10" ht="15" customHeight="1" x14ac:dyDescent="0.3">
      <c r="B53" s="253" t="s">
        <v>243</v>
      </c>
      <c r="C53" s="98" t="s">
        <v>206</v>
      </c>
      <c r="D53" s="76" t="s">
        <v>207</v>
      </c>
      <c r="E53" s="90" t="s">
        <v>208</v>
      </c>
      <c r="F53" s="76" t="s">
        <v>228</v>
      </c>
      <c r="G53" s="244" t="s">
        <v>87</v>
      </c>
      <c r="J53" s="12"/>
    </row>
    <row r="54" spans="2:10" ht="15" customHeight="1" x14ac:dyDescent="0.3">
      <c r="B54" s="230" t="s">
        <v>169</v>
      </c>
      <c r="C54" s="82">
        <f>+C50</f>
        <v>1700</v>
      </c>
      <c r="D54" s="60" t="s">
        <v>71</v>
      </c>
      <c r="E54" s="62"/>
      <c r="F54" s="93">
        <f>+CIF!G13</f>
        <v>8.4257996768982224</v>
      </c>
      <c r="G54" s="228">
        <f>+F54*C54</f>
        <v>14323.859450726977</v>
      </c>
      <c r="J54" s="12"/>
    </row>
    <row r="55" spans="2:10" ht="15" customHeight="1" x14ac:dyDescent="0.3">
      <c r="B55" s="230" t="s">
        <v>39</v>
      </c>
      <c r="C55" s="79">
        <f>+C47</f>
        <v>152.5</v>
      </c>
      <c r="D55" s="60" t="s">
        <v>214</v>
      </c>
      <c r="E55" s="62">
        <f>+I26/60</f>
        <v>2.5</v>
      </c>
      <c r="F55" s="93">
        <f>+CIF!G17</f>
        <v>9015.703846153845</v>
      </c>
      <c r="G55" s="228">
        <f>+E55*F55</f>
        <v>22539.259615384613</v>
      </c>
      <c r="J55" s="12"/>
    </row>
    <row r="56" spans="2:10" ht="15" customHeight="1" x14ac:dyDescent="0.3">
      <c r="B56" s="230" t="s">
        <v>40</v>
      </c>
      <c r="C56" s="80">
        <f>+I26+E42+E43</f>
        <v>152.5</v>
      </c>
      <c r="D56" s="60" t="s">
        <v>214</v>
      </c>
      <c r="E56" s="62">
        <f>+E48</f>
        <v>2.5416666666666665</v>
      </c>
      <c r="F56" s="93">
        <f>+CIF!G21</f>
        <v>56187.532051282054</v>
      </c>
      <c r="G56" s="228">
        <f>+E56*F56</f>
        <v>142809.97729700853</v>
      </c>
      <c r="J56" s="12"/>
    </row>
    <row r="57" spans="2:10" ht="15" customHeight="1" x14ac:dyDescent="0.3">
      <c r="B57" s="230" t="s">
        <v>175</v>
      </c>
      <c r="C57" s="80">
        <f>+C49</f>
        <v>155</v>
      </c>
      <c r="D57" s="60" t="s">
        <v>214</v>
      </c>
      <c r="E57" s="62">
        <f>+E49</f>
        <v>2.5833333333333335</v>
      </c>
      <c r="F57" s="93">
        <f>+CIF!F25</f>
        <v>8012.8205128205127</v>
      </c>
      <c r="G57" s="228">
        <f>+E57*F57</f>
        <v>20699.786324786324</v>
      </c>
      <c r="J57" s="12"/>
    </row>
    <row r="58" spans="2:10" ht="15" customHeight="1" thickBot="1" x14ac:dyDescent="0.35">
      <c r="B58" s="363" t="s">
        <v>218</v>
      </c>
      <c r="C58" s="364"/>
      <c r="D58" s="364"/>
      <c r="E58" s="364"/>
      <c r="F58" s="365"/>
      <c r="G58" s="229">
        <f>SUM(G54:G57)</f>
        <v>200372.88268790644</v>
      </c>
      <c r="J58" s="12"/>
    </row>
    <row r="59" spans="2:10" ht="15" customHeight="1" thickBot="1" x14ac:dyDescent="0.35"/>
    <row r="60" spans="2:10" ht="15" customHeight="1" x14ac:dyDescent="0.3">
      <c r="B60" s="312" t="s">
        <v>245</v>
      </c>
      <c r="C60" s="313"/>
      <c r="D60" s="314"/>
    </row>
    <row r="61" spans="2:10" ht="15" customHeight="1" x14ac:dyDescent="0.3">
      <c r="B61" s="356" t="s">
        <v>201</v>
      </c>
      <c r="C61" s="357"/>
      <c r="D61" s="152">
        <f>+J26</f>
        <v>42201.354942726983</v>
      </c>
    </row>
    <row r="62" spans="2:10" ht="15" customHeight="1" x14ac:dyDescent="0.3">
      <c r="B62" s="356" t="s">
        <v>205</v>
      </c>
      <c r="C62" s="357"/>
      <c r="D62" s="152">
        <f>+H36</f>
        <v>186155.2891304348</v>
      </c>
    </row>
    <row r="63" spans="2:10" ht="15" customHeight="1" x14ac:dyDescent="0.3">
      <c r="B63" s="356" t="s">
        <v>242</v>
      </c>
      <c r="C63" s="357"/>
      <c r="D63" s="152">
        <f>+G58</f>
        <v>200372.88268790644</v>
      </c>
    </row>
    <row r="64" spans="2:10" ht="15" customHeight="1" x14ac:dyDescent="0.3">
      <c r="B64" s="356" t="s">
        <v>246</v>
      </c>
      <c r="C64" s="357"/>
      <c r="D64" s="152">
        <f>+D61+D62+D63</f>
        <v>428729.52676106826</v>
      </c>
    </row>
    <row r="65" spans="2:4" ht="15" customHeight="1" x14ac:dyDescent="0.3">
      <c r="B65" s="356" t="s">
        <v>247</v>
      </c>
      <c r="C65" s="357"/>
      <c r="D65" s="241">
        <f>+C11</f>
        <v>20</v>
      </c>
    </row>
    <row r="66" spans="2:4" ht="15" customHeight="1" thickBot="1" x14ac:dyDescent="0.35">
      <c r="B66" s="358" t="s">
        <v>248</v>
      </c>
      <c r="C66" s="359"/>
      <c r="D66" s="225">
        <f>+D64/D65</f>
        <v>21436.476338053413</v>
      </c>
    </row>
    <row r="67" spans="2:4" ht="15" customHeight="1" x14ac:dyDescent="0.3"/>
    <row r="68" spans="2:4" ht="15" customHeight="1" x14ac:dyDescent="0.3"/>
    <row r="69" spans="2:4" ht="15" customHeight="1" x14ac:dyDescent="0.3"/>
    <row r="70" spans="2:4" ht="15" customHeight="1" x14ac:dyDescent="0.3"/>
    <row r="71" spans="2:4" ht="15" customHeight="1" x14ac:dyDescent="0.3"/>
    <row r="72" spans="2:4" ht="15" customHeight="1" x14ac:dyDescent="0.3"/>
    <row r="73" spans="2:4" ht="15" customHeight="1" x14ac:dyDescent="0.3"/>
    <row r="74" spans="2:4" ht="15" customHeight="1" x14ac:dyDescent="0.3"/>
    <row r="75" spans="2:4" ht="15" customHeight="1" x14ac:dyDescent="0.3"/>
    <row r="76" spans="2:4" ht="15" customHeight="1" x14ac:dyDescent="0.3"/>
    <row r="77" spans="2:4" ht="15" customHeight="1" x14ac:dyDescent="0.3"/>
    <row r="78" spans="2:4" ht="15" customHeight="1" x14ac:dyDescent="0.3"/>
    <row r="79" spans="2:4" ht="15" customHeight="1" x14ac:dyDescent="0.3"/>
    <row r="80" spans="2:4" ht="15" customHeight="1" x14ac:dyDescent="0.3"/>
    <row r="81" ht="15" customHeight="1" x14ac:dyDescent="0.3"/>
    <row r="110" ht="16.5" customHeight="1" x14ac:dyDescent="0.3"/>
    <row r="135" ht="16.5" customHeight="1" x14ac:dyDescent="0.3"/>
    <row r="216" ht="16.5" customHeight="1" x14ac:dyDescent="0.3"/>
    <row r="234" spans="11:11" x14ac:dyDescent="0.3">
      <c r="K234" s="11"/>
    </row>
    <row r="235" spans="11:11" ht="16.5" customHeight="1" x14ac:dyDescent="0.3">
      <c r="K235" s="11"/>
    </row>
    <row r="236" spans="11:11" x14ac:dyDescent="0.3">
      <c r="K236" s="11"/>
    </row>
    <row r="237" spans="11:11" x14ac:dyDescent="0.3">
      <c r="K237" s="11"/>
    </row>
    <row r="238" spans="11:11" x14ac:dyDescent="0.3">
      <c r="K238" s="11"/>
    </row>
    <row r="239" spans="11:11" x14ac:dyDescent="0.3">
      <c r="K239" s="11"/>
    </row>
    <row r="240" spans="11:11" x14ac:dyDescent="0.3">
      <c r="K240" s="11"/>
    </row>
    <row r="241" spans="11:11" x14ac:dyDescent="0.3">
      <c r="K241" s="11"/>
    </row>
    <row r="242" spans="11:11" x14ac:dyDescent="0.3">
      <c r="K242" s="11"/>
    </row>
    <row r="243" spans="11:11" x14ac:dyDescent="0.3">
      <c r="K243" s="11"/>
    </row>
    <row r="244" spans="11:11" x14ac:dyDescent="0.3">
      <c r="K244" s="11"/>
    </row>
    <row r="245" spans="11:11" x14ac:dyDescent="0.3">
      <c r="K245" s="11"/>
    </row>
    <row r="246" spans="11:11" x14ac:dyDescent="0.3">
      <c r="K246" s="11"/>
    </row>
    <row r="247" spans="11:11" x14ac:dyDescent="0.3">
      <c r="K247" s="11"/>
    </row>
    <row r="248" spans="11:11" x14ac:dyDescent="0.3">
      <c r="K248" s="11"/>
    </row>
    <row r="249" spans="11:11" x14ac:dyDescent="0.3">
      <c r="K249" s="11"/>
    </row>
    <row r="250" spans="11:11" x14ac:dyDescent="0.3">
      <c r="K250" s="11"/>
    </row>
    <row r="251" spans="11:11" x14ac:dyDescent="0.3">
      <c r="K251" s="11"/>
    </row>
    <row r="252" spans="11:11" x14ac:dyDescent="0.3">
      <c r="K252" s="11"/>
    </row>
    <row r="253" spans="11:11" x14ac:dyDescent="0.3">
      <c r="K253" s="11"/>
    </row>
    <row r="254" spans="11:11" x14ac:dyDescent="0.3">
      <c r="K254" s="11"/>
    </row>
    <row r="255" spans="11:11" x14ac:dyDescent="0.3">
      <c r="K255" s="11"/>
    </row>
    <row r="256" spans="11:11" x14ac:dyDescent="0.3">
      <c r="K256" s="11"/>
    </row>
    <row r="257" spans="11:11" x14ac:dyDescent="0.3">
      <c r="K257" s="11"/>
    </row>
    <row r="258" spans="11:11" x14ac:dyDescent="0.3">
      <c r="K258" s="11"/>
    </row>
    <row r="259" spans="11:11" x14ac:dyDescent="0.3">
      <c r="K259" s="11"/>
    </row>
  </sheetData>
  <mergeCells count="31">
    <mergeCell ref="B63:C63"/>
    <mergeCell ref="B64:C64"/>
    <mergeCell ref="B65:C65"/>
    <mergeCell ref="B66:C66"/>
    <mergeCell ref="B58:F58"/>
    <mergeCell ref="B41:B42"/>
    <mergeCell ref="B52:G52"/>
    <mergeCell ref="B60:D60"/>
    <mergeCell ref="B61:C61"/>
    <mergeCell ref="B62:C62"/>
    <mergeCell ref="B45:E45"/>
    <mergeCell ref="B34:C34"/>
    <mergeCell ref="B35:C35"/>
    <mergeCell ref="B28:H28"/>
    <mergeCell ref="B36:F36"/>
    <mergeCell ref="B38:E38"/>
    <mergeCell ref="B26:H26"/>
    <mergeCell ref="B30:C30"/>
    <mergeCell ref="B31:C31"/>
    <mergeCell ref="B32:C32"/>
    <mergeCell ref="B33:C33"/>
    <mergeCell ref="B8:J8"/>
    <mergeCell ref="B9:J9"/>
    <mergeCell ref="B11:B25"/>
    <mergeCell ref="C11:C25"/>
    <mergeCell ref="D11:D14"/>
    <mergeCell ref="D15:D18"/>
    <mergeCell ref="I15:I17"/>
    <mergeCell ref="D19:D20"/>
    <mergeCell ref="D21:D24"/>
    <mergeCell ref="I11:I14"/>
  </mergeCells>
  <pageMargins left="0.7" right="0.7" top="0.75" bottom="0.75" header="0.3" footer="0.3"/>
  <pageSetup paperSize="9" scale="48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9AF3C-9219-4872-B23A-1194E307EDBB}">
  <dimension ref="A1:AM259"/>
  <sheetViews>
    <sheetView showGridLines="0" view="pageBreakPreview" topLeftCell="A36" zoomScale="90" zoomScaleNormal="80" zoomScaleSheetLayoutView="90" workbookViewId="0">
      <selection activeCell="B60" sqref="B60:D66"/>
    </sheetView>
  </sheetViews>
  <sheetFormatPr baseColWidth="10" defaultColWidth="11.42578125" defaultRowHeight="16.5" x14ac:dyDescent="0.3"/>
  <cols>
    <col min="1" max="1" width="11.42578125" style="12"/>
    <col min="2" max="3" width="22.5703125" style="12" customWidth="1"/>
    <col min="4" max="4" width="15.7109375" style="12" customWidth="1"/>
    <col min="5" max="5" width="22.85546875" style="12" customWidth="1"/>
    <col min="6" max="6" width="11.7109375" style="12" customWidth="1"/>
    <col min="7" max="7" width="12.140625" style="12" customWidth="1"/>
    <col min="8" max="8" width="12.7109375" style="12" customWidth="1"/>
    <col min="9" max="9" width="11.140625" style="12" customWidth="1"/>
    <col min="10" max="10" width="14.28515625" style="19" customWidth="1"/>
    <col min="11" max="16384" width="11.42578125" style="12"/>
  </cols>
  <sheetData>
    <row r="1" spans="1:39" x14ac:dyDescent="0.3">
      <c r="B1" s="169"/>
      <c r="C1" s="170"/>
      <c r="D1" s="170"/>
      <c r="E1" s="170"/>
      <c r="F1" s="170"/>
      <c r="G1" s="170"/>
      <c r="H1" s="170"/>
      <c r="I1" s="170"/>
      <c r="J1" s="199"/>
    </row>
    <row r="2" spans="1:39" x14ac:dyDescent="0.3">
      <c r="B2" s="172"/>
      <c r="J2" s="200"/>
    </row>
    <row r="3" spans="1:39" x14ac:dyDescent="0.3">
      <c r="B3" s="172"/>
      <c r="J3" s="200"/>
    </row>
    <row r="4" spans="1:39" x14ac:dyDescent="0.3">
      <c r="B4" s="172"/>
      <c r="J4" s="200"/>
    </row>
    <row r="5" spans="1:39" x14ac:dyDescent="0.3">
      <c r="B5" s="172"/>
      <c r="J5" s="200"/>
    </row>
    <row r="6" spans="1:39" x14ac:dyDescent="0.3">
      <c r="B6" s="172"/>
      <c r="J6" s="200"/>
    </row>
    <row r="7" spans="1:39" s="46" customFormat="1" ht="17.25" thickBot="1" x14ac:dyDescent="0.35">
      <c r="A7" s="12"/>
      <c r="B7" s="174"/>
      <c r="J7" s="201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</row>
    <row r="8" spans="1:39" ht="36" customHeight="1" x14ac:dyDescent="0.3">
      <c r="B8" s="339" t="s">
        <v>238</v>
      </c>
      <c r="C8" s="340"/>
      <c r="D8" s="340"/>
      <c r="E8" s="340"/>
      <c r="F8" s="340"/>
      <c r="G8" s="340"/>
      <c r="H8" s="340"/>
      <c r="I8" s="340"/>
      <c r="J8" s="341"/>
    </row>
    <row r="9" spans="1:39" ht="27" customHeight="1" x14ac:dyDescent="0.3">
      <c r="B9" s="339" t="s">
        <v>201</v>
      </c>
      <c r="C9" s="340"/>
      <c r="D9" s="340"/>
      <c r="E9" s="340"/>
      <c r="F9" s="340"/>
      <c r="G9" s="340"/>
      <c r="H9" s="340"/>
      <c r="I9" s="340"/>
      <c r="J9" s="341"/>
    </row>
    <row r="10" spans="1:39" ht="66" customHeight="1" x14ac:dyDescent="0.3">
      <c r="B10" s="214" t="s">
        <v>41</v>
      </c>
      <c r="C10" s="43" t="s">
        <v>42</v>
      </c>
      <c r="D10" s="42" t="s">
        <v>68</v>
      </c>
      <c r="E10" s="42" t="s">
        <v>185</v>
      </c>
      <c r="F10" s="43" t="s">
        <v>186</v>
      </c>
      <c r="G10" s="43" t="s">
        <v>187</v>
      </c>
      <c r="H10" s="52" t="s">
        <v>191</v>
      </c>
      <c r="I10" s="43" t="s">
        <v>188</v>
      </c>
      <c r="J10" s="220" t="s">
        <v>202</v>
      </c>
    </row>
    <row r="11" spans="1:39" ht="15" customHeight="1" x14ac:dyDescent="0.3">
      <c r="B11" s="345" t="s">
        <v>194</v>
      </c>
      <c r="C11" s="300">
        <v>35</v>
      </c>
      <c r="D11" s="303" t="s">
        <v>144</v>
      </c>
      <c r="E11" s="53" t="s">
        <v>69</v>
      </c>
      <c r="F11" s="27">
        <f>+C11*H11</f>
        <v>350</v>
      </c>
      <c r="G11" s="27" t="s">
        <v>71</v>
      </c>
      <c r="H11" s="27">
        <v>10</v>
      </c>
      <c r="I11" s="327">
        <v>15</v>
      </c>
      <c r="J11" s="221">
        <f>+F11*CIF!G13</f>
        <v>2949.029886914378</v>
      </c>
    </row>
    <row r="12" spans="1:39" ht="15" customHeight="1" x14ac:dyDescent="0.3">
      <c r="B12" s="346"/>
      <c r="C12" s="301"/>
      <c r="D12" s="304"/>
      <c r="E12" s="53" t="s">
        <v>72</v>
      </c>
      <c r="F12" s="27">
        <f>+F11*H12</f>
        <v>175</v>
      </c>
      <c r="G12" s="27" t="s">
        <v>73</v>
      </c>
      <c r="H12" s="27">
        <v>0.5</v>
      </c>
      <c r="I12" s="328"/>
      <c r="J12" s="221">
        <f>+F12*'MATERIA PRIMA'!H22</f>
        <v>1851.3425</v>
      </c>
    </row>
    <row r="13" spans="1:39" ht="15" customHeight="1" x14ac:dyDescent="0.3">
      <c r="B13" s="346"/>
      <c r="C13" s="301"/>
      <c r="D13" s="304"/>
      <c r="E13" s="53" t="s">
        <v>74</v>
      </c>
      <c r="F13" s="27">
        <f>+F11*H13</f>
        <v>175</v>
      </c>
      <c r="G13" s="27" t="s">
        <v>73</v>
      </c>
      <c r="H13" s="27">
        <v>0.5</v>
      </c>
      <c r="I13" s="328"/>
      <c r="J13" s="221">
        <f>+F13*'MATERIA PRIMA'!H21</f>
        <v>1176.6125</v>
      </c>
    </row>
    <row r="14" spans="1:39" ht="15" customHeight="1" x14ac:dyDescent="0.3">
      <c r="B14" s="346"/>
      <c r="C14" s="301"/>
      <c r="D14" s="305"/>
      <c r="E14" s="53" t="s">
        <v>75</v>
      </c>
      <c r="F14" s="27">
        <f>+F11*H14</f>
        <v>350</v>
      </c>
      <c r="G14" s="27" t="s">
        <v>73</v>
      </c>
      <c r="H14" s="27">
        <v>1</v>
      </c>
      <c r="I14" s="329"/>
      <c r="J14" s="221">
        <f>+F14*'MATERIA PRIMA'!H20</f>
        <v>2040.8500000000001</v>
      </c>
    </row>
    <row r="15" spans="1:39" ht="15" customHeight="1" x14ac:dyDescent="0.3">
      <c r="B15" s="346"/>
      <c r="C15" s="301"/>
      <c r="D15" s="303" t="s">
        <v>77</v>
      </c>
      <c r="E15" s="26" t="s">
        <v>147</v>
      </c>
      <c r="F15" s="27">
        <f>+(C11*1000)*H15</f>
        <v>23.1</v>
      </c>
      <c r="G15" s="27" t="s">
        <v>73</v>
      </c>
      <c r="H15" s="59">
        <v>6.6E-4</v>
      </c>
      <c r="I15" s="369">
        <v>10</v>
      </c>
      <c r="J15" s="221">
        <f>+F15*'MATERIA PRIMA'!H47</f>
        <v>1014.3441000000001</v>
      </c>
    </row>
    <row r="16" spans="1:39" ht="15" customHeight="1" x14ac:dyDescent="0.3">
      <c r="B16" s="346"/>
      <c r="C16" s="301"/>
      <c r="D16" s="304"/>
      <c r="E16" s="26" t="s">
        <v>49</v>
      </c>
      <c r="F16" s="27">
        <f>+(C11*1000)*H16</f>
        <v>11.200000000000001</v>
      </c>
      <c r="G16" s="27" t="s">
        <v>73</v>
      </c>
      <c r="H16" s="59">
        <v>3.2000000000000003E-4</v>
      </c>
      <c r="I16" s="370"/>
      <c r="J16" s="221">
        <f>+F16*'MATERIA PRIMA'!H33</f>
        <v>1768.6256000000003</v>
      </c>
    </row>
    <row r="17" spans="2:10" ht="15" customHeight="1" x14ac:dyDescent="0.3">
      <c r="B17" s="346"/>
      <c r="C17" s="301"/>
      <c r="D17" s="304"/>
      <c r="E17" s="26" t="s">
        <v>149</v>
      </c>
      <c r="F17" s="27">
        <f>+(C11*1000)*H17</f>
        <v>6.3000000000000007</v>
      </c>
      <c r="G17" s="27" t="s">
        <v>73</v>
      </c>
      <c r="H17" s="59">
        <v>1.8000000000000001E-4</v>
      </c>
      <c r="I17" s="371"/>
      <c r="J17" s="222">
        <f>+F17*'MATERIA PRIMA'!H32</f>
        <v>327.61890000000005</v>
      </c>
    </row>
    <row r="18" spans="2:10" ht="15" customHeight="1" x14ac:dyDescent="0.3">
      <c r="B18" s="346"/>
      <c r="C18" s="301"/>
      <c r="D18" s="305"/>
      <c r="E18" s="53" t="s">
        <v>79</v>
      </c>
      <c r="F18" s="27">
        <f>+F11*H18</f>
        <v>21</v>
      </c>
      <c r="G18" s="27" t="s">
        <v>28</v>
      </c>
      <c r="H18" s="58">
        <v>0.06</v>
      </c>
      <c r="I18" s="27">
        <v>20</v>
      </c>
      <c r="J18" s="223">
        <f>+F18*'MATERIA PRIMA'!H54</f>
        <v>9869.995422</v>
      </c>
    </row>
    <row r="19" spans="2:10" ht="15" customHeight="1" x14ac:dyDescent="0.3">
      <c r="B19" s="346"/>
      <c r="C19" s="301"/>
      <c r="D19" s="303" t="s">
        <v>80</v>
      </c>
      <c r="E19" s="53" t="s">
        <v>204</v>
      </c>
      <c r="F19" s="27">
        <f>+F11*H19</f>
        <v>1609.9999999999998</v>
      </c>
      <c r="G19" s="27" t="s">
        <v>73</v>
      </c>
      <c r="H19" s="27">
        <v>4.5999999999999996</v>
      </c>
      <c r="I19" s="27">
        <v>40</v>
      </c>
      <c r="J19" s="221">
        <f>+F19*'MATERIA PRIMA'!H16</f>
        <v>8525.7549999999974</v>
      </c>
    </row>
    <row r="20" spans="2:10" ht="15" customHeight="1" x14ac:dyDescent="0.3">
      <c r="B20" s="346"/>
      <c r="C20" s="301"/>
      <c r="D20" s="305"/>
      <c r="E20" s="53" t="s">
        <v>82</v>
      </c>
      <c r="F20" s="27">
        <f>+F11*H20</f>
        <v>1050</v>
      </c>
      <c r="G20" s="27" t="s">
        <v>71</v>
      </c>
      <c r="H20" s="27">
        <v>3</v>
      </c>
      <c r="I20" s="27">
        <v>10</v>
      </c>
      <c r="J20" s="221">
        <f>+F20*CIF!G13</f>
        <v>8847.0896607431332</v>
      </c>
    </row>
    <row r="21" spans="2:10" ht="15" customHeight="1" x14ac:dyDescent="0.3">
      <c r="B21" s="346"/>
      <c r="C21" s="301"/>
      <c r="D21" s="303" t="s">
        <v>146</v>
      </c>
      <c r="E21" s="53" t="s">
        <v>83</v>
      </c>
      <c r="F21" s="27">
        <f>+F11*H21</f>
        <v>350</v>
      </c>
      <c r="G21" s="27" t="s">
        <v>71</v>
      </c>
      <c r="H21" s="27">
        <v>1</v>
      </c>
      <c r="I21" s="27">
        <v>5</v>
      </c>
      <c r="J21" s="221">
        <f>+F21*CIF!G13</f>
        <v>2949.029886914378</v>
      </c>
    </row>
    <row r="22" spans="2:10" ht="15" customHeight="1" x14ac:dyDescent="0.3">
      <c r="B22" s="346"/>
      <c r="C22" s="301"/>
      <c r="D22" s="304"/>
      <c r="E22" s="53" t="s">
        <v>84</v>
      </c>
      <c r="F22" s="27">
        <f>+F11*H22</f>
        <v>1050</v>
      </c>
      <c r="G22" s="27" t="s">
        <v>73</v>
      </c>
      <c r="H22" s="27">
        <v>3</v>
      </c>
      <c r="I22" s="27">
        <v>15</v>
      </c>
      <c r="J22" s="221">
        <f>+F22*'MATERIA PRIMA'!H17</f>
        <v>24990</v>
      </c>
    </row>
    <row r="23" spans="2:10" ht="15" customHeight="1" x14ac:dyDescent="0.3">
      <c r="B23" s="346"/>
      <c r="C23" s="301"/>
      <c r="D23" s="304"/>
      <c r="E23" s="53" t="s">
        <v>82</v>
      </c>
      <c r="F23" s="27">
        <f>+F11*H23</f>
        <v>1050</v>
      </c>
      <c r="G23" s="27" t="s">
        <v>71</v>
      </c>
      <c r="H23" s="27">
        <v>3</v>
      </c>
      <c r="I23" s="27">
        <v>15</v>
      </c>
      <c r="J23" s="221">
        <f>+F23*CIF!G13</f>
        <v>8847.0896607431332</v>
      </c>
    </row>
    <row r="24" spans="2:10" ht="15" customHeight="1" x14ac:dyDescent="0.3">
      <c r="B24" s="346"/>
      <c r="C24" s="301"/>
      <c r="D24" s="305"/>
      <c r="E24" s="53" t="s">
        <v>83</v>
      </c>
      <c r="F24" s="27">
        <f>+F11*H24</f>
        <v>175</v>
      </c>
      <c r="G24" s="27" t="s">
        <v>71</v>
      </c>
      <c r="H24" s="27">
        <v>0.5</v>
      </c>
      <c r="I24" s="27">
        <v>5</v>
      </c>
      <c r="J24" s="221">
        <f>+F24*CIF!G13</f>
        <v>1474.514943457189</v>
      </c>
    </row>
    <row r="25" spans="2:10" ht="15" customHeight="1" x14ac:dyDescent="0.3">
      <c r="B25" s="347"/>
      <c r="C25" s="348"/>
      <c r="D25" s="51" t="s">
        <v>142</v>
      </c>
      <c r="E25" s="53" t="s">
        <v>151</v>
      </c>
      <c r="F25" s="27">
        <f>+F11*H25</f>
        <v>175</v>
      </c>
      <c r="G25" s="27" t="s">
        <v>73</v>
      </c>
      <c r="H25" s="27">
        <v>0.5</v>
      </c>
      <c r="I25" s="27">
        <v>15</v>
      </c>
      <c r="J25" s="224">
        <f>+F25*'MATERIA PRIMA'!H15</f>
        <v>5414.5</v>
      </c>
    </row>
    <row r="26" spans="2:10" ht="15" customHeight="1" thickBot="1" x14ac:dyDescent="0.35">
      <c r="B26" s="366" t="s">
        <v>216</v>
      </c>
      <c r="C26" s="367"/>
      <c r="D26" s="367"/>
      <c r="E26" s="367"/>
      <c r="F26" s="367"/>
      <c r="G26" s="367"/>
      <c r="H26" s="368"/>
      <c r="I26" s="162">
        <f>+SUM(I11:I25)</f>
        <v>150</v>
      </c>
      <c r="J26" s="225">
        <f>+SUM(J11:J25)</f>
        <v>82046.398060772219</v>
      </c>
    </row>
    <row r="27" spans="2:10" ht="15" customHeight="1" thickBot="1" x14ac:dyDescent="0.35">
      <c r="B27" s="66"/>
      <c r="C27" s="66"/>
      <c r="D27" s="66"/>
      <c r="E27" s="66"/>
      <c r="F27" s="66"/>
      <c r="G27" s="66"/>
      <c r="H27" s="66"/>
      <c r="J27" s="67"/>
    </row>
    <row r="28" spans="2:10" ht="15" customHeight="1" x14ac:dyDescent="0.3">
      <c r="B28" s="312" t="s">
        <v>205</v>
      </c>
      <c r="C28" s="313"/>
      <c r="D28" s="313"/>
      <c r="E28" s="313"/>
      <c r="F28" s="313"/>
      <c r="G28" s="314"/>
      <c r="H28" s="78"/>
      <c r="I28" s="78"/>
      <c r="J28" s="78"/>
    </row>
    <row r="29" spans="2:10" ht="15" customHeight="1" x14ac:dyDescent="0.3">
      <c r="B29" s="247" t="s">
        <v>205</v>
      </c>
      <c r="C29" s="75" t="s">
        <v>206</v>
      </c>
      <c r="D29" s="76" t="s">
        <v>207</v>
      </c>
      <c r="E29" s="77" t="s">
        <v>208</v>
      </c>
      <c r="F29" s="76" t="s">
        <v>209</v>
      </c>
      <c r="G29" s="244" t="s">
        <v>87</v>
      </c>
      <c r="J29" s="12"/>
    </row>
    <row r="30" spans="2:10" ht="15" customHeight="1" x14ac:dyDescent="0.3">
      <c r="B30" s="230" t="s">
        <v>210</v>
      </c>
      <c r="C30" s="27">
        <v>1</v>
      </c>
      <c r="D30" s="60" t="s">
        <v>214</v>
      </c>
      <c r="E30" s="62">
        <f>+I26/60</f>
        <v>2.5</v>
      </c>
      <c r="F30" s="93">
        <f>+'MANO OBRA P.'!C35</f>
        <v>28609.121739130438</v>
      </c>
      <c r="G30" s="228">
        <f>C30*E30*F30</f>
        <v>71522.804347826095</v>
      </c>
      <c r="J30" s="12"/>
    </row>
    <row r="31" spans="2:10" ht="15" customHeight="1" x14ac:dyDescent="0.3">
      <c r="B31" s="230" t="s">
        <v>211</v>
      </c>
      <c r="C31" s="27">
        <v>1</v>
      </c>
      <c r="D31" s="60" t="s">
        <v>214</v>
      </c>
      <c r="E31" s="62">
        <f>+I26/60</f>
        <v>2.5</v>
      </c>
      <c r="F31" s="93">
        <f>+'MANO OBRA P.'!C60</f>
        <v>16728.110869565218</v>
      </c>
      <c r="G31" s="228">
        <f t="shared" ref="G31:G35" si="0">C31*E31*F31</f>
        <v>41820.277173913048</v>
      </c>
      <c r="J31" s="12"/>
    </row>
    <row r="32" spans="2:10" ht="15" customHeight="1" x14ac:dyDescent="0.3">
      <c r="B32" s="230" t="s">
        <v>222</v>
      </c>
      <c r="C32" s="27">
        <v>1</v>
      </c>
      <c r="D32" s="60" t="s">
        <v>214</v>
      </c>
      <c r="E32" s="62">
        <v>2</v>
      </c>
      <c r="F32" s="93">
        <f>+'MANO OBRA P.'!C85</f>
        <v>13072.415217391304</v>
      </c>
      <c r="G32" s="228">
        <f t="shared" si="0"/>
        <v>26144.830434782609</v>
      </c>
      <c r="J32" s="12"/>
    </row>
    <row r="33" spans="2:10" ht="15" customHeight="1" x14ac:dyDescent="0.3">
      <c r="B33" s="230" t="s">
        <v>212</v>
      </c>
      <c r="C33" s="27">
        <v>1</v>
      </c>
      <c r="D33" s="60" t="s">
        <v>214</v>
      </c>
      <c r="E33" s="62">
        <v>1</v>
      </c>
      <c r="F33" s="93">
        <f>+'MANO OBRA P.'!C85</f>
        <v>13072.415217391304</v>
      </c>
      <c r="G33" s="228">
        <f t="shared" si="0"/>
        <v>13072.415217391304</v>
      </c>
      <c r="J33" s="12"/>
    </row>
    <row r="34" spans="2:10" ht="15" customHeight="1" x14ac:dyDescent="0.3">
      <c r="B34" s="230" t="s">
        <v>213</v>
      </c>
      <c r="C34" s="27">
        <v>1</v>
      </c>
      <c r="D34" s="60" t="s">
        <v>214</v>
      </c>
      <c r="E34" s="62">
        <v>1.5</v>
      </c>
      <c r="F34" s="93">
        <f>+'MANO OBRA P.'!C85</f>
        <v>13072.415217391304</v>
      </c>
      <c r="G34" s="228">
        <f t="shared" si="0"/>
        <v>19608.622826086958</v>
      </c>
      <c r="J34" s="12"/>
    </row>
    <row r="35" spans="2:10" ht="15" customHeight="1" x14ac:dyDescent="0.3">
      <c r="B35" s="230" t="s">
        <v>221</v>
      </c>
      <c r="C35" s="27">
        <v>1</v>
      </c>
      <c r="D35" s="60" t="s">
        <v>214</v>
      </c>
      <c r="E35" s="64">
        <v>1</v>
      </c>
      <c r="F35" s="99">
        <f>+'MANO OBRA P.'!C110</f>
        <v>13986.339130434782</v>
      </c>
      <c r="G35" s="228">
        <f t="shared" si="0"/>
        <v>13986.339130434782</v>
      </c>
      <c r="J35" s="12"/>
    </row>
    <row r="36" spans="2:10" ht="15" customHeight="1" thickBot="1" x14ac:dyDescent="0.35">
      <c r="B36" s="363" t="s">
        <v>215</v>
      </c>
      <c r="C36" s="364"/>
      <c r="D36" s="364"/>
      <c r="E36" s="364"/>
      <c r="F36" s="365"/>
      <c r="G36" s="229">
        <f>SUM(G30:G35)</f>
        <v>186155.2891304348</v>
      </c>
      <c r="J36" s="12"/>
    </row>
    <row r="37" spans="2:10" ht="15" customHeight="1" thickBot="1" x14ac:dyDescent="0.35">
      <c r="B37" s="68"/>
      <c r="C37" s="68"/>
      <c r="D37" s="68"/>
      <c r="E37" s="68"/>
      <c r="F37" s="68"/>
      <c r="G37" s="68"/>
      <c r="I37" s="69"/>
      <c r="J37" s="70"/>
    </row>
    <row r="38" spans="2:10" ht="15" customHeight="1" x14ac:dyDescent="0.3">
      <c r="B38" s="377" t="s">
        <v>219</v>
      </c>
      <c r="C38" s="378"/>
      <c r="D38" s="378"/>
      <c r="E38" s="379"/>
      <c r="F38" s="78"/>
      <c r="G38" s="78"/>
      <c r="H38" s="78"/>
      <c r="I38" s="78"/>
      <c r="J38" s="78"/>
    </row>
    <row r="39" spans="2:10" ht="15" customHeight="1" x14ac:dyDescent="0.3">
      <c r="B39" s="250" t="s">
        <v>217</v>
      </c>
      <c r="C39" s="98" t="s">
        <v>185</v>
      </c>
      <c r="D39" s="76" t="s">
        <v>207</v>
      </c>
      <c r="E39" s="244" t="s">
        <v>208</v>
      </c>
      <c r="G39" s="71"/>
      <c r="H39" s="72"/>
      <c r="J39" s="12"/>
    </row>
    <row r="40" spans="2:10" ht="15" customHeight="1" x14ac:dyDescent="0.3">
      <c r="B40" s="230" t="s">
        <v>88</v>
      </c>
      <c r="C40" s="27" t="s">
        <v>39</v>
      </c>
      <c r="D40" s="60" t="s">
        <v>214</v>
      </c>
      <c r="E40" s="231">
        <f>+E33</f>
        <v>1</v>
      </c>
      <c r="G40" s="73"/>
      <c r="H40" s="74"/>
      <c r="J40" s="12"/>
    </row>
    <row r="41" spans="2:10" ht="15" customHeight="1" x14ac:dyDescent="0.3">
      <c r="B41" s="388" t="s">
        <v>89</v>
      </c>
      <c r="C41" s="27" t="s">
        <v>39</v>
      </c>
      <c r="D41" s="60" t="s">
        <v>214</v>
      </c>
      <c r="E41" s="231">
        <f>+E34</f>
        <v>1.5</v>
      </c>
      <c r="G41" s="73"/>
      <c r="H41" s="74"/>
      <c r="J41" s="12"/>
    </row>
    <row r="42" spans="2:10" ht="15" customHeight="1" x14ac:dyDescent="0.3">
      <c r="B42" s="389"/>
      <c r="C42" s="27" t="s">
        <v>40</v>
      </c>
      <c r="D42" s="60" t="s">
        <v>214</v>
      </c>
      <c r="E42" s="231">
        <f>+E34</f>
        <v>1.5</v>
      </c>
      <c r="G42" s="73"/>
      <c r="H42" s="74"/>
      <c r="J42" s="12"/>
    </row>
    <row r="43" spans="2:10" ht="15" customHeight="1" thickBot="1" x14ac:dyDescent="0.35">
      <c r="B43" s="242" t="s">
        <v>220</v>
      </c>
      <c r="C43" s="162" t="s">
        <v>40</v>
      </c>
      <c r="D43" s="213" t="s">
        <v>214</v>
      </c>
      <c r="E43" s="235">
        <f>+E35</f>
        <v>1</v>
      </c>
      <c r="G43" s="73"/>
      <c r="H43" s="74"/>
      <c r="J43" s="12"/>
    </row>
    <row r="44" spans="2:10" ht="15" customHeight="1" thickBot="1" x14ac:dyDescent="0.35">
      <c r="B44" s="68"/>
      <c r="C44" s="68"/>
      <c r="D44" s="68"/>
      <c r="E44" s="68"/>
      <c r="F44" s="68"/>
      <c r="G44" s="68"/>
      <c r="I44" s="69"/>
      <c r="J44" s="70"/>
    </row>
    <row r="45" spans="2:10" ht="15" customHeight="1" x14ac:dyDescent="0.3">
      <c r="B45" s="360" t="s">
        <v>224</v>
      </c>
      <c r="C45" s="361"/>
      <c r="D45" s="361"/>
      <c r="E45" s="362"/>
      <c r="F45" s="68"/>
      <c r="G45" s="68"/>
      <c r="I45" s="69"/>
      <c r="J45" s="70"/>
    </row>
    <row r="46" spans="2:10" ht="15" customHeight="1" x14ac:dyDescent="0.3">
      <c r="B46" s="214" t="s">
        <v>217</v>
      </c>
      <c r="C46" s="43" t="s">
        <v>223</v>
      </c>
      <c r="D46" s="43" t="s">
        <v>226</v>
      </c>
      <c r="E46" s="236" t="s">
        <v>225</v>
      </c>
      <c r="F46" s="68"/>
      <c r="G46" s="68"/>
      <c r="I46" s="69"/>
      <c r="J46" s="70"/>
    </row>
    <row r="47" spans="2:10" ht="15" customHeight="1" x14ac:dyDescent="0.3">
      <c r="B47" s="227" t="s">
        <v>39</v>
      </c>
      <c r="C47" s="81">
        <f>+I26+E40+E41</f>
        <v>152.5</v>
      </c>
      <c r="D47" s="100" t="s">
        <v>227</v>
      </c>
      <c r="E47" s="237">
        <f>+C47/60</f>
        <v>2.5416666666666665</v>
      </c>
      <c r="F47" s="68"/>
      <c r="G47" s="68"/>
      <c r="I47" s="69"/>
      <c r="J47" s="70"/>
    </row>
    <row r="48" spans="2:10" ht="15" customHeight="1" x14ac:dyDescent="0.3">
      <c r="B48" s="227" t="s">
        <v>40</v>
      </c>
      <c r="C48" s="81">
        <f>+I26+E42+E43</f>
        <v>152.5</v>
      </c>
      <c r="D48" s="100" t="s">
        <v>227</v>
      </c>
      <c r="E48" s="237">
        <f t="shared" ref="E48:E49" si="1">+C48/60</f>
        <v>2.5416666666666665</v>
      </c>
      <c r="F48" s="68"/>
      <c r="G48" s="68"/>
      <c r="I48" s="69"/>
      <c r="J48" s="70"/>
    </row>
    <row r="49" spans="2:10" ht="15" customHeight="1" x14ac:dyDescent="0.3">
      <c r="B49" s="227" t="s">
        <v>175</v>
      </c>
      <c r="C49" s="81">
        <f>+I26+E40+E41+E42+E43</f>
        <v>155</v>
      </c>
      <c r="D49" s="100" t="s">
        <v>227</v>
      </c>
      <c r="E49" s="237">
        <f t="shared" si="1"/>
        <v>2.5833333333333335</v>
      </c>
      <c r="F49" s="68"/>
      <c r="G49" s="68"/>
      <c r="I49" s="69"/>
      <c r="J49" s="70"/>
    </row>
    <row r="50" spans="2:10" ht="15" customHeight="1" thickBot="1" x14ac:dyDescent="0.35">
      <c r="B50" s="238" t="s">
        <v>169</v>
      </c>
      <c r="C50" s="239">
        <f>+F11+F20+F21+F23+F24</f>
        <v>2975</v>
      </c>
      <c r="D50" s="213" t="s">
        <v>71</v>
      </c>
      <c r="E50" s="240"/>
      <c r="F50" s="68"/>
      <c r="G50" s="68"/>
      <c r="I50" s="69"/>
      <c r="J50" s="70"/>
    </row>
    <row r="51" spans="2:10" ht="15" customHeight="1" thickBot="1" x14ac:dyDescent="0.35"/>
    <row r="52" spans="2:10" ht="15" customHeight="1" x14ac:dyDescent="0.3">
      <c r="B52" s="312" t="s">
        <v>217</v>
      </c>
      <c r="C52" s="313"/>
      <c r="D52" s="313"/>
      <c r="E52" s="313"/>
      <c r="F52" s="313"/>
      <c r="G52" s="314"/>
      <c r="J52" s="12"/>
    </row>
    <row r="53" spans="2:10" ht="15" customHeight="1" x14ac:dyDescent="0.3">
      <c r="B53" s="253" t="s">
        <v>243</v>
      </c>
      <c r="C53" s="88" t="s">
        <v>206</v>
      </c>
      <c r="D53" s="43" t="s">
        <v>207</v>
      </c>
      <c r="E53" s="61" t="s">
        <v>208</v>
      </c>
      <c r="F53" s="43" t="s">
        <v>228</v>
      </c>
      <c r="G53" s="226" t="s">
        <v>87</v>
      </c>
      <c r="J53" s="12"/>
    </row>
    <row r="54" spans="2:10" ht="15" customHeight="1" x14ac:dyDescent="0.3">
      <c r="B54" s="243" t="s">
        <v>169</v>
      </c>
      <c r="C54" s="82">
        <f>+C50</f>
        <v>2975</v>
      </c>
      <c r="D54" s="60" t="s">
        <v>71</v>
      </c>
      <c r="E54" s="62"/>
      <c r="F54" s="93">
        <f>+CIF!G13</f>
        <v>8.4257996768982224</v>
      </c>
      <c r="G54" s="228">
        <f>+F54*C54</f>
        <v>25066.754038772211</v>
      </c>
      <c r="J54" s="12"/>
    </row>
    <row r="55" spans="2:10" ht="15" customHeight="1" x14ac:dyDescent="0.3">
      <c r="B55" s="243" t="s">
        <v>39</v>
      </c>
      <c r="C55" s="79">
        <f>+C47</f>
        <v>152.5</v>
      </c>
      <c r="D55" s="60" t="s">
        <v>214</v>
      </c>
      <c r="E55" s="62">
        <f>+I26/60</f>
        <v>2.5</v>
      </c>
      <c r="F55" s="93">
        <f>+CIF!G17</f>
        <v>9015.703846153845</v>
      </c>
      <c r="G55" s="228">
        <f>+E55*F55</f>
        <v>22539.259615384613</v>
      </c>
      <c r="J55" s="12"/>
    </row>
    <row r="56" spans="2:10" ht="15" customHeight="1" x14ac:dyDescent="0.3">
      <c r="B56" s="243" t="s">
        <v>40</v>
      </c>
      <c r="C56" s="80">
        <f>+I26+E42+E43</f>
        <v>152.5</v>
      </c>
      <c r="D56" s="60" t="s">
        <v>214</v>
      </c>
      <c r="E56" s="62">
        <f>+E48</f>
        <v>2.5416666666666665</v>
      </c>
      <c r="F56" s="93">
        <f>+CIF!G21</f>
        <v>56187.532051282054</v>
      </c>
      <c r="G56" s="228">
        <f>+E56*F56</f>
        <v>142809.97729700853</v>
      </c>
      <c r="J56" s="12"/>
    </row>
    <row r="57" spans="2:10" ht="15" customHeight="1" x14ac:dyDescent="0.3">
      <c r="B57" s="243" t="s">
        <v>175</v>
      </c>
      <c r="C57" s="80">
        <f>+C49</f>
        <v>155</v>
      </c>
      <c r="D57" s="60" t="s">
        <v>214</v>
      </c>
      <c r="E57" s="62">
        <f>+E49</f>
        <v>2.5833333333333335</v>
      </c>
      <c r="F57" s="93">
        <f>+CIF!F25</f>
        <v>8012.8205128205127</v>
      </c>
      <c r="G57" s="228">
        <f>+E57*F57</f>
        <v>20699.786324786324</v>
      </c>
      <c r="J57" s="12"/>
    </row>
    <row r="58" spans="2:10" ht="15" customHeight="1" thickBot="1" x14ac:dyDescent="0.35">
      <c r="B58" s="363" t="s">
        <v>218</v>
      </c>
      <c r="C58" s="364"/>
      <c r="D58" s="364"/>
      <c r="E58" s="364"/>
      <c r="F58" s="365"/>
      <c r="G58" s="229">
        <f>SUM(G54:G57)</f>
        <v>211115.77727595167</v>
      </c>
    </row>
    <row r="59" spans="2:10" ht="15" customHeight="1" thickBot="1" x14ac:dyDescent="0.35"/>
    <row r="60" spans="2:10" ht="15" customHeight="1" x14ac:dyDescent="0.3">
      <c r="B60" s="312" t="s">
        <v>245</v>
      </c>
      <c r="C60" s="313"/>
      <c r="D60" s="314"/>
    </row>
    <row r="61" spans="2:10" ht="15" customHeight="1" x14ac:dyDescent="0.3">
      <c r="B61" s="356" t="s">
        <v>201</v>
      </c>
      <c r="C61" s="357"/>
      <c r="D61" s="152">
        <f>+J26</f>
        <v>82046.398060772219</v>
      </c>
    </row>
    <row r="62" spans="2:10" ht="15" customHeight="1" x14ac:dyDescent="0.3">
      <c r="B62" s="356" t="s">
        <v>205</v>
      </c>
      <c r="C62" s="357"/>
      <c r="D62" s="152">
        <f>+G36</f>
        <v>186155.2891304348</v>
      </c>
    </row>
    <row r="63" spans="2:10" ht="15" customHeight="1" x14ac:dyDescent="0.3">
      <c r="B63" s="356" t="s">
        <v>242</v>
      </c>
      <c r="C63" s="357"/>
      <c r="D63" s="152">
        <f>+G58</f>
        <v>211115.77727595167</v>
      </c>
    </row>
    <row r="64" spans="2:10" ht="15" customHeight="1" x14ac:dyDescent="0.3">
      <c r="B64" s="356" t="s">
        <v>246</v>
      </c>
      <c r="C64" s="357"/>
      <c r="D64" s="152">
        <f>+D61+D62+D63</f>
        <v>479317.46446715866</v>
      </c>
    </row>
    <row r="65" spans="2:4" ht="15" customHeight="1" x14ac:dyDescent="0.3">
      <c r="B65" s="356" t="s">
        <v>247</v>
      </c>
      <c r="C65" s="357"/>
      <c r="D65" s="241">
        <f>+C11</f>
        <v>35</v>
      </c>
    </row>
    <row r="66" spans="2:4" ht="15" customHeight="1" thickBot="1" x14ac:dyDescent="0.35">
      <c r="B66" s="358" t="s">
        <v>248</v>
      </c>
      <c r="C66" s="359"/>
      <c r="D66" s="225">
        <f>+D64/D65</f>
        <v>13694.784699061676</v>
      </c>
    </row>
    <row r="67" spans="2:4" ht="15" customHeight="1" x14ac:dyDescent="0.3"/>
    <row r="68" spans="2:4" ht="15" customHeight="1" x14ac:dyDescent="0.3"/>
    <row r="69" spans="2:4" ht="15" customHeight="1" x14ac:dyDescent="0.3"/>
    <row r="70" spans="2:4" ht="15" customHeight="1" x14ac:dyDescent="0.3"/>
    <row r="71" spans="2:4" ht="15" customHeight="1" x14ac:dyDescent="0.3"/>
    <row r="72" spans="2:4" ht="15" customHeight="1" x14ac:dyDescent="0.3"/>
    <row r="73" spans="2:4" ht="15" customHeight="1" x14ac:dyDescent="0.3"/>
    <row r="74" spans="2:4" ht="15" customHeight="1" x14ac:dyDescent="0.3"/>
    <row r="75" spans="2:4" ht="15" customHeight="1" x14ac:dyDescent="0.3"/>
    <row r="76" spans="2:4" ht="15" customHeight="1" x14ac:dyDescent="0.3"/>
    <row r="77" spans="2:4" ht="15" customHeight="1" x14ac:dyDescent="0.3"/>
    <row r="78" spans="2:4" ht="15" customHeight="1" x14ac:dyDescent="0.3"/>
    <row r="79" spans="2:4" ht="15" customHeight="1" x14ac:dyDescent="0.3"/>
    <row r="80" spans="2:4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10" ht="16.5" customHeight="1" x14ac:dyDescent="0.3"/>
    <row r="135" ht="16.5" customHeight="1" x14ac:dyDescent="0.3"/>
    <row r="216" ht="16.5" customHeight="1" x14ac:dyDescent="0.3"/>
    <row r="234" spans="11:11" x14ac:dyDescent="0.3">
      <c r="K234" s="11"/>
    </row>
    <row r="235" spans="11:11" ht="16.5" customHeight="1" x14ac:dyDescent="0.3">
      <c r="K235" s="11"/>
    </row>
    <row r="236" spans="11:11" x14ac:dyDescent="0.3">
      <c r="K236" s="11"/>
    </row>
    <row r="237" spans="11:11" x14ac:dyDescent="0.3">
      <c r="K237" s="11"/>
    </row>
    <row r="238" spans="11:11" x14ac:dyDescent="0.3">
      <c r="K238" s="11"/>
    </row>
    <row r="239" spans="11:11" x14ac:dyDescent="0.3">
      <c r="K239" s="11"/>
    </row>
    <row r="240" spans="11:11" x14ac:dyDescent="0.3">
      <c r="K240" s="11"/>
    </row>
    <row r="241" spans="11:11" x14ac:dyDescent="0.3">
      <c r="K241" s="11"/>
    </row>
    <row r="242" spans="11:11" x14ac:dyDescent="0.3">
      <c r="K242" s="11"/>
    </row>
    <row r="243" spans="11:11" x14ac:dyDescent="0.3">
      <c r="K243" s="11"/>
    </row>
    <row r="244" spans="11:11" x14ac:dyDescent="0.3">
      <c r="K244" s="11"/>
    </row>
    <row r="245" spans="11:11" x14ac:dyDescent="0.3">
      <c r="K245" s="11"/>
    </row>
    <row r="246" spans="11:11" x14ac:dyDescent="0.3">
      <c r="K246" s="11"/>
    </row>
    <row r="247" spans="11:11" x14ac:dyDescent="0.3">
      <c r="K247" s="11"/>
    </row>
    <row r="248" spans="11:11" x14ac:dyDescent="0.3">
      <c r="K248" s="11"/>
    </row>
    <row r="249" spans="11:11" x14ac:dyDescent="0.3">
      <c r="K249" s="11"/>
    </row>
    <row r="250" spans="11:11" x14ac:dyDescent="0.3">
      <c r="K250" s="11"/>
    </row>
    <row r="251" spans="11:11" x14ac:dyDescent="0.3">
      <c r="K251" s="11"/>
    </row>
    <row r="252" spans="11:11" x14ac:dyDescent="0.3">
      <c r="K252" s="11"/>
    </row>
    <row r="253" spans="11:11" x14ac:dyDescent="0.3">
      <c r="K253" s="11"/>
    </row>
    <row r="254" spans="11:11" x14ac:dyDescent="0.3">
      <c r="K254" s="11"/>
    </row>
    <row r="255" spans="11:11" x14ac:dyDescent="0.3">
      <c r="K255" s="11"/>
    </row>
    <row r="256" spans="11:11" x14ac:dyDescent="0.3">
      <c r="K256" s="11"/>
    </row>
    <row r="257" spans="11:11" x14ac:dyDescent="0.3">
      <c r="K257" s="11"/>
    </row>
    <row r="258" spans="11:11" x14ac:dyDescent="0.3">
      <c r="K258" s="11"/>
    </row>
    <row r="259" spans="11:11" x14ac:dyDescent="0.3">
      <c r="K259" s="11"/>
    </row>
  </sheetData>
  <mergeCells count="25">
    <mergeCell ref="B65:C65"/>
    <mergeCell ref="B66:C66"/>
    <mergeCell ref="B60:D60"/>
    <mergeCell ref="B61:C61"/>
    <mergeCell ref="B62:C62"/>
    <mergeCell ref="B63:C63"/>
    <mergeCell ref="B64:C64"/>
    <mergeCell ref="B41:B42"/>
    <mergeCell ref="B45:E45"/>
    <mergeCell ref="B52:G52"/>
    <mergeCell ref="B58:F58"/>
    <mergeCell ref="B26:H26"/>
    <mergeCell ref="B28:G28"/>
    <mergeCell ref="B38:E38"/>
    <mergeCell ref="B36:F36"/>
    <mergeCell ref="B8:J8"/>
    <mergeCell ref="B9:J9"/>
    <mergeCell ref="B11:B25"/>
    <mergeCell ref="C11:C25"/>
    <mergeCell ref="D11:D14"/>
    <mergeCell ref="D15:D18"/>
    <mergeCell ref="I15:I17"/>
    <mergeCell ref="D19:D20"/>
    <mergeCell ref="D21:D24"/>
    <mergeCell ref="I11:I14"/>
  </mergeCells>
  <pageMargins left="0.7" right="0.7" top="0.75" bottom="0.75" header="0.3" footer="0.3"/>
  <pageSetup paperSize="9" scale="48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22438-B1B8-47DC-9AA4-9FF6FDE07CAE}">
  <dimension ref="A1:AT253"/>
  <sheetViews>
    <sheetView showGridLines="0" view="pageBreakPreview" topLeftCell="A33" zoomScale="90" zoomScaleNormal="80" zoomScaleSheetLayoutView="90" workbookViewId="0">
      <selection activeCell="B53" sqref="B53:D59"/>
    </sheetView>
  </sheetViews>
  <sheetFormatPr baseColWidth="10" defaultColWidth="11.42578125" defaultRowHeight="16.5" x14ac:dyDescent="0.3"/>
  <cols>
    <col min="1" max="1" width="11.42578125" style="12"/>
    <col min="2" max="3" width="22.28515625" style="12" customWidth="1"/>
    <col min="4" max="4" width="15.7109375" style="12" customWidth="1"/>
    <col min="5" max="5" width="21.140625" style="12" customWidth="1"/>
    <col min="6" max="6" width="12" style="12" customWidth="1"/>
    <col min="7" max="7" width="13.5703125" style="12" customWidth="1"/>
    <col min="8" max="8" width="12.7109375" style="12" customWidth="1"/>
    <col min="9" max="9" width="10.7109375" style="12" customWidth="1"/>
    <col min="10" max="10" width="14.28515625" style="19" customWidth="1"/>
    <col min="11" max="16384" width="11.42578125" style="12"/>
  </cols>
  <sheetData>
    <row r="1" spans="1:46" x14ac:dyDescent="0.3">
      <c r="B1" s="169"/>
      <c r="C1" s="170"/>
      <c r="D1" s="170"/>
      <c r="E1" s="170"/>
      <c r="F1" s="170"/>
      <c r="G1" s="170"/>
      <c r="H1" s="170"/>
      <c r="I1" s="170"/>
      <c r="J1" s="199"/>
    </row>
    <row r="2" spans="1:46" x14ac:dyDescent="0.3">
      <c r="B2" s="172"/>
      <c r="J2" s="200"/>
    </row>
    <row r="3" spans="1:46" x14ac:dyDescent="0.3">
      <c r="B3" s="172"/>
      <c r="J3" s="200"/>
    </row>
    <row r="4" spans="1:46" x14ac:dyDescent="0.3">
      <c r="B4" s="172"/>
      <c r="J4" s="200"/>
    </row>
    <row r="5" spans="1:46" x14ac:dyDescent="0.3">
      <c r="B5" s="172"/>
      <c r="J5" s="200"/>
    </row>
    <row r="6" spans="1:46" x14ac:dyDescent="0.3">
      <c r="B6" s="172"/>
      <c r="J6" s="200"/>
    </row>
    <row r="7" spans="1:46" s="46" customFormat="1" ht="17.25" thickBot="1" x14ac:dyDescent="0.35">
      <c r="A7" s="12"/>
      <c r="B7" s="174"/>
      <c r="J7" s="201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</row>
    <row r="8" spans="1:46" ht="36" customHeight="1" x14ac:dyDescent="0.3">
      <c r="B8" s="390" t="s">
        <v>239</v>
      </c>
      <c r="C8" s="391"/>
      <c r="D8" s="391"/>
      <c r="E8" s="391"/>
      <c r="F8" s="391"/>
      <c r="G8" s="391"/>
      <c r="H8" s="391"/>
      <c r="I8" s="391"/>
      <c r="J8" s="392"/>
    </row>
    <row r="9" spans="1:46" ht="27" customHeight="1" x14ac:dyDescent="0.3">
      <c r="B9" s="339" t="s">
        <v>201</v>
      </c>
      <c r="C9" s="340"/>
      <c r="D9" s="340"/>
      <c r="E9" s="340"/>
      <c r="F9" s="340"/>
      <c r="G9" s="340"/>
      <c r="H9" s="340"/>
      <c r="I9" s="340"/>
      <c r="J9" s="341"/>
    </row>
    <row r="10" spans="1:46" ht="74.25" customHeight="1" x14ac:dyDescent="0.3">
      <c r="B10" s="214" t="s">
        <v>41</v>
      </c>
      <c r="C10" s="43" t="s">
        <v>42</v>
      </c>
      <c r="D10" s="42" t="s">
        <v>68</v>
      </c>
      <c r="E10" s="42" t="s">
        <v>185</v>
      </c>
      <c r="F10" s="43" t="s">
        <v>186</v>
      </c>
      <c r="G10" s="43" t="s">
        <v>187</v>
      </c>
      <c r="H10" s="52" t="s">
        <v>191</v>
      </c>
      <c r="I10" s="43" t="s">
        <v>188</v>
      </c>
      <c r="J10" s="220" t="s">
        <v>202</v>
      </c>
    </row>
    <row r="11" spans="1:46" ht="15" customHeight="1" x14ac:dyDescent="0.3">
      <c r="B11" s="345" t="s">
        <v>240</v>
      </c>
      <c r="C11" s="300">
        <v>40</v>
      </c>
      <c r="D11" s="303" t="s">
        <v>144</v>
      </c>
      <c r="E11" s="53" t="s">
        <v>69</v>
      </c>
      <c r="F11" s="27">
        <f>+C11*H11</f>
        <v>400</v>
      </c>
      <c r="G11" s="27" t="s">
        <v>71</v>
      </c>
      <c r="H11" s="27">
        <v>10</v>
      </c>
      <c r="I11" s="327">
        <v>15</v>
      </c>
      <c r="J11" s="221">
        <f>+F11*CIF!G13</f>
        <v>3370.3198707592892</v>
      </c>
    </row>
    <row r="12" spans="1:46" ht="15" customHeight="1" x14ac:dyDescent="0.3">
      <c r="B12" s="346"/>
      <c r="C12" s="301"/>
      <c r="D12" s="304"/>
      <c r="E12" s="53" t="s">
        <v>72</v>
      </c>
      <c r="F12" s="27">
        <f>+F11*H12</f>
        <v>200</v>
      </c>
      <c r="G12" s="27" t="s">
        <v>73</v>
      </c>
      <c r="H12" s="27">
        <v>0.5</v>
      </c>
      <c r="I12" s="328"/>
      <c r="J12" s="221">
        <f>+F12*'MATERIA PRIMA'!H22</f>
        <v>2115.8200000000002</v>
      </c>
    </row>
    <row r="13" spans="1:46" ht="15" customHeight="1" x14ac:dyDescent="0.3">
      <c r="B13" s="346"/>
      <c r="C13" s="301"/>
      <c r="D13" s="304"/>
      <c r="E13" s="53" t="s">
        <v>74</v>
      </c>
      <c r="F13" s="27">
        <f>+F11*H13</f>
        <v>200</v>
      </c>
      <c r="G13" s="27" t="s">
        <v>73</v>
      </c>
      <c r="H13" s="27">
        <v>0.5</v>
      </c>
      <c r="I13" s="328"/>
      <c r="J13" s="221">
        <f>+F13*'MATERIA PRIMA'!H21</f>
        <v>1344.6999999999998</v>
      </c>
    </row>
    <row r="14" spans="1:46" ht="15" customHeight="1" x14ac:dyDescent="0.3">
      <c r="B14" s="346"/>
      <c r="C14" s="301"/>
      <c r="D14" s="305"/>
      <c r="E14" s="53" t="s">
        <v>159</v>
      </c>
      <c r="F14" s="27">
        <f>+F11*H14</f>
        <v>600</v>
      </c>
      <c r="G14" s="27" t="s">
        <v>73</v>
      </c>
      <c r="H14" s="27">
        <v>1.5</v>
      </c>
      <c r="I14" s="329"/>
      <c r="J14" s="221">
        <f>+F14*'MATERIA PRIMA'!H20</f>
        <v>3498.6000000000004</v>
      </c>
    </row>
    <row r="15" spans="1:46" ht="15" customHeight="1" x14ac:dyDescent="0.3">
      <c r="B15" s="346"/>
      <c r="C15" s="301"/>
      <c r="D15" s="303" t="s">
        <v>77</v>
      </c>
      <c r="E15" s="26" t="s">
        <v>160</v>
      </c>
      <c r="F15" s="27">
        <f>(C11*H15)*100</f>
        <v>2800</v>
      </c>
      <c r="G15" s="27" t="s">
        <v>73</v>
      </c>
      <c r="H15" s="58">
        <v>0.7</v>
      </c>
      <c r="I15" s="369">
        <v>10</v>
      </c>
      <c r="J15" s="221">
        <f>+F15*'MATERIA PRIMA'!H47</f>
        <v>122950.8</v>
      </c>
    </row>
    <row r="16" spans="1:46" ht="15" customHeight="1" x14ac:dyDescent="0.3">
      <c r="B16" s="346"/>
      <c r="C16" s="301"/>
      <c r="D16" s="304"/>
      <c r="E16" s="26" t="s">
        <v>161</v>
      </c>
      <c r="F16" s="27">
        <f>(C11*1000)*H16</f>
        <v>104</v>
      </c>
      <c r="G16" s="27" t="s">
        <v>73</v>
      </c>
      <c r="H16" s="59">
        <v>2.5999999999999999E-3</v>
      </c>
      <c r="I16" s="370"/>
      <c r="J16" s="221">
        <f>+F16*'MATERIA PRIMA'!H33</f>
        <v>16422.952000000001</v>
      </c>
    </row>
    <row r="17" spans="2:10" ht="15" customHeight="1" x14ac:dyDescent="0.3">
      <c r="B17" s="346"/>
      <c r="C17" s="301"/>
      <c r="D17" s="83" t="s">
        <v>80</v>
      </c>
      <c r="E17" s="53" t="s">
        <v>82</v>
      </c>
      <c r="F17" s="27">
        <f>+F11*H17</f>
        <v>1200</v>
      </c>
      <c r="G17" s="27" t="s">
        <v>71</v>
      </c>
      <c r="H17" s="27">
        <v>3</v>
      </c>
      <c r="I17" s="27">
        <v>10</v>
      </c>
      <c r="J17" s="221">
        <f>+F17*CIF!G13</f>
        <v>10110.959612277868</v>
      </c>
    </row>
    <row r="18" spans="2:10" ht="15" customHeight="1" thickBot="1" x14ac:dyDescent="0.35">
      <c r="B18" s="393"/>
      <c r="C18" s="302"/>
      <c r="D18" s="209" t="s">
        <v>142</v>
      </c>
      <c r="E18" s="219" t="s">
        <v>150</v>
      </c>
      <c r="F18" s="162">
        <f>+F11*H18</f>
        <v>200</v>
      </c>
      <c r="G18" s="162" t="s">
        <v>73</v>
      </c>
      <c r="H18" s="162">
        <v>0.5</v>
      </c>
      <c r="I18" s="162">
        <v>15</v>
      </c>
      <c r="J18" s="255">
        <f>+F18*'MATERIA PRIMA'!H15</f>
        <v>6188</v>
      </c>
    </row>
    <row r="19" spans="2:10" ht="15" customHeight="1" x14ac:dyDescent="0.3">
      <c r="B19" s="394" t="s">
        <v>216</v>
      </c>
      <c r="C19" s="395"/>
      <c r="D19" s="395"/>
      <c r="E19" s="395"/>
      <c r="F19" s="395"/>
      <c r="G19" s="395"/>
      <c r="H19" s="396"/>
      <c r="I19" s="75">
        <f>+SUM(I11:I18)</f>
        <v>50</v>
      </c>
      <c r="J19" s="254">
        <f>+SUM(J11:J18)</f>
        <v>166002.15148303713</v>
      </c>
    </row>
    <row r="20" spans="2:10" ht="15" customHeight="1" thickBot="1" x14ac:dyDescent="0.35">
      <c r="B20" s="66"/>
      <c r="C20" s="66"/>
      <c r="D20" s="66"/>
      <c r="E20" s="66"/>
      <c r="F20" s="66"/>
      <c r="G20" s="66"/>
      <c r="H20" s="66"/>
      <c r="J20" s="67"/>
    </row>
    <row r="21" spans="2:10" ht="15" customHeight="1" x14ac:dyDescent="0.3">
      <c r="B21" s="312" t="s">
        <v>205</v>
      </c>
      <c r="C21" s="313"/>
      <c r="D21" s="313"/>
      <c r="E21" s="313"/>
      <c r="F21" s="313"/>
      <c r="G21" s="313"/>
      <c r="H21" s="314"/>
      <c r="I21" s="78"/>
      <c r="J21" s="78"/>
    </row>
    <row r="22" spans="2:10" ht="15" customHeight="1" x14ac:dyDescent="0.3">
      <c r="B22" s="306" t="s">
        <v>205</v>
      </c>
      <c r="C22" s="308"/>
      <c r="D22" s="98" t="s">
        <v>206</v>
      </c>
      <c r="E22" s="76" t="s">
        <v>207</v>
      </c>
      <c r="F22" s="77" t="s">
        <v>208</v>
      </c>
      <c r="G22" s="76" t="s">
        <v>209</v>
      </c>
      <c r="H22" s="244" t="s">
        <v>87</v>
      </c>
      <c r="J22" s="12"/>
    </row>
    <row r="23" spans="2:10" ht="15" customHeight="1" x14ac:dyDescent="0.3">
      <c r="B23" s="309" t="s">
        <v>210</v>
      </c>
      <c r="C23" s="310"/>
      <c r="D23" s="27">
        <v>1</v>
      </c>
      <c r="E23" s="60" t="s">
        <v>214</v>
      </c>
      <c r="F23" s="62">
        <f>+I19/60</f>
        <v>0.83333333333333337</v>
      </c>
      <c r="G23" s="93">
        <f>+'MANO OBRA P.'!C35</f>
        <v>28609.121739130438</v>
      </c>
      <c r="H23" s="228">
        <f>D23*F23*G23</f>
        <v>23840.9347826087</v>
      </c>
      <c r="J23" s="12"/>
    </row>
    <row r="24" spans="2:10" ht="15" customHeight="1" x14ac:dyDescent="0.3">
      <c r="B24" s="309" t="s">
        <v>211</v>
      </c>
      <c r="C24" s="310" t="s">
        <v>174</v>
      </c>
      <c r="D24" s="27">
        <v>1</v>
      </c>
      <c r="E24" s="60" t="s">
        <v>214</v>
      </c>
      <c r="F24" s="62">
        <f>+I19/60</f>
        <v>0.83333333333333337</v>
      </c>
      <c r="G24" s="93">
        <f>+'MANO OBRA P.'!C60</f>
        <v>16728.110869565218</v>
      </c>
      <c r="H24" s="228">
        <f t="shared" ref="H24:H28" si="0">D24*F24*G24</f>
        <v>13940.09239130435</v>
      </c>
      <c r="J24" s="12"/>
    </row>
    <row r="25" spans="2:10" ht="15" customHeight="1" x14ac:dyDescent="0.3">
      <c r="B25" s="309" t="s">
        <v>222</v>
      </c>
      <c r="C25" s="310" t="s">
        <v>174</v>
      </c>
      <c r="D25" s="27">
        <v>1</v>
      </c>
      <c r="E25" s="60" t="s">
        <v>214</v>
      </c>
      <c r="F25" s="62">
        <v>2</v>
      </c>
      <c r="G25" s="93">
        <f>+'MANO OBRA P.'!C85</f>
        <v>13072.415217391304</v>
      </c>
      <c r="H25" s="228">
        <f t="shared" si="0"/>
        <v>26144.830434782609</v>
      </c>
      <c r="J25" s="12"/>
    </row>
    <row r="26" spans="2:10" ht="15" customHeight="1" x14ac:dyDescent="0.3">
      <c r="B26" s="309" t="s">
        <v>212</v>
      </c>
      <c r="C26" s="310" t="s">
        <v>174</v>
      </c>
      <c r="D26" s="27">
        <v>1</v>
      </c>
      <c r="E26" s="60" t="s">
        <v>214</v>
      </c>
      <c r="F26" s="62">
        <v>1</v>
      </c>
      <c r="G26" s="93">
        <f>+'MANO OBRA P.'!C85</f>
        <v>13072.415217391304</v>
      </c>
      <c r="H26" s="228">
        <f t="shared" si="0"/>
        <v>13072.415217391304</v>
      </c>
      <c r="J26" s="12"/>
    </row>
    <row r="27" spans="2:10" ht="15" customHeight="1" x14ac:dyDescent="0.3">
      <c r="B27" s="309" t="s">
        <v>213</v>
      </c>
      <c r="C27" s="310" t="s">
        <v>174</v>
      </c>
      <c r="D27" s="27">
        <v>1</v>
      </c>
      <c r="E27" s="60" t="s">
        <v>214</v>
      </c>
      <c r="F27" s="62">
        <v>1.5</v>
      </c>
      <c r="G27" s="93">
        <f>+'MANO OBRA P.'!C85</f>
        <v>13072.415217391304</v>
      </c>
      <c r="H27" s="228">
        <f t="shared" si="0"/>
        <v>19608.622826086958</v>
      </c>
      <c r="J27" s="12"/>
    </row>
    <row r="28" spans="2:10" ht="15" customHeight="1" x14ac:dyDescent="0.3">
      <c r="B28" s="309" t="s">
        <v>221</v>
      </c>
      <c r="C28" s="310" t="s">
        <v>174</v>
      </c>
      <c r="D28" s="27">
        <v>1</v>
      </c>
      <c r="E28" s="60" t="s">
        <v>214</v>
      </c>
      <c r="F28" s="64">
        <v>1</v>
      </c>
      <c r="G28" s="99">
        <f>+'MANO OBRA P.'!C110</f>
        <v>13986.339130434782</v>
      </c>
      <c r="H28" s="228">
        <f t="shared" si="0"/>
        <v>13986.339130434782</v>
      </c>
      <c r="J28" s="12"/>
    </row>
    <row r="29" spans="2:10" ht="15" customHeight="1" thickBot="1" x14ac:dyDescent="0.35">
      <c r="B29" s="242" t="s">
        <v>215</v>
      </c>
      <c r="C29" s="248"/>
      <c r="D29" s="248"/>
      <c r="E29" s="248"/>
      <c r="F29" s="248"/>
      <c r="G29" s="251"/>
      <c r="H29" s="229">
        <f>SUM(H23:H28)</f>
        <v>110593.23478260869</v>
      </c>
      <c r="J29" s="12"/>
    </row>
    <row r="30" spans="2:10" ht="15" customHeight="1" thickBot="1" x14ac:dyDescent="0.35">
      <c r="B30" s="68"/>
      <c r="C30" s="68"/>
      <c r="D30" s="68"/>
      <c r="E30" s="68"/>
      <c r="F30" s="68"/>
      <c r="G30" s="68"/>
      <c r="I30" s="69"/>
      <c r="J30" s="70"/>
    </row>
    <row r="31" spans="2:10" ht="15" customHeight="1" x14ac:dyDescent="0.3">
      <c r="B31" s="312" t="s">
        <v>219</v>
      </c>
      <c r="C31" s="313"/>
      <c r="D31" s="313"/>
      <c r="E31" s="314"/>
      <c r="F31" s="78"/>
      <c r="G31" s="78"/>
      <c r="H31" s="78"/>
      <c r="I31" s="78"/>
      <c r="J31" s="78"/>
    </row>
    <row r="32" spans="2:10" ht="15" customHeight="1" x14ac:dyDescent="0.3">
      <c r="B32" s="250" t="s">
        <v>217</v>
      </c>
      <c r="C32" s="98" t="s">
        <v>185</v>
      </c>
      <c r="D32" s="76" t="s">
        <v>207</v>
      </c>
      <c r="E32" s="249" t="s">
        <v>208</v>
      </c>
      <c r="G32" s="71"/>
      <c r="H32" s="72"/>
      <c r="J32" s="12"/>
    </row>
    <row r="33" spans="2:10" ht="15" customHeight="1" x14ac:dyDescent="0.3">
      <c r="B33" s="230" t="s">
        <v>88</v>
      </c>
      <c r="C33" s="27" t="s">
        <v>39</v>
      </c>
      <c r="D33" s="60" t="s">
        <v>214</v>
      </c>
      <c r="E33" s="231">
        <f>+F26</f>
        <v>1</v>
      </c>
      <c r="G33" s="73"/>
      <c r="H33" s="74"/>
      <c r="J33" s="12"/>
    </row>
    <row r="34" spans="2:10" ht="15" customHeight="1" x14ac:dyDescent="0.3">
      <c r="B34" s="375" t="s">
        <v>89</v>
      </c>
      <c r="C34" s="27" t="s">
        <v>39</v>
      </c>
      <c r="D34" s="60" t="s">
        <v>214</v>
      </c>
      <c r="E34" s="231">
        <f>+F27</f>
        <v>1.5</v>
      </c>
      <c r="G34" s="73"/>
      <c r="H34" s="74"/>
      <c r="J34" s="12"/>
    </row>
    <row r="35" spans="2:10" ht="15" customHeight="1" x14ac:dyDescent="0.3">
      <c r="B35" s="376"/>
      <c r="C35" s="27" t="s">
        <v>40</v>
      </c>
      <c r="D35" s="60" t="s">
        <v>214</v>
      </c>
      <c r="E35" s="231">
        <f>+F27</f>
        <v>1.5</v>
      </c>
      <c r="G35" s="73"/>
      <c r="H35" s="74"/>
      <c r="J35" s="12"/>
    </row>
    <row r="36" spans="2:10" ht="15" customHeight="1" thickBot="1" x14ac:dyDescent="0.35">
      <c r="B36" s="242" t="s">
        <v>220</v>
      </c>
      <c r="C36" s="162" t="s">
        <v>40</v>
      </c>
      <c r="D36" s="213" t="s">
        <v>214</v>
      </c>
      <c r="E36" s="235">
        <f>+F28</f>
        <v>1</v>
      </c>
      <c r="G36" s="73"/>
      <c r="H36" s="74"/>
      <c r="J36" s="12"/>
    </row>
    <row r="37" spans="2:10" ht="15" customHeight="1" thickBot="1" x14ac:dyDescent="0.35">
      <c r="B37" s="68"/>
      <c r="C37" s="68"/>
      <c r="D37" s="68"/>
      <c r="E37" s="68"/>
      <c r="F37" s="68"/>
      <c r="G37" s="68"/>
      <c r="I37" s="69"/>
      <c r="J37" s="70"/>
    </row>
    <row r="38" spans="2:10" ht="15" customHeight="1" x14ac:dyDescent="0.3">
      <c r="B38" s="360" t="s">
        <v>224</v>
      </c>
      <c r="C38" s="361"/>
      <c r="D38" s="361"/>
      <c r="E38" s="362"/>
      <c r="F38" s="68"/>
      <c r="G38" s="68"/>
      <c r="I38" s="69"/>
      <c r="J38" s="70"/>
    </row>
    <row r="39" spans="2:10" ht="15" customHeight="1" x14ac:dyDescent="0.3">
      <c r="B39" s="214" t="s">
        <v>217</v>
      </c>
      <c r="C39" s="43" t="s">
        <v>223</v>
      </c>
      <c r="D39" s="43" t="s">
        <v>226</v>
      </c>
      <c r="E39" s="236" t="s">
        <v>225</v>
      </c>
      <c r="F39" s="68"/>
      <c r="G39" s="68"/>
      <c r="I39" s="69"/>
      <c r="J39" s="70"/>
    </row>
    <row r="40" spans="2:10" ht="15" customHeight="1" x14ac:dyDescent="0.3">
      <c r="B40" s="227" t="s">
        <v>39</v>
      </c>
      <c r="C40" s="81">
        <f>+I19+E33+E34</f>
        <v>52.5</v>
      </c>
      <c r="D40" s="100" t="s">
        <v>227</v>
      </c>
      <c r="E40" s="237">
        <f>+C40/60</f>
        <v>0.875</v>
      </c>
      <c r="F40" s="68"/>
      <c r="G40" s="68"/>
      <c r="I40" s="69"/>
      <c r="J40" s="70"/>
    </row>
    <row r="41" spans="2:10" ht="15" customHeight="1" x14ac:dyDescent="0.3">
      <c r="B41" s="227" t="s">
        <v>40</v>
      </c>
      <c r="C41" s="81">
        <f>+I19+E35+E36</f>
        <v>52.5</v>
      </c>
      <c r="D41" s="100" t="s">
        <v>227</v>
      </c>
      <c r="E41" s="237">
        <f t="shared" ref="E41:E42" si="1">+C41/60</f>
        <v>0.875</v>
      </c>
      <c r="F41" s="68"/>
      <c r="G41" s="68"/>
      <c r="I41" s="69"/>
      <c r="J41" s="70"/>
    </row>
    <row r="42" spans="2:10" ht="15" customHeight="1" x14ac:dyDescent="0.3">
      <c r="B42" s="227" t="s">
        <v>175</v>
      </c>
      <c r="C42" s="81">
        <f>+I19+E33+E34+E35+E36</f>
        <v>55</v>
      </c>
      <c r="D42" s="100" t="s">
        <v>227</v>
      </c>
      <c r="E42" s="237">
        <f t="shared" si="1"/>
        <v>0.91666666666666663</v>
      </c>
      <c r="F42" s="68"/>
      <c r="G42" s="68"/>
      <c r="I42" s="69"/>
      <c r="J42" s="70"/>
    </row>
    <row r="43" spans="2:10" ht="15" customHeight="1" thickBot="1" x14ac:dyDescent="0.35">
      <c r="B43" s="238" t="s">
        <v>169</v>
      </c>
      <c r="C43" s="239">
        <f>+F11+F17</f>
        <v>1600</v>
      </c>
      <c r="D43" s="213" t="s">
        <v>71</v>
      </c>
      <c r="E43" s="240"/>
      <c r="F43" s="68"/>
      <c r="G43" s="68"/>
      <c r="I43" s="69"/>
      <c r="J43" s="70"/>
    </row>
    <row r="44" spans="2:10" ht="15" customHeight="1" thickBot="1" x14ac:dyDescent="0.35"/>
    <row r="45" spans="2:10" ht="15" customHeight="1" x14ac:dyDescent="0.3">
      <c r="B45" s="312" t="s">
        <v>217</v>
      </c>
      <c r="C45" s="313"/>
      <c r="D45" s="313"/>
      <c r="E45" s="313"/>
      <c r="F45" s="313"/>
      <c r="G45" s="314"/>
      <c r="J45" s="12"/>
    </row>
    <row r="46" spans="2:10" ht="15" customHeight="1" x14ac:dyDescent="0.3">
      <c r="B46" s="250" t="s">
        <v>243</v>
      </c>
      <c r="C46" s="98" t="s">
        <v>206</v>
      </c>
      <c r="D46" s="76" t="s">
        <v>207</v>
      </c>
      <c r="E46" s="77" t="s">
        <v>208</v>
      </c>
      <c r="F46" s="76" t="s">
        <v>228</v>
      </c>
      <c r="G46" s="244" t="s">
        <v>87</v>
      </c>
      <c r="J46" s="12"/>
    </row>
    <row r="47" spans="2:10" ht="15" customHeight="1" x14ac:dyDescent="0.3">
      <c r="B47" s="230" t="s">
        <v>169</v>
      </c>
      <c r="C47" s="82">
        <f>+C43</f>
        <v>1600</v>
      </c>
      <c r="D47" s="60" t="s">
        <v>71</v>
      </c>
      <c r="E47" s="62"/>
      <c r="F47" s="93">
        <f>+CIF!G13</f>
        <v>8.4257996768982224</v>
      </c>
      <c r="G47" s="228">
        <f>+F47*C47</f>
        <v>13481.279483037157</v>
      </c>
      <c r="J47" s="12"/>
    </row>
    <row r="48" spans="2:10" ht="15" customHeight="1" x14ac:dyDescent="0.3">
      <c r="B48" s="230" t="s">
        <v>39</v>
      </c>
      <c r="C48" s="79">
        <f>+C40</f>
        <v>52.5</v>
      </c>
      <c r="D48" s="60" t="s">
        <v>214</v>
      </c>
      <c r="E48" s="62">
        <f>+I19/60</f>
        <v>0.83333333333333337</v>
      </c>
      <c r="F48" s="93">
        <f>+CIF!G17</f>
        <v>9015.703846153845</v>
      </c>
      <c r="G48" s="228">
        <f>+E48*F48</f>
        <v>7513.0865384615381</v>
      </c>
      <c r="J48" s="12"/>
    </row>
    <row r="49" spans="2:10" ht="15" customHeight="1" x14ac:dyDescent="0.3">
      <c r="B49" s="230" t="s">
        <v>40</v>
      </c>
      <c r="C49" s="80">
        <f>+I19+E35+E36</f>
        <v>52.5</v>
      </c>
      <c r="D49" s="60" t="s">
        <v>214</v>
      </c>
      <c r="E49" s="62">
        <f>+E41</f>
        <v>0.875</v>
      </c>
      <c r="F49" s="93">
        <f>+CIF!G21</f>
        <v>56187.532051282054</v>
      </c>
      <c r="G49" s="228">
        <f>+E49*F49</f>
        <v>49164.090544871797</v>
      </c>
      <c r="J49" s="12"/>
    </row>
    <row r="50" spans="2:10" ht="15" customHeight="1" x14ac:dyDescent="0.3">
      <c r="B50" s="230" t="s">
        <v>175</v>
      </c>
      <c r="C50" s="80">
        <f>+C42</f>
        <v>55</v>
      </c>
      <c r="D50" s="60" t="s">
        <v>214</v>
      </c>
      <c r="E50" s="62">
        <f>+E42</f>
        <v>0.91666666666666663</v>
      </c>
      <c r="F50" s="93">
        <f>+CIF!F25</f>
        <v>8012.8205128205127</v>
      </c>
      <c r="G50" s="228">
        <f>+E50*F50</f>
        <v>7345.0854700854698</v>
      </c>
      <c r="J50" s="12"/>
    </row>
    <row r="51" spans="2:10" ht="15" customHeight="1" thickBot="1" x14ac:dyDescent="0.35">
      <c r="B51" s="363" t="s">
        <v>218</v>
      </c>
      <c r="C51" s="364"/>
      <c r="D51" s="364"/>
      <c r="E51" s="364"/>
      <c r="F51" s="365"/>
      <c r="G51" s="229">
        <f>SUM(G47:G50)</f>
        <v>77503.542036455969</v>
      </c>
    </row>
    <row r="52" spans="2:10" ht="15" customHeight="1" thickBot="1" x14ac:dyDescent="0.35"/>
    <row r="53" spans="2:10" ht="15" customHeight="1" x14ac:dyDescent="0.3">
      <c r="B53" s="312" t="s">
        <v>245</v>
      </c>
      <c r="C53" s="313"/>
      <c r="D53" s="314"/>
    </row>
    <row r="54" spans="2:10" ht="15" customHeight="1" x14ac:dyDescent="0.3">
      <c r="B54" s="356" t="s">
        <v>201</v>
      </c>
      <c r="C54" s="357"/>
      <c r="D54" s="152">
        <f>+J19</f>
        <v>166002.15148303713</v>
      </c>
    </row>
    <row r="55" spans="2:10" ht="15" customHeight="1" x14ac:dyDescent="0.3">
      <c r="B55" s="356" t="s">
        <v>205</v>
      </c>
      <c r="C55" s="357"/>
      <c r="D55" s="152">
        <f>+H29</f>
        <v>110593.23478260869</v>
      </c>
    </row>
    <row r="56" spans="2:10" ht="15" customHeight="1" x14ac:dyDescent="0.3">
      <c r="B56" s="356" t="s">
        <v>242</v>
      </c>
      <c r="C56" s="357"/>
      <c r="D56" s="152">
        <f>+G51</f>
        <v>77503.542036455969</v>
      </c>
    </row>
    <row r="57" spans="2:10" ht="15" customHeight="1" x14ac:dyDescent="0.3">
      <c r="B57" s="356" t="s">
        <v>246</v>
      </c>
      <c r="C57" s="357"/>
      <c r="D57" s="152">
        <f>+D54+D55+D56</f>
        <v>354098.92830210179</v>
      </c>
    </row>
    <row r="58" spans="2:10" ht="15" customHeight="1" x14ac:dyDescent="0.3">
      <c r="B58" s="356" t="s">
        <v>247</v>
      </c>
      <c r="C58" s="357"/>
      <c r="D58" s="241">
        <f>+C11</f>
        <v>40</v>
      </c>
    </row>
    <row r="59" spans="2:10" ht="15" customHeight="1" thickBot="1" x14ac:dyDescent="0.35">
      <c r="B59" s="358" t="s">
        <v>248</v>
      </c>
      <c r="C59" s="359"/>
      <c r="D59" s="225">
        <f>+D57/D58</f>
        <v>8852.4732075525444</v>
      </c>
    </row>
    <row r="60" spans="2:10" ht="15" customHeight="1" x14ac:dyDescent="0.3"/>
    <row r="61" spans="2:10" ht="15" customHeight="1" x14ac:dyDescent="0.3"/>
    <row r="62" spans="2:10" ht="15" customHeight="1" x14ac:dyDescent="0.3"/>
    <row r="63" spans="2:10" ht="15" customHeight="1" x14ac:dyDescent="0.3"/>
    <row r="64" spans="2:10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29" ht="16.5" customHeight="1" x14ac:dyDescent="0.3"/>
    <row r="210" ht="16.5" customHeight="1" x14ac:dyDescent="0.3"/>
    <row r="228" spans="11:11" x14ac:dyDescent="0.3">
      <c r="K228" s="11"/>
    </row>
    <row r="229" spans="11:11" ht="16.5" customHeight="1" x14ac:dyDescent="0.3">
      <c r="K229" s="11"/>
    </row>
    <row r="230" spans="11:11" x14ac:dyDescent="0.3">
      <c r="K230" s="11"/>
    </row>
    <row r="231" spans="11:11" x14ac:dyDescent="0.3">
      <c r="K231" s="11"/>
    </row>
    <row r="232" spans="11:11" x14ac:dyDescent="0.3">
      <c r="K232" s="11"/>
    </row>
    <row r="233" spans="11:11" x14ac:dyDescent="0.3">
      <c r="K233" s="11"/>
    </row>
    <row r="234" spans="11:11" x14ac:dyDescent="0.3">
      <c r="K234" s="11"/>
    </row>
    <row r="235" spans="11:11" x14ac:dyDescent="0.3">
      <c r="K235" s="11"/>
    </row>
    <row r="236" spans="11:11" x14ac:dyDescent="0.3">
      <c r="K236" s="11"/>
    </row>
    <row r="237" spans="11:11" x14ac:dyDescent="0.3">
      <c r="K237" s="11"/>
    </row>
    <row r="238" spans="11:11" x14ac:dyDescent="0.3">
      <c r="K238" s="11"/>
    </row>
    <row r="239" spans="11:11" x14ac:dyDescent="0.3">
      <c r="K239" s="11"/>
    </row>
    <row r="240" spans="11:11" x14ac:dyDescent="0.3">
      <c r="K240" s="11"/>
    </row>
    <row r="241" spans="11:11" x14ac:dyDescent="0.3">
      <c r="K241" s="11"/>
    </row>
    <row r="242" spans="11:11" x14ac:dyDescent="0.3">
      <c r="K242" s="11"/>
    </row>
    <row r="243" spans="11:11" x14ac:dyDescent="0.3">
      <c r="K243" s="11"/>
    </row>
    <row r="244" spans="11:11" x14ac:dyDescent="0.3">
      <c r="K244" s="11"/>
    </row>
    <row r="245" spans="11:11" x14ac:dyDescent="0.3">
      <c r="K245" s="11"/>
    </row>
    <row r="246" spans="11:11" x14ac:dyDescent="0.3">
      <c r="K246" s="11"/>
    </row>
    <row r="247" spans="11:11" x14ac:dyDescent="0.3">
      <c r="K247" s="11"/>
    </row>
    <row r="248" spans="11:11" x14ac:dyDescent="0.3">
      <c r="K248" s="11"/>
    </row>
    <row r="249" spans="11:11" x14ac:dyDescent="0.3">
      <c r="K249" s="11"/>
    </row>
    <row r="250" spans="11:11" x14ac:dyDescent="0.3">
      <c r="K250" s="11"/>
    </row>
    <row r="251" spans="11:11" x14ac:dyDescent="0.3">
      <c r="K251" s="11"/>
    </row>
    <row r="252" spans="11:11" x14ac:dyDescent="0.3">
      <c r="K252" s="11"/>
    </row>
    <row r="253" spans="11:11" x14ac:dyDescent="0.3">
      <c r="K253" s="11"/>
    </row>
  </sheetData>
  <mergeCells count="29">
    <mergeCell ref="B55:C55"/>
    <mergeCell ref="B56:C56"/>
    <mergeCell ref="B57:C57"/>
    <mergeCell ref="B58:C58"/>
    <mergeCell ref="B59:C59"/>
    <mergeCell ref="B34:B35"/>
    <mergeCell ref="B45:G45"/>
    <mergeCell ref="B51:F51"/>
    <mergeCell ref="B53:D53"/>
    <mergeCell ref="B54:C54"/>
    <mergeCell ref="B38:E38"/>
    <mergeCell ref="B19:H19"/>
    <mergeCell ref="B23:C23"/>
    <mergeCell ref="B24:C24"/>
    <mergeCell ref="B25:C25"/>
    <mergeCell ref="B26:C26"/>
    <mergeCell ref="B27:C27"/>
    <mergeCell ref="B28:C28"/>
    <mergeCell ref="B21:H21"/>
    <mergeCell ref="B22:C22"/>
    <mergeCell ref="B31:E31"/>
    <mergeCell ref="B8:J8"/>
    <mergeCell ref="B9:J9"/>
    <mergeCell ref="B11:B18"/>
    <mergeCell ref="C11:C18"/>
    <mergeCell ref="D11:D14"/>
    <mergeCell ref="I15:I16"/>
    <mergeCell ref="D15:D16"/>
    <mergeCell ref="I11:I14"/>
  </mergeCells>
  <pageMargins left="0.7" right="0.7" top="0.75" bottom="0.75" header="0.3" footer="0.3"/>
  <pageSetup paperSize="9" scale="48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164AE-FCF8-4DDB-9F41-BB459EE9A13D}">
  <dimension ref="A1:AX258"/>
  <sheetViews>
    <sheetView showGridLines="0" tabSelected="1" view="pageBreakPreview" zoomScale="90" zoomScaleNormal="80" zoomScaleSheetLayoutView="90" workbookViewId="0">
      <selection activeCell="Q10" sqref="Q10"/>
    </sheetView>
  </sheetViews>
  <sheetFormatPr baseColWidth="10" defaultColWidth="11.42578125" defaultRowHeight="16.5" x14ac:dyDescent="0.3"/>
  <cols>
    <col min="1" max="1" width="11.42578125" style="12"/>
    <col min="2" max="4" width="17.5703125" style="12" customWidth="1"/>
    <col min="5" max="5" width="26.28515625" style="12" customWidth="1"/>
    <col min="6" max="6" width="11.28515625" style="12" customWidth="1"/>
    <col min="7" max="7" width="16.140625" style="12" customWidth="1"/>
    <col min="8" max="8" width="14" style="12" customWidth="1"/>
    <col min="9" max="9" width="14.140625" style="12" customWidth="1"/>
    <col min="10" max="10" width="14.28515625" style="19" customWidth="1"/>
    <col min="11" max="16384" width="11.42578125" style="12"/>
  </cols>
  <sheetData>
    <row r="1" spans="1:50" x14ac:dyDescent="0.3">
      <c r="B1" s="169"/>
      <c r="C1" s="170"/>
      <c r="D1" s="170"/>
      <c r="E1" s="170"/>
      <c r="F1" s="170"/>
      <c r="G1" s="170"/>
      <c r="H1" s="170"/>
      <c r="I1" s="170"/>
      <c r="J1" s="199"/>
    </row>
    <row r="2" spans="1:50" x14ac:dyDescent="0.3">
      <c r="B2" s="172"/>
      <c r="J2" s="200"/>
    </row>
    <row r="3" spans="1:50" x14ac:dyDescent="0.3">
      <c r="B3" s="172"/>
      <c r="J3" s="200"/>
    </row>
    <row r="4" spans="1:50" x14ac:dyDescent="0.3">
      <c r="B4" s="172"/>
      <c r="J4" s="200"/>
    </row>
    <row r="5" spans="1:50" x14ac:dyDescent="0.3">
      <c r="B5" s="172"/>
      <c r="J5" s="200"/>
    </row>
    <row r="6" spans="1:50" x14ac:dyDescent="0.3">
      <c r="B6" s="172"/>
      <c r="J6" s="200"/>
    </row>
    <row r="7" spans="1:50" s="46" customFormat="1" ht="17.25" thickBot="1" x14ac:dyDescent="0.35">
      <c r="A7" s="12"/>
      <c r="B7" s="174"/>
      <c r="J7" s="201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</row>
    <row r="8" spans="1:50" ht="36" customHeight="1" x14ac:dyDescent="0.3">
      <c r="B8" s="390" t="s">
        <v>241</v>
      </c>
      <c r="C8" s="391"/>
      <c r="D8" s="391"/>
      <c r="E8" s="391"/>
      <c r="F8" s="391"/>
      <c r="G8" s="391"/>
      <c r="H8" s="391"/>
      <c r="I8" s="391"/>
      <c r="J8" s="392"/>
    </row>
    <row r="9" spans="1:50" ht="15" customHeight="1" x14ac:dyDescent="0.3">
      <c r="B9" s="339" t="s">
        <v>201</v>
      </c>
      <c r="C9" s="340"/>
      <c r="D9" s="340"/>
      <c r="E9" s="340"/>
      <c r="F9" s="340"/>
      <c r="G9" s="340"/>
      <c r="H9" s="340"/>
      <c r="I9" s="340"/>
      <c r="J9" s="341"/>
    </row>
    <row r="10" spans="1:50" ht="66.75" customHeight="1" x14ac:dyDescent="0.3">
      <c r="B10" s="214" t="s">
        <v>41</v>
      </c>
      <c r="C10" s="43" t="s">
        <v>42</v>
      </c>
      <c r="D10" s="42" t="s">
        <v>68</v>
      </c>
      <c r="E10" s="42" t="s">
        <v>185</v>
      </c>
      <c r="F10" s="43" t="s">
        <v>186</v>
      </c>
      <c r="G10" s="43" t="s">
        <v>187</v>
      </c>
      <c r="H10" s="52" t="s">
        <v>191</v>
      </c>
      <c r="I10" s="43" t="s">
        <v>188</v>
      </c>
      <c r="J10" s="220" t="s">
        <v>202</v>
      </c>
    </row>
    <row r="11" spans="1:50" ht="15" customHeight="1" x14ac:dyDescent="0.3">
      <c r="B11" s="345" t="s">
        <v>173</v>
      </c>
      <c r="C11" s="300">
        <v>20</v>
      </c>
      <c r="D11" s="303" t="s">
        <v>144</v>
      </c>
      <c r="E11" s="53" t="s">
        <v>69</v>
      </c>
      <c r="F11" s="27">
        <f>+C11*H11</f>
        <v>200</v>
      </c>
      <c r="G11" s="27" t="s">
        <v>71</v>
      </c>
      <c r="H11" s="27">
        <v>10</v>
      </c>
      <c r="I11" s="327">
        <v>15</v>
      </c>
      <c r="J11" s="221">
        <f>+F11*CIF!G13</f>
        <v>1685.1599353796446</v>
      </c>
    </row>
    <row r="12" spans="1:50" ht="15" customHeight="1" x14ac:dyDescent="0.3">
      <c r="B12" s="346"/>
      <c r="C12" s="301"/>
      <c r="D12" s="304"/>
      <c r="E12" s="53" t="s">
        <v>72</v>
      </c>
      <c r="F12" s="27">
        <f>+F11*H12</f>
        <v>100</v>
      </c>
      <c r="G12" s="27" t="s">
        <v>73</v>
      </c>
      <c r="H12" s="27">
        <v>0.5</v>
      </c>
      <c r="I12" s="328"/>
      <c r="J12" s="221">
        <f>+F12*'MATERIA PRIMA'!H22</f>
        <v>1057.9100000000001</v>
      </c>
    </row>
    <row r="13" spans="1:50" ht="15" customHeight="1" x14ac:dyDescent="0.3">
      <c r="B13" s="346"/>
      <c r="C13" s="301"/>
      <c r="D13" s="304"/>
      <c r="E13" s="53" t="s">
        <v>74</v>
      </c>
      <c r="F13" s="27">
        <f>+F11*H13</f>
        <v>100</v>
      </c>
      <c r="G13" s="27" t="s">
        <v>73</v>
      </c>
      <c r="H13" s="27">
        <v>0.5</v>
      </c>
      <c r="I13" s="328"/>
      <c r="J13" s="221">
        <f>+F13*'MATERIA PRIMA'!H21</f>
        <v>672.34999999999991</v>
      </c>
    </row>
    <row r="14" spans="1:50" ht="15" customHeight="1" x14ac:dyDescent="0.3">
      <c r="B14" s="346"/>
      <c r="C14" s="301"/>
      <c r="D14" s="305"/>
      <c r="E14" s="53" t="s">
        <v>75</v>
      </c>
      <c r="F14" s="27">
        <f>+F11*H14</f>
        <v>200</v>
      </c>
      <c r="G14" s="27" t="s">
        <v>73</v>
      </c>
      <c r="H14" s="27">
        <v>1</v>
      </c>
      <c r="I14" s="329"/>
      <c r="J14" s="221">
        <f>+F14*'MATERIA PRIMA'!H20</f>
        <v>1166.2</v>
      </c>
    </row>
    <row r="15" spans="1:50" ht="15" customHeight="1" x14ac:dyDescent="0.3">
      <c r="B15" s="346"/>
      <c r="C15" s="301"/>
      <c r="D15" s="303" t="s">
        <v>77</v>
      </c>
      <c r="E15" s="26" t="s">
        <v>199</v>
      </c>
      <c r="F15" s="27">
        <f>+(C11*1000)*H15</f>
        <v>800</v>
      </c>
      <c r="G15" s="27" t="s">
        <v>73</v>
      </c>
      <c r="H15" s="59">
        <v>0.04</v>
      </c>
      <c r="I15" s="85">
        <v>10</v>
      </c>
      <c r="J15" s="221">
        <f>+F15*'MATERIA PRIMA'!H47</f>
        <v>35128.800000000003</v>
      </c>
    </row>
    <row r="16" spans="1:50" ht="15" customHeight="1" x14ac:dyDescent="0.3">
      <c r="B16" s="346"/>
      <c r="C16" s="301"/>
      <c r="D16" s="305"/>
      <c r="E16" s="53" t="s">
        <v>79</v>
      </c>
      <c r="F16" s="27">
        <f>+F11*H16</f>
        <v>18</v>
      </c>
      <c r="G16" s="27" t="s">
        <v>28</v>
      </c>
      <c r="H16" s="58">
        <v>0.09</v>
      </c>
      <c r="I16" s="27">
        <v>20</v>
      </c>
      <c r="J16" s="223">
        <f>+F16*'MATERIA PRIMA'!H54</f>
        <v>8459.9960759999994</v>
      </c>
    </row>
    <row r="17" spans="2:10" ht="15" customHeight="1" x14ac:dyDescent="0.3">
      <c r="B17" s="346"/>
      <c r="C17" s="301"/>
      <c r="D17" s="303" t="s">
        <v>80</v>
      </c>
      <c r="E17" s="53" t="s">
        <v>204</v>
      </c>
      <c r="F17" s="27">
        <f>+F11*H17</f>
        <v>1000</v>
      </c>
      <c r="G17" s="27" t="s">
        <v>73</v>
      </c>
      <c r="H17" s="27">
        <v>5</v>
      </c>
      <c r="I17" s="27">
        <v>40</v>
      </c>
      <c r="J17" s="221">
        <f>+F17*'MATERIA PRIMA'!H16</f>
        <v>5295.5</v>
      </c>
    </row>
    <row r="18" spans="2:10" ht="15" customHeight="1" x14ac:dyDescent="0.3">
      <c r="B18" s="346"/>
      <c r="C18" s="301"/>
      <c r="D18" s="305"/>
      <c r="E18" s="53" t="s">
        <v>82</v>
      </c>
      <c r="F18" s="27">
        <f>+F11*H18</f>
        <v>600</v>
      </c>
      <c r="G18" s="27" t="s">
        <v>71</v>
      </c>
      <c r="H18" s="27">
        <v>3</v>
      </c>
      <c r="I18" s="27">
        <v>10</v>
      </c>
      <c r="J18" s="221">
        <f>+F18*CIF!G13</f>
        <v>5055.4798061389338</v>
      </c>
    </row>
    <row r="19" spans="2:10" ht="15" customHeight="1" x14ac:dyDescent="0.3">
      <c r="B19" s="346"/>
      <c r="C19" s="301"/>
      <c r="D19" s="303" t="s">
        <v>146</v>
      </c>
      <c r="E19" s="53" t="s">
        <v>83</v>
      </c>
      <c r="F19" s="27">
        <f>+F11*H19</f>
        <v>200</v>
      </c>
      <c r="G19" s="27" t="s">
        <v>71</v>
      </c>
      <c r="H19" s="27">
        <v>1</v>
      </c>
      <c r="I19" s="27">
        <v>5</v>
      </c>
      <c r="J19" s="221">
        <f>+F19*CIF!G13</f>
        <v>1685.1599353796446</v>
      </c>
    </row>
    <row r="20" spans="2:10" ht="15" customHeight="1" x14ac:dyDescent="0.3">
      <c r="B20" s="346"/>
      <c r="C20" s="301"/>
      <c r="D20" s="304"/>
      <c r="E20" s="53" t="s">
        <v>84</v>
      </c>
      <c r="F20" s="27">
        <f>+F11*H20</f>
        <v>600</v>
      </c>
      <c r="G20" s="27" t="s">
        <v>73</v>
      </c>
      <c r="H20" s="27">
        <v>3</v>
      </c>
      <c r="I20" s="27">
        <v>15</v>
      </c>
      <c r="J20" s="221">
        <f>+F20*'MATERIA PRIMA'!H17</f>
        <v>14280</v>
      </c>
    </row>
    <row r="21" spans="2:10" ht="15" customHeight="1" x14ac:dyDescent="0.3">
      <c r="B21" s="346"/>
      <c r="C21" s="301"/>
      <c r="D21" s="304"/>
      <c r="E21" s="53" t="s">
        <v>82</v>
      </c>
      <c r="F21" s="27">
        <f>+F11*H21</f>
        <v>600</v>
      </c>
      <c r="G21" s="27" t="s">
        <v>71</v>
      </c>
      <c r="H21" s="27">
        <v>3</v>
      </c>
      <c r="I21" s="27">
        <v>15</v>
      </c>
      <c r="J21" s="221">
        <f>+F21*CIF!G13</f>
        <v>5055.4798061389338</v>
      </c>
    </row>
    <row r="22" spans="2:10" ht="15" customHeight="1" x14ac:dyDescent="0.3">
      <c r="B22" s="346"/>
      <c r="C22" s="301"/>
      <c r="D22" s="305"/>
      <c r="E22" s="53" t="s">
        <v>83</v>
      </c>
      <c r="F22" s="27">
        <f>+F11*H22</f>
        <v>100</v>
      </c>
      <c r="G22" s="27" t="s">
        <v>71</v>
      </c>
      <c r="H22" s="27">
        <v>0.5</v>
      </c>
      <c r="I22" s="27">
        <v>5</v>
      </c>
      <c r="J22" s="221">
        <f>+F22*CIF!G13</f>
        <v>842.5799676898223</v>
      </c>
    </row>
    <row r="23" spans="2:10" ht="15" customHeight="1" x14ac:dyDescent="0.3">
      <c r="B23" s="347"/>
      <c r="C23" s="348"/>
      <c r="D23" s="51" t="s">
        <v>142</v>
      </c>
      <c r="E23" s="53" t="s">
        <v>151</v>
      </c>
      <c r="F23" s="27">
        <f>+F11*H23</f>
        <v>100</v>
      </c>
      <c r="G23" s="27" t="s">
        <v>73</v>
      </c>
      <c r="H23" s="27">
        <v>0.5</v>
      </c>
      <c r="I23" s="27">
        <v>15</v>
      </c>
      <c r="J23" s="224">
        <f>+F23*'MATERIA PRIMA'!H15</f>
        <v>3094</v>
      </c>
    </row>
    <row r="24" spans="2:10" ht="15" customHeight="1" thickBot="1" x14ac:dyDescent="0.35">
      <c r="B24" s="342" t="s">
        <v>216</v>
      </c>
      <c r="C24" s="343"/>
      <c r="D24" s="343"/>
      <c r="E24" s="343"/>
      <c r="F24" s="343"/>
      <c r="G24" s="343"/>
      <c r="H24" s="344"/>
      <c r="I24" s="162">
        <f>+SUM(I11:I23)</f>
        <v>150</v>
      </c>
      <c r="J24" s="225">
        <f>+SUM(J11:J23)</f>
        <v>83478.615526726979</v>
      </c>
    </row>
    <row r="25" spans="2:10" ht="15" customHeight="1" thickBot="1" x14ac:dyDescent="0.35">
      <c r="B25" s="66"/>
      <c r="C25" s="66"/>
      <c r="D25" s="66"/>
      <c r="E25" s="66"/>
      <c r="F25" s="66"/>
      <c r="G25" s="66"/>
      <c r="H25" s="66"/>
      <c r="J25" s="67"/>
    </row>
    <row r="26" spans="2:10" ht="15" customHeight="1" x14ac:dyDescent="0.3">
      <c r="B26" s="377" t="s">
        <v>205</v>
      </c>
      <c r="C26" s="378"/>
      <c r="D26" s="378"/>
      <c r="E26" s="378"/>
      <c r="F26" s="378"/>
      <c r="G26" s="378"/>
      <c r="H26" s="379"/>
      <c r="I26" s="78"/>
      <c r="J26" s="78"/>
    </row>
    <row r="27" spans="2:10" ht="15" customHeight="1" x14ac:dyDescent="0.3">
      <c r="B27" s="306" t="s">
        <v>205</v>
      </c>
      <c r="C27" s="308"/>
      <c r="D27" s="98" t="s">
        <v>206</v>
      </c>
      <c r="E27" s="76" t="s">
        <v>207</v>
      </c>
      <c r="F27" s="77" t="s">
        <v>208</v>
      </c>
      <c r="G27" s="76" t="s">
        <v>209</v>
      </c>
      <c r="H27" s="244" t="s">
        <v>87</v>
      </c>
      <c r="J27" s="12"/>
    </row>
    <row r="28" spans="2:10" ht="15" customHeight="1" x14ac:dyDescent="0.3">
      <c r="B28" s="309" t="s">
        <v>210</v>
      </c>
      <c r="C28" s="310"/>
      <c r="D28" s="27">
        <v>1</v>
      </c>
      <c r="E28" s="60" t="s">
        <v>214</v>
      </c>
      <c r="F28" s="62">
        <f>+I24/60</f>
        <v>2.5</v>
      </c>
      <c r="G28" s="93">
        <f>+'MANO OBRA P.'!C35</f>
        <v>28609.121739130438</v>
      </c>
      <c r="H28" s="228">
        <f>D28*F28*G28</f>
        <v>71522.804347826095</v>
      </c>
      <c r="J28" s="12"/>
    </row>
    <row r="29" spans="2:10" ht="15" customHeight="1" x14ac:dyDescent="0.3">
      <c r="B29" s="309" t="s">
        <v>211</v>
      </c>
      <c r="C29" s="310" t="s">
        <v>174</v>
      </c>
      <c r="D29" s="27">
        <v>1</v>
      </c>
      <c r="E29" s="60" t="s">
        <v>214</v>
      </c>
      <c r="F29" s="62">
        <f>+I24/60</f>
        <v>2.5</v>
      </c>
      <c r="G29" s="93">
        <f>+'MANO OBRA P.'!C60</f>
        <v>16728.110869565218</v>
      </c>
      <c r="H29" s="228">
        <f t="shared" ref="H29:H33" si="0">D29*F29*G29</f>
        <v>41820.277173913048</v>
      </c>
      <c r="J29" s="12"/>
    </row>
    <row r="30" spans="2:10" ht="15" customHeight="1" x14ac:dyDescent="0.3">
      <c r="B30" s="309" t="s">
        <v>222</v>
      </c>
      <c r="C30" s="310" t="s">
        <v>174</v>
      </c>
      <c r="D30" s="27">
        <v>1</v>
      </c>
      <c r="E30" s="60" t="s">
        <v>214</v>
      </c>
      <c r="F30" s="62">
        <v>2</v>
      </c>
      <c r="G30" s="93">
        <f>+'MANO OBRA P.'!C85</f>
        <v>13072.415217391304</v>
      </c>
      <c r="H30" s="228">
        <f t="shared" si="0"/>
        <v>26144.830434782609</v>
      </c>
      <c r="J30" s="12"/>
    </row>
    <row r="31" spans="2:10" ht="15" customHeight="1" x14ac:dyDescent="0.3">
      <c r="B31" s="309" t="s">
        <v>212</v>
      </c>
      <c r="C31" s="310" t="s">
        <v>174</v>
      </c>
      <c r="D31" s="27">
        <v>1</v>
      </c>
      <c r="E31" s="60" t="s">
        <v>214</v>
      </c>
      <c r="F31" s="62">
        <v>1</v>
      </c>
      <c r="G31" s="93">
        <f>+'MANO OBRA P.'!C85</f>
        <v>13072.415217391304</v>
      </c>
      <c r="H31" s="228">
        <f t="shared" si="0"/>
        <v>13072.415217391304</v>
      </c>
      <c r="J31" s="12"/>
    </row>
    <row r="32" spans="2:10" ht="15" customHeight="1" x14ac:dyDescent="0.3">
      <c r="B32" s="309" t="s">
        <v>213</v>
      </c>
      <c r="C32" s="310" t="s">
        <v>174</v>
      </c>
      <c r="D32" s="27">
        <v>1</v>
      </c>
      <c r="E32" s="60" t="s">
        <v>214</v>
      </c>
      <c r="F32" s="62">
        <v>1.5</v>
      </c>
      <c r="G32" s="93">
        <f>+'MANO OBRA P.'!C85</f>
        <v>13072.415217391304</v>
      </c>
      <c r="H32" s="228">
        <f t="shared" si="0"/>
        <v>19608.622826086958</v>
      </c>
      <c r="J32" s="12"/>
    </row>
    <row r="33" spans="2:10" ht="15" customHeight="1" x14ac:dyDescent="0.3">
      <c r="B33" s="309" t="s">
        <v>221</v>
      </c>
      <c r="C33" s="310" t="s">
        <v>174</v>
      </c>
      <c r="D33" s="27">
        <v>1</v>
      </c>
      <c r="E33" s="60" t="s">
        <v>214</v>
      </c>
      <c r="F33" s="64">
        <v>1</v>
      </c>
      <c r="G33" s="99">
        <f>+'MANO OBRA P.'!C110</f>
        <v>13986.339130434782</v>
      </c>
      <c r="H33" s="228">
        <f t="shared" si="0"/>
        <v>13986.339130434782</v>
      </c>
      <c r="J33" s="12"/>
    </row>
    <row r="34" spans="2:10" ht="15" customHeight="1" thickBot="1" x14ac:dyDescent="0.35">
      <c r="B34" s="363" t="s">
        <v>215</v>
      </c>
      <c r="C34" s="364"/>
      <c r="D34" s="364"/>
      <c r="E34" s="364"/>
      <c r="F34" s="365"/>
      <c r="G34" s="251"/>
      <c r="H34" s="229">
        <f>SUM(H28:H33)</f>
        <v>186155.2891304348</v>
      </c>
      <c r="J34" s="12"/>
    </row>
    <row r="35" spans="2:10" ht="15" customHeight="1" thickBot="1" x14ac:dyDescent="0.35">
      <c r="B35" s="68"/>
      <c r="C35" s="68"/>
      <c r="D35" s="68"/>
      <c r="E35" s="68"/>
      <c r="F35" s="68"/>
      <c r="G35" s="68"/>
      <c r="I35" s="69"/>
      <c r="J35" s="70"/>
    </row>
    <row r="36" spans="2:10" ht="15" customHeight="1" x14ac:dyDescent="0.3">
      <c r="B36" s="312" t="s">
        <v>219</v>
      </c>
      <c r="C36" s="313"/>
      <c r="D36" s="313"/>
      <c r="E36" s="314"/>
      <c r="F36" s="78"/>
      <c r="G36" s="78"/>
      <c r="H36" s="78"/>
      <c r="I36" s="78"/>
      <c r="J36" s="78"/>
    </row>
    <row r="37" spans="2:10" ht="15" customHeight="1" x14ac:dyDescent="0.3">
      <c r="B37" s="250" t="s">
        <v>217</v>
      </c>
      <c r="C37" s="98" t="s">
        <v>185</v>
      </c>
      <c r="D37" s="76" t="s">
        <v>207</v>
      </c>
      <c r="E37" s="249" t="s">
        <v>208</v>
      </c>
      <c r="G37" s="71"/>
      <c r="H37" s="72"/>
      <c r="J37" s="12"/>
    </row>
    <row r="38" spans="2:10" ht="15" customHeight="1" x14ac:dyDescent="0.3">
      <c r="B38" s="230" t="s">
        <v>88</v>
      </c>
      <c r="C38" s="27" t="s">
        <v>39</v>
      </c>
      <c r="D38" s="60" t="s">
        <v>214</v>
      </c>
      <c r="E38" s="231">
        <f>+F31</f>
        <v>1</v>
      </c>
      <c r="G38" s="73"/>
      <c r="H38" s="74"/>
      <c r="J38" s="12"/>
    </row>
    <row r="39" spans="2:10" ht="15" customHeight="1" x14ac:dyDescent="0.3">
      <c r="B39" s="230" t="s">
        <v>89</v>
      </c>
      <c r="C39" s="27" t="s">
        <v>39</v>
      </c>
      <c r="D39" s="60" t="s">
        <v>214</v>
      </c>
      <c r="E39" s="231">
        <f>+F32</f>
        <v>1.5</v>
      </c>
      <c r="G39" s="73"/>
      <c r="H39" s="74"/>
      <c r="J39" s="12"/>
    </row>
    <row r="40" spans="2:10" ht="15" customHeight="1" x14ac:dyDescent="0.3">
      <c r="B40" s="230"/>
      <c r="C40" s="27" t="s">
        <v>40</v>
      </c>
      <c r="D40" s="60" t="s">
        <v>214</v>
      </c>
      <c r="E40" s="231">
        <f>+F32</f>
        <v>1.5</v>
      </c>
      <c r="G40" s="73"/>
      <c r="H40" s="74"/>
      <c r="J40" s="12"/>
    </row>
    <row r="41" spans="2:10" ht="15" customHeight="1" thickBot="1" x14ac:dyDescent="0.35">
      <c r="B41" s="242" t="s">
        <v>220</v>
      </c>
      <c r="C41" s="162" t="s">
        <v>40</v>
      </c>
      <c r="D41" s="213" t="s">
        <v>214</v>
      </c>
      <c r="E41" s="235">
        <f>+F33</f>
        <v>1</v>
      </c>
      <c r="G41" s="73"/>
      <c r="H41" s="74"/>
      <c r="J41" s="12"/>
    </row>
    <row r="42" spans="2:10" ht="15" customHeight="1" thickBot="1" x14ac:dyDescent="0.35">
      <c r="B42" s="68"/>
      <c r="C42" s="68"/>
      <c r="D42" s="68"/>
      <c r="E42" s="68"/>
      <c r="F42" s="68"/>
      <c r="G42" s="68"/>
      <c r="I42" s="69"/>
      <c r="J42" s="70"/>
    </row>
    <row r="43" spans="2:10" ht="15" customHeight="1" x14ac:dyDescent="0.3">
      <c r="B43" s="360" t="s">
        <v>224</v>
      </c>
      <c r="C43" s="361"/>
      <c r="D43" s="361"/>
      <c r="E43" s="362"/>
      <c r="F43" s="68"/>
      <c r="G43" s="68"/>
      <c r="I43" s="69"/>
      <c r="J43" s="70"/>
    </row>
    <row r="44" spans="2:10" ht="15" customHeight="1" x14ac:dyDescent="0.3">
      <c r="B44" s="214" t="s">
        <v>217</v>
      </c>
      <c r="C44" s="43" t="s">
        <v>223</v>
      </c>
      <c r="D44" s="43" t="s">
        <v>226</v>
      </c>
      <c r="E44" s="236" t="s">
        <v>225</v>
      </c>
      <c r="F44" s="68"/>
      <c r="G44" s="68"/>
      <c r="I44" s="69"/>
      <c r="J44" s="70"/>
    </row>
    <row r="45" spans="2:10" ht="15" customHeight="1" x14ac:dyDescent="0.3">
      <c r="B45" s="227" t="s">
        <v>39</v>
      </c>
      <c r="C45" s="81">
        <f>+I24+E38+E39</f>
        <v>152.5</v>
      </c>
      <c r="D45" s="81" t="s">
        <v>227</v>
      </c>
      <c r="E45" s="237">
        <f>+C45/60</f>
        <v>2.5416666666666665</v>
      </c>
      <c r="F45" s="68"/>
      <c r="G45" s="68"/>
      <c r="I45" s="69"/>
      <c r="J45" s="70"/>
    </row>
    <row r="46" spans="2:10" ht="15" customHeight="1" x14ac:dyDescent="0.3">
      <c r="B46" s="227" t="s">
        <v>40</v>
      </c>
      <c r="C46" s="81">
        <f>+I24+E40+E41</f>
        <v>152.5</v>
      </c>
      <c r="D46" s="81" t="s">
        <v>227</v>
      </c>
      <c r="E46" s="237">
        <f t="shared" ref="E46:E47" si="1">+C46/60</f>
        <v>2.5416666666666665</v>
      </c>
      <c r="F46" s="68"/>
      <c r="G46" s="68"/>
      <c r="I46" s="69"/>
      <c r="J46" s="70"/>
    </row>
    <row r="47" spans="2:10" ht="15" customHeight="1" x14ac:dyDescent="0.3">
      <c r="B47" s="227" t="s">
        <v>175</v>
      </c>
      <c r="C47" s="81">
        <f>+I24+E38+E39+E40+E41</f>
        <v>155</v>
      </c>
      <c r="D47" s="81" t="s">
        <v>227</v>
      </c>
      <c r="E47" s="237">
        <f t="shared" si="1"/>
        <v>2.5833333333333335</v>
      </c>
      <c r="F47" s="68"/>
      <c r="G47" s="68"/>
      <c r="I47" s="69"/>
      <c r="J47" s="70"/>
    </row>
    <row r="48" spans="2:10" ht="15" customHeight="1" thickBot="1" x14ac:dyDescent="0.35">
      <c r="B48" s="238" t="s">
        <v>169</v>
      </c>
      <c r="C48" s="239">
        <f>+F11+F18+F19+F21+F22</f>
        <v>1700</v>
      </c>
      <c r="D48" s="239" t="s">
        <v>71</v>
      </c>
      <c r="E48" s="240"/>
      <c r="F48" s="68"/>
      <c r="G48" s="68"/>
      <c r="I48" s="69"/>
      <c r="J48" s="70"/>
    </row>
    <row r="49" spans="2:10" ht="15" customHeight="1" thickBot="1" x14ac:dyDescent="0.35"/>
    <row r="50" spans="2:10" ht="15" customHeight="1" x14ac:dyDescent="0.3">
      <c r="B50" s="397" t="s">
        <v>217</v>
      </c>
      <c r="C50" s="398"/>
      <c r="D50" s="398"/>
      <c r="E50" s="398"/>
      <c r="F50" s="398"/>
      <c r="G50" s="399"/>
      <c r="J50" s="12"/>
    </row>
    <row r="51" spans="2:10" ht="15" customHeight="1" x14ac:dyDescent="0.3">
      <c r="B51" s="250" t="s">
        <v>243</v>
      </c>
      <c r="C51" s="98" t="s">
        <v>206</v>
      </c>
      <c r="D51" s="76" t="s">
        <v>207</v>
      </c>
      <c r="E51" s="77" t="s">
        <v>208</v>
      </c>
      <c r="F51" s="76" t="s">
        <v>228</v>
      </c>
      <c r="G51" s="244" t="s">
        <v>87</v>
      </c>
      <c r="J51" s="12"/>
    </row>
    <row r="52" spans="2:10" ht="15" customHeight="1" x14ac:dyDescent="0.3">
      <c r="B52" s="230" t="s">
        <v>169</v>
      </c>
      <c r="C52" s="82">
        <f>+C48</f>
        <v>1700</v>
      </c>
      <c r="D52" s="60" t="s">
        <v>71</v>
      </c>
      <c r="E52" s="62"/>
      <c r="F52" s="93">
        <f>+CIF!G13</f>
        <v>8.4257996768982224</v>
      </c>
      <c r="G52" s="228">
        <f>+F52*C52</f>
        <v>14323.859450726977</v>
      </c>
      <c r="J52" s="12"/>
    </row>
    <row r="53" spans="2:10" ht="15" customHeight="1" x14ac:dyDescent="0.3">
      <c r="B53" s="230" t="s">
        <v>39</v>
      </c>
      <c r="C53" s="79">
        <f>+C45</f>
        <v>152.5</v>
      </c>
      <c r="D53" s="60" t="s">
        <v>214</v>
      </c>
      <c r="E53" s="62">
        <f>+I24/60</f>
        <v>2.5</v>
      </c>
      <c r="F53" s="93">
        <f>+CIF!G17</f>
        <v>9015.703846153845</v>
      </c>
      <c r="G53" s="228">
        <f>+E53*F53</f>
        <v>22539.259615384613</v>
      </c>
      <c r="J53" s="12"/>
    </row>
    <row r="54" spans="2:10" ht="15" customHeight="1" x14ac:dyDescent="0.3">
      <c r="B54" s="230" t="s">
        <v>40</v>
      </c>
      <c r="C54" s="80">
        <f>+I24+E40+E41</f>
        <v>152.5</v>
      </c>
      <c r="D54" s="60" t="s">
        <v>214</v>
      </c>
      <c r="E54" s="62">
        <f>+E46</f>
        <v>2.5416666666666665</v>
      </c>
      <c r="F54" s="93">
        <f>+CIF!G21</f>
        <v>56187.532051282054</v>
      </c>
      <c r="G54" s="228">
        <f>+E54*F54</f>
        <v>142809.97729700853</v>
      </c>
      <c r="J54" s="12"/>
    </row>
    <row r="55" spans="2:10" ht="15" customHeight="1" x14ac:dyDescent="0.3">
      <c r="B55" s="230" t="s">
        <v>175</v>
      </c>
      <c r="C55" s="80">
        <f>+C47</f>
        <v>155</v>
      </c>
      <c r="D55" s="60" t="s">
        <v>214</v>
      </c>
      <c r="E55" s="62">
        <f>+E47</f>
        <v>2.5833333333333335</v>
      </c>
      <c r="F55" s="93">
        <f>+CIF!F25</f>
        <v>8012.8205128205127</v>
      </c>
      <c r="G55" s="228">
        <f>+E55*F55</f>
        <v>20699.786324786324</v>
      </c>
      <c r="J55" s="12"/>
    </row>
    <row r="56" spans="2:10" ht="15" customHeight="1" thickBot="1" x14ac:dyDescent="0.35">
      <c r="B56" s="242" t="s">
        <v>218</v>
      </c>
      <c r="C56" s="248"/>
      <c r="D56" s="248"/>
      <c r="E56" s="248"/>
      <c r="F56" s="251"/>
      <c r="G56" s="229">
        <f>SUM(G52:G55)</f>
        <v>200372.88268790644</v>
      </c>
      <c r="J56" s="12"/>
    </row>
    <row r="57" spans="2:10" ht="15" customHeight="1" thickBot="1" x14ac:dyDescent="0.35"/>
    <row r="58" spans="2:10" ht="15" customHeight="1" x14ac:dyDescent="0.3">
      <c r="B58" s="312" t="s">
        <v>245</v>
      </c>
      <c r="C58" s="313"/>
      <c r="D58" s="314"/>
    </row>
    <row r="59" spans="2:10" ht="15" customHeight="1" x14ac:dyDescent="0.3">
      <c r="B59" s="356" t="s">
        <v>201</v>
      </c>
      <c r="C59" s="357"/>
      <c r="D59" s="152">
        <f>+J24</f>
        <v>83478.615526726979</v>
      </c>
    </row>
    <row r="60" spans="2:10" ht="15" customHeight="1" x14ac:dyDescent="0.3">
      <c r="B60" s="356" t="s">
        <v>205</v>
      </c>
      <c r="C60" s="357"/>
      <c r="D60" s="152">
        <f>+H34</f>
        <v>186155.2891304348</v>
      </c>
    </row>
    <row r="61" spans="2:10" ht="15" customHeight="1" x14ac:dyDescent="0.3">
      <c r="B61" s="356" t="s">
        <v>242</v>
      </c>
      <c r="C61" s="357"/>
      <c r="D61" s="152">
        <f>+G56</f>
        <v>200372.88268790644</v>
      </c>
    </row>
    <row r="62" spans="2:10" ht="15" customHeight="1" x14ac:dyDescent="0.3">
      <c r="B62" s="356" t="s">
        <v>246</v>
      </c>
      <c r="C62" s="357"/>
      <c r="D62" s="152">
        <f>+D59+D60+D61</f>
        <v>470006.78734506824</v>
      </c>
    </row>
    <row r="63" spans="2:10" ht="15" customHeight="1" x14ac:dyDescent="0.3">
      <c r="B63" s="356" t="s">
        <v>247</v>
      </c>
      <c r="C63" s="357"/>
      <c r="D63" s="241">
        <f>+C11</f>
        <v>20</v>
      </c>
    </row>
    <row r="64" spans="2:10" ht="15" customHeight="1" thickBot="1" x14ac:dyDescent="0.35">
      <c r="B64" s="358" t="s">
        <v>248</v>
      </c>
      <c r="C64" s="359"/>
      <c r="D64" s="225">
        <f>+D62/D63</f>
        <v>23500.339367253411</v>
      </c>
    </row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109" ht="16.5" customHeight="1" x14ac:dyDescent="0.3"/>
    <row r="134" ht="16.5" customHeight="1" x14ac:dyDescent="0.3"/>
    <row r="215" ht="16.5" customHeight="1" x14ac:dyDescent="0.3"/>
    <row r="233" spans="11:11" x14ac:dyDescent="0.3">
      <c r="K233" s="11"/>
    </row>
    <row r="234" spans="11:11" ht="16.5" customHeight="1" x14ac:dyDescent="0.3">
      <c r="K234" s="11"/>
    </row>
    <row r="235" spans="11:11" x14ac:dyDescent="0.3">
      <c r="K235" s="11"/>
    </row>
    <row r="236" spans="11:11" x14ac:dyDescent="0.3">
      <c r="K236" s="11"/>
    </row>
    <row r="237" spans="11:11" x14ac:dyDescent="0.3">
      <c r="K237" s="11"/>
    </row>
    <row r="238" spans="11:11" x14ac:dyDescent="0.3">
      <c r="K238" s="11"/>
    </row>
    <row r="239" spans="11:11" x14ac:dyDescent="0.3">
      <c r="K239" s="11"/>
    </row>
    <row r="240" spans="11:11" x14ac:dyDescent="0.3">
      <c r="K240" s="11"/>
    </row>
    <row r="241" spans="11:11" x14ac:dyDescent="0.3">
      <c r="K241" s="11"/>
    </row>
    <row r="242" spans="11:11" x14ac:dyDescent="0.3">
      <c r="K242" s="11"/>
    </row>
    <row r="243" spans="11:11" x14ac:dyDescent="0.3">
      <c r="K243" s="11"/>
    </row>
    <row r="244" spans="11:11" x14ac:dyDescent="0.3">
      <c r="K244" s="11"/>
    </row>
    <row r="245" spans="11:11" x14ac:dyDescent="0.3">
      <c r="K245" s="11"/>
    </row>
    <row r="246" spans="11:11" x14ac:dyDescent="0.3">
      <c r="K246" s="11"/>
    </row>
    <row r="247" spans="11:11" x14ac:dyDescent="0.3">
      <c r="K247" s="11"/>
    </row>
    <row r="248" spans="11:11" x14ac:dyDescent="0.3">
      <c r="K248" s="11"/>
    </row>
    <row r="249" spans="11:11" x14ac:dyDescent="0.3">
      <c r="K249" s="11"/>
    </row>
    <row r="250" spans="11:11" x14ac:dyDescent="0.3">
      <c r="K250" s="11"/>
    </row>
    <row r="251" spans="11:11" x14ac:dyDescent="0.3">
      <c r="K251" s="11"/>
    </row>
    <row r="252" spans="11:11" x14ac:dyDescent="0.3">
      <c r="K252" s="11"/>
    </row>
    <row r="253" spans="11:11" x14ac:dyDescent="0.3">
      <c r="K253" s="11"/>
    </row>
    <row r="254" spans="11:11" x14ac:dyDescent="0.3">
      <c r="K254" s="11"/>
    </row>
    <row r="255" spans="11:11" x14ac:dyDescent="0.3">
      <c r="K255" s="11"/>
    </row>
    <row r="256" spans="11:11" x14ac:dyDescent="0.3">
      <c r="K256" s="11"/>
    </row>
    <row r="257" spans="11:11" x14ac:dyDescent="0.3">
      <c r="K257" s="11"/>
    </row>
    <row r="258" spans="11:11" x14ac:dyDescent="0.3">
      <c r="K258" s="11"/>
    </row>
  </sheetData>
  <mergeCells count="29">
    <mergeCell ref="B60:C60"/>
    <mergeCell ref="B61:C61"/>
    <mergeCell ref="B62:C62"/>
    <mergeCell ref="B63:C63"/>
    <mergeCell ref="B64:C64"/>
    <mergeCell ref="B36:E36"/>
    <mergeCell ref="B43:E43"/>
    <mergeCell ref="B50:G50"/>
    <mergeCell ref="B58:D58"/>
    <mergeCell ref="B59:C59"/>
    <mergeCell ref="B32:C32"/>
    <mergeCell ref="B33:C33"/>
    <mergeCell ref="B26:H26"/>
    <mergeCell ref="B34:F34"/>
    <mergeCell ref="B27:C27"/>
    <mergeCell ref="B24:H24"/>
    <mergeCell ref="B28:C28"/>
    <mergeCell ref="B29:C29"/>
    <mergeCell ref="B30:C30"/>
    <mergeCell ref="B31:C31"/>
    <mergeCell ref="B8:J8"/>
    <mergeCell ref="B9:J9"/>
    <mergeCell ref="B11:B23"/>
    <mergeCell ref="C11:C23"/>
    <mergeCell ref="D11:D14"/>
    <mergeCell ref="D15:D16"/>
    <mergeCell ref="D17:D18"/>
    <mergeCell ref="D19:D22"/>
    <mergeCell ref="I11:I14"/>
  </mergeCells>
  <pageMargins left="0.7" right="0.7" top="0.75" bottom="0.75" header="0.3" footer="0.3"/>
  <pageSetup paperSize="9" scale="48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9B8F5-1A10-401B-B96E-C79A0A28A382}">
  <sheetPr codeName="Hoja1"/>
  <dimension ref="B1:C12"/>
  <sheetViews>
    <sheetView workbookViewId="0">
      <selection activeCell="B1" sqref="B1:C8"/>
    </sheetView>
  </sheetViews>
  <sheetFormatPr baseColWidth="10" defaultRowHeight="15" x14ac:dyDescent="0.25"/>
  <cols>
    <col min="2" max="2" width="17.7109375" customWidth="1"/>
    <col min="3" max="3" width="15.7109375" customWidth="1"/>
  </cols>
  <sheetData>
    <row r="1" spans="2:3" ht="30" x14ac:dyDescent="0.25">
      <c r="B1" s="256" t="s">
        <v>125</v>
      </c>
      <c r="C1" s="257" t="s">
        <v>264</v>
      </c>
    </row>
    <row r="2" spans="2:3" x14ac:dyDescent="0.25">
      <c r="B2" s="258" t="s">
        <v>119</v>
      </c>
      <c r="C2" s="259">
        <f>1974+1756+1635</f>
        <v>5365</v>
      </c>
    </row>
    <row r="3" spans="2:3" x14ac:dyDescent="0.25">
      <c r="B3" s="258" t="s">
        <v>120</v>
      </c>
      <c r="C3" s="259">
        <f>5912+6300+5647+5315</f>
        <v>23174</v>
      </c>
    </row>
    <row r="4" spans="2:3" x14ac:dyDescent="0.25">
      <c r="B4" s="258" t="s">
        <v>121</v>
      </c>
      <c r="C4" s="259">
        <f>2698+5782+4512+5479+1522+4132+182</f>
        <v>24307</v>
      </c>
    </row>
    <row r="5" spans="2:3" x14ac:dyDescent="0.25">
      <c r="B5" s="258" t="s">
        <v>122</v>
      </c>
      <c r="C5" s="259">
        <f>7480+6502+8110+9023+5331+4584</f>
        <v>41030</v>
      </c>
    </row>
    <row r="6" spans="2:3" x14ac:dyDescent="0.25">
      <c r="B6" s="258" t="s">
        <v>123</v>
      </c>
      <c r="C6" s="259">
        <f>7542+5623+7359+5624+2015+3523</f>
        <v>31686</v>
      </c>
    </row>
    <row r="7" spans="2:3" x14ac:dyDescent="0.25">
      <c r="B7" s="258" t="s">
        <v>124</v>
      </c>
      <c r="C7" s="259">
        <f>6157+4383+4152+4383+4844+3160</f>
        <v>27079</v>
      </c>
    </row>
    <row r="8" spans="2:3" ht="15.75" thickBot="1" x14ac:dyDescent="0.3">
      <c r="B8" s="260" t="s">
        <v>126</v>
      </c>
      <c r="C8" s="261">
        <f>+SUM(C2:C7)</f>
        <v>152641</v>
      </c>
    </row>
    <row r="12" spans="2:3" x14ac:dyDescent="0.25">
      <c r="B12" s="41"/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86C91-91BF-4091-AA3B-1ADAC6365562}">
  <sheetPr codeName="Hoja2"/>
  <dimension ref="A1:G22"/>
  <sheetViews>
    <sheetView workbookViewId="0">
      <selection activeCell="J19" sqref="J19"/>
    </sheetView>
  </sheetViews>
  <sheetFormatPr baseColWidth="10" defaultRowHeight="15" x14ac:dyDescent="0.25"/>
  <cols>
    <col min="2" max="2" width="25.140625" customWidth="1"/>
    <col min="3" max="3" width="18.140625" style="41" customWidth="1"/>
    <col min="4" max="5" width="11.42578125" style="40"/>
    <col min="6" max="6" width="11.42578125" style="40" customWidth="1"/>
    <col min="7" max="7" width="11.42578125" style="40"/>
  </cols>
  <sheetData>
    <row r="1" spans="1:7" ht="15.75" thickBot="1" x14ac:dyDescent="0.3"/>
    <row r="2" spans="1:7" x14ac:dyDescent="0.25">
      <c r="A2" s="256" t="s">
        <v>128</v>
      </c>
      <c r="B2" s="262" t="s">
        <v>127</v>
      </c>
      <c r="C2" s="263" t="s">
        <v>249</v>
      </c>
      <c r="D2" s="262" t="s">
        <v>130</v>
      </c>
      <c r="E2" s="400" t="s">
        <v>168</v>
      </c>
      <c r="F2" s="400"/>
      <c r="G2" s="401"/>
    </row>
    <row r="3" spans="1:7" x14ac:dyDescent="0.25">
      <c r="A3" s="264">
        <v>1</v>
      </c>
      <c r="B3" s="35" t="s">
        <v>129</v>
      </c>
      <c r="C3" s="101">
        <v>7000000</v>
      </c>
      <c r="D3" s="45" t="s">
        <v>131</v>
      </c>
      <c r="E3" s="45" t="s">
        <v>40</v>
      </c>
      <c r="F3" s="45" t="s">
        <v>39</v>
      </c>
      <c r="G3" s="265" t="s">
        <v>169</v>
      </c>
    </row>
    <row r="4" spans="1:7" x14ac:dyDescent="0.25">
      <c r="A4" s="264">
        <v>2</v>
      </c>
      <c r="B4" s="35" t="s">
        <v>133</v>
      </c>
      <c r="C4" s="101">
        <v>25000000</v>
      </c>
      <c r="D4" s="45" t="s">
        <v>138</v>
      </c>
      <c r="E4" s="45" t="s">
        <v>40</v>
      </c>
      <c r="F4" s="45" t="s">
        <v>39</v>
      </c>
      <c r="G4" s="265" t="s">
        <v>169</v>
      </c>
    </row>
    <row r="5" spans="1:7" x14ac:dyDescent="0.25">
      <c r="A5" s="264">
        <v>3</v>
      </c>
      <c r="B5" s="35" t="s">
        <v>134</v>
      </c>
      <c r="C5" s="101">
        <v>35000000</v>
      </c>
      <c r="D5" s="45" t="s">
        <v>139</v>
      </c>
      <c r="E5" s="45" t="s">
        <v>40</v>
      </c>
      <c r="F5" s="45" t="s">
        <v>39</v>
      </c>
      <c r="G5" s="265" t="s">
        <v>169</v>
      </c>
    </row>
    <row r="6" spans="1:7" x14ac:dyDescent="0.25">
      <c r="A6" s="264">
        <v>4</v>
      </c>
      <c r="B6" s="35" t="s">
        <v>135</v>
      </c>
      <c r="C6" s="101">
        <v>15000000</v>
      </c>
      <c r="D6" s="45" t="s">
        <v>140</v>
      </c>
      <c r="E6" s="45" t="s">
        <v>40</v>
      </c>
      <c r="F6" s="45" t="s">
        <v>39</v>
      </c>
      <c r="G6" s="265" t="s">
        <v>169</v>
      </c>
    </row>
    <row r="7" spans="1:7" x14ac:dyDescent="0.25">
      <c r="A7" s="264">
        <v>5</v>
      </c>
      <c r="B7" s="35" t="s">
        <v>136</v>
      </c>
      <c r="C7" s="101">
        <v>10000000</v>
      </c>
      <c r="D7" s="45" t="s">
        <v>141</v>
      </c>
      <c r="E7" s="45" t="s">
        <v>40</v>
      </c>
      <c r="F7" s="45" t="s">
        <v>39</v>
      </c>
      <c r="G7" s="265" t="s">
        <v>169</v>
      </c>
    </row>
    <row r="8" spans="1:7" ht="15.75" thickBot="1" x14ac:dyDescent="0.3">
      <c r="A8" s="266">
        <v>6</v>
      </c>
      <c r="B8" s="267" t="s">
        <v>137</v>
      </c>
      <c r="C8" s="268">
        <v>12000000</v>
      </c>
      <c r="D8" s="269" t="s">
        <v>132</v>
      </c>
      <c r="E8" s="269" t="s">
        <v>40</v>
      </c>
      <c r="F8" s="269" t="s">
        <v>39</v>
      </c>
      <c r="G8" s="270" t="s">
        <v>169</v>
      </c>
    </row>
    <row r="9" spans="1:7" ht="15.75" thickBot="1" x14ac:dyDescent="0.3"/>
    <row r="10" spans="1:7" x14ac:dyDescent="0.25">
      <c r="A10" s="256" t="s">
        <v>128</v>
      </c>
      <c r="B10" s="262" t="s">
        <v>167</v>
      </c>
      <c r="C10" s="263" t="s">
        <v>249</v>
      </c>
      <c r="D10" s="402" t="s">
        <v>168</v>
      </c>
      <c r="E10" s="403"/>
      <c r="F10"/>
    </row>
    <row r="11" spans="1:7" x14ac:dyDescent="0.25">
      <c r="A11" s="264">
        <v>1</v>
      </c>
      <c r="B11" s="35" t="s">
        <v>166</v>
      </c>
      <c r="C11" s="101">
        <v>10000000</v>
      </c>
      <c r="D11" s="45" t="s">
        <v>40</v>
      </c>
      <c r="E11" s="265" t="s">
        <v>39</v>
      </c>
    </row>
    <row r="12" spans="1:7" x14ac:dyDescent="0.25">
      <c r="A12" s="264">
        <v>2</v>
      </c>
      <c r="B12" s="35" t="s">
        <v>165</v>
      </c>
      <c r="C12" s="101">
        <v>14000000</v>
      </c>
      <c r="D12" s="45" t="s">
        <v>40</v>
      </c>
      <c r="E12" s="265" t="s">
        <v>39</v>
      </c>
    </row>
    <row r="13" spans="1:7" x14ac:dyDescent="0.25">
      <c r="A13" s="264">
        <v>3</v>
      </c>
      <c r="B13" s="35" t="s">
        <v>165</v>
      </c>
      <c r="C13" s="101">
        <v>17000000</v>
      </c>
      <c r="D13" s="45" t="s">
        <v>40</v>
      </c>
      <c r="E13" s="265" t="s">
        <v>39</v>
      </c>
    </row>
    <row r="14" spans="1:7" ht="15.75" thickBot="1" x14ac:dyDescent="0.3">
      <c r="A14" s="266">
        <v>4</v>
      </c>
      <c r="B14" s="267" t="s">
        <v>252</v>
      </c>
      <c r="C14" s="268">
        <v>22000000</v>
      </c>
      <c r="D14" s="269" t="s">
        <v>40</v>
      </c>
      <c r="E14" s="270" t="s">
        <v>39</v>
      </c>
    </row>
    <row r="15" spans="1:7" ht="15.75" thickBot="1" x14ac:dyDescent="0.3"/>
    <row r="16" spans="1:7" x14ac:dyDescent="0.25">
      <c r="A16" s="256" t="s">
        <v>128</v>
      </c>
      <c r="B16" s="262" t="s">
        <v>170</v>
      </c>
      <c r="C16" s="263" t="s">
        <v>249</v>
      </c>
      <c r="D16" s="402" t="s">
        <v>168</v>
      </c>
      <c r="E16" s="403"/>
    </row>
    <row r="17" spans="1:5" x14ac:dyDescent="0.25">
      <c r="A17" s="264">
        <v>1</v>
      </c>
      <c r="B17" s="35" t="s">
        <v>171</v>
      </c>
      <c r="C17" s="101">
        <v>12000000</v>
      </c>
      <c r="D17" s="45"/>
      <c r="E17" s="265" t="s">
        <v>39</v>
      </c>
    </row>
    <row r="18" spans="1:5" x14ac:dyDescent="0.25">
      <c r="A18" s="264">
        <v>2</v>
      </c>
      <c r="B18" s="35" t="s">
        <v>250</v>
      </c>
      <c r="C18" s="101">
        <v>12000000</v>
      </c>
      <c r="D18" s="45"/>
      <c r="E18" s="265" t="s">
        <v>39</v>
      </c>
    </row>
    <row r="19" spans="1:5" x14ac:dyDescent="0.25">
      <c r="A19" s="264">
        <v>3</v>
      </c>
      <c r="B19" s="35" t="s">
        <v>172</v>
      </c>
      <c r="C19" s="101">
        <v>5000000</v>
      </c>
      <c r="D19" s="45" t="s">
        <v>40</v>
      </c>
      <c r="E19" s="265"/>
    </row>
    <row r="20" spans="1:5" x14ac:dyDescent="0.25">
      <c r="A20" s="264">
        <v>4</v>
      </c>
      <c r="B20" s="35" t="s">
        <v>172</v>
      </c>
      <c r="C20" s="101">
        <v>5000000</v>
      </c>
      <c r="D20" s="45" t="s">
        <v>40</v>
      </c>
      <c r="E20" s="265"/>
    </row>
    <row r="21" spans="1:5" x14ac:dyDescent="0.25">
      <c r="A21" s="264">
        <v>5</v>
      </c>
      <c r="B21" s="35" t="s">
        <v>172</v>
      </c>
      <c r="C21" s="101">
        <v>5000000</v>
      </c>
      <c r="D21" s="45" t="s">
        <v>40</v>
      </c>
      <c r="E21" s="265"/>
    </row>
    <row r="22" spans="1:5" ht="15.75" thickBot="1" x14ac:dyDescent="0.3">
      <c r="A22" s="266">
        <v>6</v>
      </c>
      <c r="B22" s="267" t="s">
        <v>251</v>
      </c>
      <c r="C22" s="268">
        <v>65000000</v>
      </c>
      <c r="D22" s="269" t="s">
        <v>40</v>
      </c>
      <c r="E22" s="270" t="s">
        <v>39</v>
      </c>
    </row>
  </sheetData>
  <mergeCells count="3">
    <mergeCell ref="E2:G2"/>
    <mergeCell ref="D10:E10"/>
    <mergeCell ref="D16:E16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178C5-FE42-42A5-A698-98D5B5E40616}">
  <sheetPr codeName="Hoja6"/>
  <dimension ref="A1:T132"/>
  <sheetViews>
    <sheetView showGridLines="0" topLeftCell="A97" workbookViewId="0">
      <selection activeCell="E69" sqref="E69"/>
    </sheetView>
  </sheetViews>
  <sheetFormatPr baseColWidth="10" defaultColWidth="13" defaultRowHeight="15.75" x14ac:dyDescent="0.25"/>
  <cols>
    <col min="1" max="1" width="10.42578125" style="1" customWidth="1"/>
    <col min="2" max="2" width="22.7109375" style="1" customWidth="1"/>
    <col min="3" max="3" width="19.42578125" style="1" customWidth="1"/>
    <col min="4" max="4" width="16.42578125" style="1" customWidth="1"/>
    <col min="5" max="5" width="21.85546875" style="1" customWidth="1"/>
    <col min="6" max="6" width="19.5703125" style="1" customWidth="1"/>
    <col min="7" max="7" width="3.7109375" style="1" customWidth="1"/>
    <col min="8" max="8" width="25" style="1" customWidth="1"/>
    <col min="9" max="13" width="13" style="1"/>
    <col min="14" max="14" width="23.5703125" style="1" bestFit="1" customWidth="1"/>
    <col min="15" max="16384" width="13" style="1"/>
  </cols>
  <sheetData>
    <row r="1" spans="1:20" s="12" customFormat="1" ht="16.5" x14ac:dyDescent="0.3">
      <c r="A1" s="172"/>
      <c r="G1" s="173"/>
      <c r="J1" s="19"/>
    </row>
    <row r="2" spans="1:20" s="12" customFormat="1" ht="16.5" x14ac:dyDescent="0.3">
      <c r="A2" s="172"/>
      <c r="G2" s="173"/>
      <c r="J2" s="19"/>
    </row>
    <row r="3" spans="1:20" s="12" customFormat="1" ht="16.5" x14ac:dyDescent="0.3">
      <c r="A3" s="172"/>
      <c r="G3" s="173"/>
      <c r="J3" s="19"/>
    </row>
    <row r="4" spans="1:20" s="12" customFormat="1" ht="16.5" x14ac:dyDescent="0.3">
      <c r="A4" s="172"/>
      <c r="G4" s="173"/>
      <c r="J4" s="19"/>
    </row>
    <row r="5" spans="1:20" s="12" customFormat="1" ht="16.5" x14ac:dyDescent="0.3">
      <c r="A5" s="172"/>
      <c r="G5" s="173"/>
      <c r="J5" s="19"/>
    </row>
    <row r="6" spans="1:20" s="12" customFormat="1" ht="16.5" x14ac:dyDescent="0.3">
      <c r="A6" s="172"/>
      <c r="G6" s="173"/>
      <c r="J6" s="19"/>
    </row>
    <row r="7" spans="1:20" s="12" customFormat="1" ht="16.5" x14ac:dyDescent="0.3">
      <c r="A7" s="172"/>
      <c r="G7" s="173"/>
      <c r="J7" s="19"/>
    </row>
    <row r="8" spans="1:20" s="12" customFormat="1" ht="16.5" x14ac:dyDescent="0.3">
      <c r="A8" s="172"/>
      <c r="G8" s="173"/>
      <c r="J8" s="19"/>
    </row>
    <row r="9" spans="1:20" s="46" customFormat="1" ht="17.25" thickBot="1" x14ac:dyDescent="0.35">
      <c r="A9" s="174"/>
      <c r="G9" s="175"/>
      <c r="H9" s="12"/>
      <c r="I9" s="12"/>
      <c r="J9" s="19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6.5" thickBot="1" x14ac:dyDescent="0.3"/>
    <row r="11" spans="1:20" ht="16.5" thickBot="1" x14ac:dyDescent="0.3">
      <c r="B11" s="176"/>
      <c r="C11" s="177"/>
      <c r="D11" s="178" t="s">
        <v>23</v>
      </c>
      <c r="E11" s="177"/>
      <c r="F11" s="177"/>
      <c r="G11" s="179"/>
    </row>
    <row r="12" spans="1:20" ht="16.5" thickBot="1" x14ac:dyDescent="0.3">
      <c r="B12" s="102"/>
      <c r="C12" s="102"/>
      <c r="D12" s="102"/>
      <c r="E12" s="102"/>
      <c r="F12" s="102"/>
      <c r="G12" s="102"/>
    </row>
    <row r="13" spans="1:20" ht="23.25" customHeight="1" thickBot="1" x14ac:dyDescent="0.3">
      <c r="B13" s="275" t="s">
        <v>12</v>
      </c>
      <c r="C13" s="276"/>
      <c r="D13" s="276"/>
      <c r="E13" s="276"/>
      <c r="F13" s="276"/>
      <c r="G13" s="277"/>
      <c r="H13" s="9"/>
    </row>
    <row r="14" spans="1:20" x14ac:dyDescent="0.25">
      <c r="B14" s="103" t="s">
        <v>0</v>
      </c>
      <c r="C14" s="104" t="s">
        <v>1</v>
      </c>
      <c r="D14" s="105"/>
      <c r="E14" s="105"/>
      <c r="F14" s="105"/>
      <c r="G14" s="106"/>
    </row>
    <row r="15" spans="1:20" x14ac:dyDescent="0.25">
      <c r="B15" s="133">
        <v>3000000</v>
      </c>
      <c r="C15" s="130">
        <v>162000</v>
      </c>
      <c r="D15" s="134"/>
      <c r="E15" s="134"/>
      <c r="F15" s="134"/>
      <c r="G15" s="106"/>
    </row>
    <row r="16" spans="1:20" x14ac:dyDescent="0.25">
      <c r="B16" s="135"/>
      <c r="C16" s="136"/>
      <c r="D16" s="137"/>
      <c r="E16" s="137"/>
      <c r="F16" s="137"/>
      <c r="G16" s="112"/>
      <c r="H16" s="8"/>
    </row>
    <row r="17" spans="2:9" ht="24" customHeight="1" x14ac:dyDescent="0.25">
      <c r="B17" s="138" t="s">
        <v>2</v>
      </c>
      <c r="C17" s="139" t="s">
        <v>3</v>
      </c>
      <c r="D17" s="139" t="s">
        <v>4</v>
      </c>
      <c r="E17" s="139" t="s">
        <v>5</v>
      </c>
      <c r="F17" s="139" t="s">
        <v>6</v>
      </c>
      <c r="G17" s="112"/>
      <c r="H17" s="8"/>
    </row>
    <row r="18" spans="2:9" x14ac:dyDescent="0.25">
      <c r="B18" s="131">
        <f>+(B15+C15)*8.33%</f>
        <v>263394.59999999998</v>
      </c>
      <c r="C18" s="132">
        <f>+(B15+C15)*1%</f>
        <v>31620</v>
      </c>
      <c r="D18" s="132">
        <f>+B18</f>
        <v>263394.59999999998</v>
      </c>
      <c r="E18" s="132">
        <f>+B15*4.16%</f>
        <v>124800</v>
      </c>
      <c r="F18" s="132">
        <f>+SUM(B18:E18)</f>
        <v>683209.2</v>
      </c>
      <c r="G18" s="112"/>
      <c r="H18" s="8"/>
    </row>
    <row r="19" spans="2:9" x14ac:dyDescent="0.25">
      <c r="B19" s="109"/>
      <c r="C19" s="110"/>
      <c r="D19" s="111"/>
      <c r="E19" s="111"/>
      <c r="F19" s="111"/>
      <c r="G19" s="112"/>
      <c r="H19" s="8"/>
    </row>
    <row r="20" spans="2:9" s="4" customFormat="1" x14ac:dyDescent="0.25">
      <c r="B20" s="116" t="s">
        <v>16</v>
      </c>
      <c r="C20" s="117" t="s">
        <v>7</v>
      </c>
      <c r="D20" s="117" t="s">
        <v>0</v>
      </c>
      <c r="E20" s="118"/>
      <c r="F20" s="119"/>
      <c r="G20" s="120"/>
      <c r="H20" s="3"/>
    </row>
    <row r="21" spans="2:9" ht="31.5" x14ac:dyDescent="0.25">
      <c r="B21" s="121" t="s">
        <v>13</v>
      </c>
      <c r="C21" s="108">
        <v>1</v>
      </c>
      <c r="D21" s="130">
        <f>SUM(B15:C15)+SUM(B18:F18)</f>
        <v>4528418.4000000004</v>
      </c>
      <c r="E21" s="105"/>
      <c r="F21" s="110"/>
      <c r="G21" s="115"/>
      <c r="H21" s="2"/>
    </row>
    <row r="22" spans="2:9" x14ac:dyDescent="0.25">
      <c r="B22" s="122"/>
      <c r="C22" s="110"/>
      <c r="D22" s="110"/>
      <c r="E22" s="105"/>
      <c r="F22" s="110"/>
      <c r="G22" s="115"/>
      <c r="H22" s="2"/>
    </row>
    <row r="23" spans="2:9" x14ac:dyDescent="0.25">
      <c r="B23" s="274" t="s">
        <v>91</v>
      </c>
      <c r="C23" s="274"/>
      <c r="D23" s="274"/>
      <c r="E23" s="105"/>
      <c r="F23" s="110"/>
      <c r="G23" s="115"/>
      <c r="H23" s="2"/>
    </row>
    <row r="24" spans="2:9" ht="31.5" x14ac:dyDescent="0.25">
      <c r="B24" s="117" t="s">
        <v>97</v>
      </c>
      <c r="C24" s="123" t="s">
        <v>98</v>
      </c>
      <c r="D24" s="117" t="s">
        <v>96</v>
      </c>
      <c r="E24" s="105"/>
      <c r="F24" s="110"/>
      <c r="G24" s="115"/>
      <c r="H24" s="2"/>
    </row>
    <row r="25" spans="2:9" x14ac:dyDescent="0.25">
      <c r="B25" s="107" t="s">
        <v>92</v>
      </c>
      <c r="C25" s="124">
        <f>+(16%)-(4%)</f>
        <v>0.12</v>
      </c>
      <c r="D25" s="130">
        <f>+B15*C25</f>
        <v>360000</v>
      </c>
      <c r="E25" s="105"/>
      <c r="F25" s="110"/>
      <c r="G25" s="115"/>
      <c r="H25" s="2"/>
    </row>
    <row r="26" spans="2:9" x14ac:dyDescent="0.25">
      <c r="B26" s="107" t="s">
        <v>93</v>
      </c>
      <c r="C26" s="124">
        <f>+(12%)-(4%)</f>
        <v>7.9999999999999988E-2</v>
      </c>
      <c r="D26" s="130">
        <f>+B15*C26</f>
        <v>239999.99999999997</v>
      </c>
      <c r="E26" s="105"/>
      <c r="F26" s="110"/>
      <c r="G26" s="115"/>
      <c r="H26" s="2"/>
    </row>
    <row r="27" spans="2:9" x14ac:dyDescent="0.25">
      <c r="B27" s="107" t="s">
        <v>94</v>
      </c>
      <c r="C27" s="124">
        <v>0.04</v>
      </c>
      <c r="D27" s="130">
        <f>+B15*C27</f>
        <v>120000</v>
      </c>
      <c r="E27" s="105"/>
      <c r="F27" s="110"/>
      <c r="G27" s="115"/>
      <c r="H27" s="2"/>
    </row>
    <row r="28" spans="2:9" x14ac:dyDescent="0.25">
      <c r="B28" s="107" t="s">
        <v>95</v>
      </c>
      <c r="C28" s="125">
        <v>5.2199999999999998E-3</v>
      </c>
      <c r="D28" s="130">
        <f>+B15*C28</f>
        <v>15660</v>
      </c>
      <c r="E28" s="105"/>
      <c r="F28" s="110"/>
      <c r="G28" s="115"/>
      <c r="H28" s="2"/>
    </row>
    <row r="29" spans="2:9" x14ac:dyDescent="0.25">
      <c r="B29" s="278" t="s">
        <v>87</v>
      </c>
      <c r="C29" s="279"/>
      <c r="D29" s="130">
        <f>+SUM(D25:D28)</f>
        <v>735660</v>
      </c>
      <c r="E29" s="105"/>
      <c r="F29" s="110"/>
      <c r="G29" s="115"/>
      <c r="H29" s="2"/>
    </row>
    <row r="30" spans="2:9" x14ac:dyDescent="0.25">
      <c r="B30" s="122"/>
      <c r="C30" s="110"/>
      <c r="D30" s="110"/>
      <c r="E30" s="105"/>
      <c r="F30" s="110"/>
      <c r="G30" s="115"/>
      <c r="H30" s="2"/>
    </row>
    <row r="31" spans="2:9" x14ac:dyDescent="0.25">
      <c r="B31" s="280" t="s">
        <v>8</v>
      </c>
      <c r="C31" s="274"/>
      <c r="D31" s="110"/>
      <c r="E31" s="281"/>
      <c r="F31" s="281"/>
      <c r="G31" s="115"/>
      <c r="H31" s="2"/>
    </row>
    <row r="32" spans="2:9" x14ac:dyDescent="0.25">
      <c r="B32" s="107" t="s">
        <v>14</v>
      </c>
      <c r="C32" s="130">
        <f>+D21</f>
        <v>4528418.4000000004</v>
      </c>
      <c r="D32" s="110"/>
      <c r="E32" s="110"/>
      <c r="F32" s="110"/>
      <c r="G32" s="115"/>
      <c r="H32" s="2"/>
      <c r="I32" s="10"/>
    </row>
    <row r="33" spans="2:20" x14ac:dyDescent="0.25">
      <c r="B33" s="107" t="s">
        <v>91</v>
      </c>
      <c r="C33" s="130">
        <f>+D29</f>
        <v>735660</v>
      </c>
      <c r="D33" s="110"/>
      <c r="E33" s="110"/>
      <c r="F33" s="110"/>
      <c r="G33" s="115"/>
      <c r="H33" s="2"/>
      <c r="I33" s="10"/>
    </row>
    <row r="34" spans="2:20" ht="15" customHeight="1" x14ac:dyDescent="0.25">
      <c r="B34" s="107" t="s">
        <v>15</v>
      </c>
      <c r="C34" s="108">
        <f>46*4</f>
        <v>184</v>
      </c>
      <c r="D34" s="110"/>
      <c r="E34" s="110"/>
      <c r="F34" s="110"/>
      <c r="G34" s="115"/>
      <c r="H34" s="2"/>
    </row>
    <row r="35" spans="2:20" x14ac:dyDescent="0.25">
      <c r="B35" s="107" t="s">
        <v>8</v>
      </c>
      <c r="C35" s="130">
        <f>(C32+C33)/C34</f>
        <v>28609.121739130438</v>
      </c>
      <c r="D35" s="110"/>
      <c r="E35" s="110"/>
      <c r="F35" s="110"/>
      <c r="G35" s="115"/>
      <c r="H35" s="2"/>
    </row>
    <row r="36" spans="2:20" ht="16.5" thickBot="1" x14ac:dyDescent="0.3">
      <c r="B36" s="126"/>
      <c r="C36" s="127"/>
      <c r="D36" s="127"/>
      <c r="E36" s="127"/>
      <c r="F36" s="127"/>
      <c r="G36" s="128"/>
      <c r="S36" s="5" t="s">
        <v>9</v>
      </c>
      <c r="T36" s="6">
        <v>0.58333333333333337</v>
      </c>
    </row>
    <row r="37" spans="2:20" ht="16.5" thickBot="1" x14ac:dyDescent="0.3">
      <c r="B37" s="102"/>
      <c r="C37" s="102"/>
      <c r="D37" s="102"/>
      <c r="E37" s="102"/>
      <c r="F37" s="102"/>
      <c r="G37" s="102"/>
      <c r="S37" s="5" t="s">
        <v>10</v>
      </c>
      <c r="T37" s="7" t="s">
        <v>11</v>
      </c>
    </row>
    <row r="38" spans="2:20" ht="16.5" thickBot="1" x14ac:dyDescent="0.3">
      <c r="B38" s="275" t="s">
        <v>17</v>
      </c>
      <c r="C38" s="276"/>
      <c r="D38" s="276"/>
      <c r="E38" s="276"/>
      <c r="F38" s="276"/>
      <c r="G38" s="277"/>
    </row>
    <row r="39" spans="2:20" x14ac:dyDescent="0.25">
      <c r="B39" s="103" t="s">
        <v>0</v>
      </c>
      <c r="C39" s="104" t="s">
        <v>1</v>
      </c>
      <c r="D39" s="105"/>
      <c r="E39" s="105"/>
      <c r="F39" s="105"/>
      <c r="G39" s="106"/>
    </row>
    <row r="40" spans="2:20" x14ac:dyDescent="0.25">
      <c r="B40" s="133">
        <v>1700000</v>
      </c>
      <c r="C40" s="130">
        <v>162000</v>
      </c>
      <c r="D40" s="105"/>
      <c r="E40" s="105"/>
      <c r="F40" s="105"/>
      <c r="G40" s="106"/>
    </row>
    <row r="41" spans="2:20" x14ac:dyDescent="0.25">
      <c r="B41" s="109"/>
      <c r="C41" s="110"/>
      <c r="D41" s="111"/>
      <c r="E41" s="111"/>
      <c r="F41" s="111"/>
      <c r="G41" s="112"/>
    </row>
    <row r="42" spans="2:20" x14ac:dyDescent="0.25">
      <c r="B42" s="113" t="s">
        <v>2</v>
      </c>
      <c r="C42" s="114" t="s">
        <v>3</v>
      </c>
      <c r="D42" s="114" t="s">
        <v>4</v>
      </c>
      <c r="E42" s="114" t="s">
        <v>5</v>
      </c>
      <c r="F42" s="114" t="s">
        <v>6</v>
      </c>
      <c r="G42" s="112"/>
    </row>
    <row r="43" spans="2:20" x14ac:dyDescent="0.25">
      <c r="B43" s="131">
        <f>+(B40+C40)*8.33%</f>
        <v>155104.6</v>
      </c>
      <c r="C43" s="132">
        <f>+(B40+C40)*1%</f>
        <v>18620</v>
      </c>
      <c r="D43" s="132">
        <f>+B43</f>
        <v>155104.6</v>
      </c>
      <c r="E43" s="132">
        <f>+B40*4.16%</f>
        <v>70720</v>
      </c>
      <c r="F43" s="132">
        <f>+SUM(B43:E43)</f>
        <v>399549.2</v>
      </c>
      <c r="G43" s="112"/>
    </row>
    <row r="44" spans="2:20" x14ac:dyDescent="0.25">
      <c r="B44" s="109"/>
      <c r="C44" s="110"/>
      <c r="D44" s="110"/>
      <c r="E44" s="110"/>
      <c r="F44" s="110"/>
      <c r="G44" s="115"/>
    </row>
    <row r="45" spans="2:20" x14ac:dyDescent="0.25">
      <c r="B45" s="116" t="s">
        <v>16</v>
      </c>
      <c r="C45" s="117" t="s">
        <v>7</v>
      </c>
      <c r="D45" s="117" t="s">
        <v>0</v>
      </c>
      <c r="E45" s="118"/>
      <c r="F45" s="119"/>
      <c r="G45" s="120"/>
    </row>
    <row r="46" spans="2:20" ht="31.5" x14ac:dyDescent="0.25">
      <c r="B46" s="121" t="s">
        <v>18</v>
      </c>
      <c r="C46" s="108">
        <v>1</v>
      </c>
      <c r="D46" s="108">
        <f>SUM(B40:C40)+SUM(B43:F43)</f>
        <v>2661098.4</v>
      </c>
      <c r="E46" s="105"/>
      <c r="F46" s="110"/>
      <c r="G46" s="115"/>
    </row>
    <row r="47" spans="2:20" x14ac:dyDescent="0.25">
      <c r="B47" s="122"/>
      <c r="C47" s="110"/>
      <c r="D47" s="110"/>
      <c r="E47" s="105"/>
      <c r="F47" s="110"/>
      <c r="G47" s="115"/>
    </row>
    <row r="48" spans="2:20" x14ac:dyDescent="0.25">
      <c r="B48" s="274" t="s">
        <v>91</v>
      </c>
      <c r="C48" s="274"/>
      <c r="D48" s="274"/>
      <c r="E48" s="105"/>
      <c r="F48" s="110"/>
      <c r="G48" s="115"/>
    </row>
    <row r="49" spans="2:7" ht="31.5" x14ac:dyDescent="0.25">
      <c r="B49" s="117" t="s">
        <v>97</v>
      </c>
      <c r="C49" s="123" t="s">
        <v>98</v>
      </c>
      <c r="D49" s="117" t="s">
        <v>96</v>
      </c>
      <c r="E49" s="105"/>
      <c r="F49" s="110"/>
      <c r="G49" s="115"/>
    </row>
    <row r="50" spans="2:7" x14ac:dyDescent="0.25">
      <c r="B50" s="107" t="s">
        <v>92</v>
      </c>
      <c r="C50" s="124">
        <f>+(16%)-(4%)</f>
        <v>0.12</v>
      </c>
      <c r="D50" s="130">
        <f>+B40*C50</f>
        <v>204000</v>
      </c>
      <c r="E50" s="105"/>
      <c r="F50" s="110"/>
      <c r="G50" s="115"/>
    </row>
    <row r="51" spans="2:7" x14ac:dyDescent="0.25">
      <c r="B51" s="107" t="s">
        <v>93</v>
      </c>
      <c r="C51" s="124">
        <f>+(12%)-(4%)</f>
        <v>7.9999999999999988E-2</v>
      </c>
      <c r="D51" s="130">
        <f>+B40*C51</f>
        <v>135999.99999999997</v>
      </c>
      <c r="E51" s="105"/>
      <c r="F51" s="110"/>
      <c r="G51" s="115"/>
    </row>
    <row r="52" spans="2:7" x14ac:dyDescent="0.25">
      <c r="B52" s="107" t="s">
        <v>94</v>
      </c>
      <c r="C52" s="124">
        <v>0.04</v>
      </c>
      <c r="D52" s="130">
        <f>+B40*C52</f>
        <v>68000</v>
      </c>
      <c r="E52" s="105"/>
      <c r="F52" s="110"/>
      <c r="G52" s="115"/>
    </row>
    <row r="53" spans="2:7" x14ac:dyDescent="0.25">
      <c r="B53" s="107" t="s">
        <v>95</v>
      </c>
      <c r="C53" s="125">
        <v>5.2199999999999998E-3</v>
      </c>
      <c r="D53" s="130">
        <f>+B40*C53</f>
        <v>8874</v>
      </c>
      <c r="E53" s="105"/>
      <c r="F53" s="110"/>
      <c r="G53" s="115"/>
    </row>
    <row r="54" spans="2:7" x14ac:dyDescent="0.25">
      <c r="B54" s="278" t="s">
        <v>87</v>
      </c>
      <c r="C54" s="279"/>
      <c r="D54" s="130">
        <f>+SUM(D50:D53)</f>
        <v>416874</v>
      </c>
      <c r="E54" s="105"/>
      <c r="F54" s="110"/>
      <c r="G54" s="115"/>
    </row>
    <row r="55" spans="2:7" x14ac:dyDescent="0.25">
      <c r="B55" s="109"/>
      <c r="C55" s="110"/>
      <c r="D55" s="110"/>
      <c r="E55" s="110"/>
      <c r="F55" s="110"/>
      <c r="G55" s="115"/>
    </row>
    <row r="56" spans="2:7" x14ac:dyDescent="0.25">
      <c r="B56" s="280" t="s">
        <v>8</v>
      </c>
      <c r="C56" s="274"/>
      <c r="D56" s="110"/>
      <c r="E56" s="281"/>
      <c r="F56" s="281"/>
      <c r="G56" s="115"/>
    </row>
    <row r="57" spans="2:7" x14ac:dyDescent="0.25">
      <c r="B57" s="107" t="s">
        <v>14</v>
      </c>
      <c r="C57" s="129">
        <f>+D46</f>
        <v>2661098.4</v>
      </c>
      <c r="D57" s="110"/>
      <c r="E57" s="110"/>
      <c r="F57" s="110"/>
      <c r="G57" s="115"/>
    </row>
    <row r="58" spans="2:7" x14ac:dyDescent="0.25">
      <c r="B58" s="107" t="s">
        <v>91</v>
      </c>
      <c r="C58" s="129">
        <f>+D54</f>
        <v>416874</v>
      </c>
      <c r="D58" s="110"/>
      <c r="E58" s="110"/>
      <c r="F58" s="110"/>
      <c r="G58" s="115"/>
    </row>
    <row r="59" spans="2:7" x14ac:dyDescent="0.25">
      <c r="B59" s="107" t="s">
        <v>15</v>
      </c>
      <c r="C59" s="108">
        <f>46*4</f>
        <v>184</v>
      </c>
      <c r="D59" s="110"/>
      <c r="E59" s="110"/>
      <c r="F59" s="110"/>
      <c r="G59" s="115"/>
    </row>
    <row r="60" spans="2:7" x14ac:dyDescent="0.25">
      <c r="B60" s="107" t="s">
        <v>8</v>
      </c>
      <c r="C60" s="130">
        <f>(C57+C58)/C59</f>
        <v>16728.110869565218</v>
      </c>
      <c r="D60" s="110"/>
      <c r="E60" s="110"/>
      <c r="F60" s="110"/>
      <c r="G60" s="115"/>
    </row>
    <row r="61" spans="2:7" ht="16.5" thickBot="1" x14ac:dyDescent="0.3">
      <c r="B61" s="126"/>
      <c r="C61" s="127"/>
      <c r="D61" s="127"/>
      <c r="E61" s="127"/>
      <c r="F61" s="127"/>
      <c r="G61" s="128"/>
    </row>
    <row r="62" spans="2:7" ht="16.5" thickBot="1" x14ac:dyDescent="0.3">
      <c r="B62" s="102"/>
      <c r="C62" s="102"/>
      <c r="D62" s="102"/>
      <c r="E62" s="102"/>
      <c r="F62" s="102"/>
      <c r="G62" s="102"/>
    </row>
    <row r="63" spans="2:7" ht="16.5" thickBot="1" x14ac:dyDescent="0.3">
      <c r="B63" s="275" t="s">
        <v>19</v>
      </c>
      <c r="C63" s="276"/>
      <c r="D63" s="276"/>
      <c r="E63" s="276"/>
      <c r="F63" s="276"/>
      <c r="G63" s="277"/>
    </row>
    <row r="64" spans="2:7" x14ac:dyDescent="0.25">
      <c r="B64" s="103" t="s">
        <v>0</v>
      </c>
      <c r="C64" s="104" t="s">
        <v>1</v>
      </c>
      <c r="D64" s="105"/>
      <c r="E64" s="105"/>
      <c r="F64" s="105"/>
      <c r="G64" s="106"/>
    </row>
    <row r="65" spans="2:7" x14ac:dyDescent="0.25">
      <c r="B65" s="133">
        <v>1300000</v>
      </c>
      <c r="C65" s="130">
        <v>162000</v>
      </c>
      <c r="D65" s="134"/>
      <c r="E65" s="134"/>
      <c r="F65" s="134"/>
      <c r="G65" s="106"/>
    </row>
    <row r="66" spans="2:7" x14ac:dyDescent="0.25">
      <c r="B66" s="135"/>
      <c r="C66" s="136"/>
      <c r="D66" s="137"/>
      <c r="E66" s="137"/>
      <c r="F66" s="137"/>
      <c r="G66" s="112"/>
    </row>
    <row r="67" spans="2:7" x14ac:dyDescent="0.25">
      <c r="B67" s="138" t="s">
        <v>2</v>
      </c>
      <c r="C67" s="139" t="s">
        <v>3</v>
      </c>
      <c r="D67" s="139" t="s">
        <v>4</v>
      </c>
      <c r="E67" s="139" t="s">
        <v>5</v>
      </c>
      <c r="F67" s="139" t="s">
        <v>6</v>
      </c>
      <c r="G67" s="112"/>
    </row>
    <row r="68" spans="2:7" x14ac:dyDescent="0.25">
      <c r="B68" s="131">
        <f>+(B65+C65)*8.33%</f>
        <v>121784.6</v>
      </c>
      <c r="C68" s="132">
        <f>+(B65+C65)*1%</f>
        <v>14620</v>
      </c>
      <c r="D68" s="132">
        <f>+B68</f>
        <v>121784.6</v>
      </c>
      <c r="E68" s="132">
        <f>+B65*4.16%</f>
        <v>54080</v>
      </c>
      <c r="F68" s="132">
        <f>+SUM(B68:E68)</f>
        <v>312269.2</v>
      </c>
      <c r="G68" s="112"/>
    </row>
    <row r="69" spans="2:7" x14ac:dyDescent="0.25">
      <c r="B69" s="109"/>
      <c r="C69" s="110"/>
      <c r="D69" s="110"/>
      <c r="E69" s="110"/>
      <c r="F69" s="110"/>
      <c r="G69" s="115"/>
    </row>
    <row r="70" spans="2:7" x14ac:dyDescent="0.25">
      <c r="B70" s="116" t="s">
        <v>16</v>
      </c>
      <c r="C70" s="117" t="s">
        <v>7</v>
      </c>
      <c r="D70" s="117" t="s">
        <v>0</v>
      </c>
      <c r="E70" s="118"/>
      <c r="F70" s="119"/>
      <c r="G70" s="120"/>
    </row>
    <row r="71" spans="2:7" x14ac:dyDescent="0.25">
      <c r="B71" s="121" t="s">
        <v>20</v>
      </c>
      <c r="C71" s="108">
        <v>3</v>
      </c>
      <c r="D71" s="130">
        <f>SUM(B65:C65)+SUM(B68:F68)</f>
        <v>2086538.4</v>
      </c>
      <c r="E71" s="105"/>
      <c r="F71" s="110"/>
      <c r="G71" s="115"/>
    </row>
    <row r="72" spans="2:7" x14ac:dyDescent="0.25">
      <c r="B72" s="122"/>
      <c r="C72" s="110"/>
      <c r="D72" s="110"/>
      <c r="E72" s="105"/>
      <c r="F72" s="110"/>
      <c r="G72" s="115"/>
    </row>
    <row r="73" spans="2:7" x14ac:dyDescent="0.25">
      <c r="B73" s="274" t="s">
        <v>91</v>
      </c>
      <c r="C73" s="274"/>
      <c r="D73" s="274"/>
      <c r="E73" s="105"/>
      <c r="F73" s="110"/>
      <c r="G73" s="115"/>
    </row>
    <row r="74" spans="2:7" ht="31.5" x14ac:dyDescent="0.25">
      <c r="B74" s="117" t="s">
        <v>97</v>
      </c>
      <c r="C74" s="123" t="s">
        <v>98</v>
      </c>
      <c r="D74" s="117" t="s">
        <v>96</v>
      </c>
      <c r="E74" s="105"/>
      <c r="F74" s="110"/>
      <c r="G74" s="115"/>
    </row>
    <row r="75" spans="2:7" x14ac:dyDescent="0.25">
      <c r="B75" s="107" t="s">
        <v>92</v>
      </c>
      <c r="C75" s="124">
        <f>+(16%)-(4%)</f>
        <v>0.12</v>
      </c>
      <c r="D75" s="130">
        <f>+B65*C75</f>
        <v>156000</v>
      </c>
      <c r="E75" s="105"/>
      <c r="F75" s="110"/>
      <c r="G75" s="115"/>
    </row>
    <row r="76" spans="2:7" x14ac:dyDescent="0.25">
      <c r="B76" s="107" t="s">
        <v>93</v>
      </c>
      <c r="C76" s="124">
        <f>+(12%)-(4%)</f>
        <v>7.9999999999999988E-2</v>
      </c>
      <c r="D76" s="130">
        <f>+B65*C76</f>
        <v>103999.99999999999</v>
      </c>
      <c r="E76" s="105"/>
      <c r="F76" s="110"/>
      <c r="G76" s="115"/>
    </row>
    <row r="77" spans="2:7" x14ac:dyDescent="0.25">
      <c r="B77" s="107" t="s">
        <v>94</v>
      </c>
      <c r="C77" s="124">
        <v>0.04</v>
      </c>
      <c r="D77" s="130">
        <f>+B65*C77</f>
        <v>52000</v>
      </c>
      <c r="E77" s="105"/>
      <c r="F77" s="110"/>
      <c r="G77" s="115"/>
    </row>
    <row r="78" spans="2:7" x14ac:dyDescent="0.25">
      <c r="B78" s="107" t="s">
        <v>95</v>
      </c>
      <c r="C78" s="125">
        <v>5.2199999999999998E-3</v>
      </c>
      <c r="D78" s="130">
        <f>+B65*C78</f>
        <v>6786</v>
      </c>
      <c r="E78" s="105"/>
      <c r="F78" s="110"/>
      <c r="G78" s="115"/>
    </row>
    <row r="79" spans="2:7" x14ac:dyDescent="0.25">
      <c r="B79" s="278" t="s">
        <v>87</v>
      </c>
      <c r="C79" s="279"/>
      <c r="D79" s="130">
        <f>+SUM(D75:D78)</f>
        <v>318786</v>
      </c>
      <c r="E79" s="105"/>
      <c r="F79" s="110"/>
      <c r="G79" s="115"/>
    </row>
    <row r="80" spans="2:7" x14ac:dyDescent="0.25">
      <c r="B80" s="109"/>
      <c r="C80" s="110"/>
      <c r="D80" s="110"/>
      <c r="E80" s="110"/>
      <c r="F80" s="110"/>
      <c r="G80" s="115"/>
    </row>
    <row r="81" spans="2:7" x14ac:dyDescent="0.25">
      <c r="B81" s="280" t="s">
        <v>8</v>
      </c>
      <c r="C81" s="274"/>
      <c r="D81" s="110"/>
      <c r="E81" s="281"/>
      <c r="F81" s="281"/>
      <c r="G81" s="115"/>
    </row>
    <row r="82" spans="2:7" x14ac:dyDescent="0.25">
      <c r="B82" s="107" t="s">
        <v>14</v>
      </c>
      <c r="C82" s="130">
        <f>+D71</f>
        <v>2086538.4</v>
      </c>
      <c r="D82" s="110"/>
      <c r="E82" s="110"/>
      <c r="F82" s="110"/>
      <c r="G82" s="115"/>
    </row>
    <row r="83" spans="2:7" x14ac:dyDescent="0.25">
      <c r="B83" s="107" t="s">
        <v>91</v>
      </c>
      <c r="C83" s="130">
        <f>+D79</f>
        <v>318786</v>
      </c>
      <c r="D83" s="110"/>
      <c r="E83" s="110"/>
      <c r="F83" s="110"/>
      <c r="G83" s="115"/>
    </row>
    <row r="84" spans="2:7" x14ac:dyDescent="0.25">
      <c r="B84" s="107" t="s">
        <v>15</v>
      </c>
      <c r="C84" s="108">
        <f>46*4</f>
        <v>184</v>
      </c>
      <c r="D84" s="110"/>
      <c r="E84" s="110"/>
      <c r="F84" s="110"/>
      <c r="G84" s="115"/>
    </row>
    <row r="85" spans="2:7" x14ac:dyDescent="0.25">
      <c r="B85" s="107" t="s">
        <v>8</v>
      </c>
      <c r="C85" s="130">
        <f>(C82+C83)/C84</f>
        <v>13072.415217391304</v>
      </c>
      <c r="D85" s="110"/>
      <c r="E85" s="110"/>
      <c r="F85" s="110"/>
      <c r="G85" s="115"/>
    </row>
    <row r="86" spans="2:7" ht="16.5" thickBot="1" x14ac:dyDescent="0.3">
      <c r="B86" s="126"/>
      <c r="C86" s="127"/>
      <c r="D86" s="127"/>
      <c r="E86" s="127"/>
      <c r="F86" s="127"/>
      <c r="G86" s="128"/>
    </row>
    <row r="87" spans="2:7" ht="16.5" thickBot="1" x14ac:dyDescent="0.3">
      <c r="B87" s="102"/>
      <c r="C87" s="102"/>
      <c r="D87" s="102"/>
      <c r="E87" s="102"/>
      <c r="F87" s="102"/>
      <c r="G87" s="102"/>
    </row>
    <row r="88" spans="2:7" ht="16.5" thickBot="1" x14ac:dyDescent="0.3">
      <c r="B88" s="275" t="s">
        <v>21</v>
      </c>
      <c r="C88" s="276"/>
      <c r="D88" s="276"/>
      <c r="E88" s="276"/>
      <c r="F88" s="276"/>
      <c r="G88" s="277"/>
    </row>
    <row r="89" spans="2:7" x14ac:dyDescent="0.25">
      <c r="B89" s="103" t="s">
        <v>0</v>
      </c>
      <c r="C89" s="104" t="s">
        <v>1</v>
      </c>
      <c r="D89" s="105"/>
      <c r="E89" s="105"/>
      <c r="F89" s="105"/>
      <c r="G89" s="106"/>
    </row>
    <row r="90" spans="2:7" x14ac:dyDescent="0.25">
      <c r="B90" s="133">
        <v>1400000</v>
      </c>
      <c r="C90" s="130">
        <v>162000</v>
      </c>
      <c r="D90" s="136"/>
      <c r="E90" s="136"/>
      <c r="F90" s="136"/>
      <c r="G90" s="106"/>
    </row>
    <row r="91" spans="2:7" x14ac:dyDescent="0.25">
      <c r="B91" s="135"/>
      <c r="C91" s="136"/>
      <c r="D91" s="137"/>
      <c r="E91" s="137"/>
      <c r="F91" s="137"/>
      <c r="G91" s="112"/>
    </row>
    <row r="92" spans="2:7" x14ac:dyDescent="0.25">
      <c r="B92" s="138" t="s">
        <v>2</v>
      </c>
      <c r="C92" s="139" t="s">
        <v>3</v>
      </c>
      <c r="D92" s="139" t="s">
        <v>4</v>
      </c>
      <c r="E92" s="139" t="s">
        <v>5</v>
      </c>
      <c r="F92" s="139" t="s">
        <v>6</v>
      </c>
      <c r="G92" s="112"/>
    </row>
    <row r="93" spans="2:7" x14ac:dyDescent="0.25">
      <c r="B93" s="131">
        <f>+(B90+C90)*8.33%</f>
        <v>130114.59999999999</v>
      </c>
      <c r="C93" s="132">
        <f>+(B90+C90)*1%</f>
        <v>15620</v>
      </c>
      <c r="D93" s="132">
        <f>+B93</f>
        <v>130114.59999999999</v>
      </c>
      <c r="E93" s="132">
        <f>+B90*4.16%</f>
        <v>58240</v>
      </c>
      <c r="F93" s="132">
        <f>+SUM(B93:E93)</f>
        <v>334089.19999999995</v>
      </c>
      <c r="G93" s="112"/>
    </row>
    <row r="94" spans="2:7" x14ac:dyDescent="0.25">
      <c r="B94" s="109"/>
      <c r="C94" s="110"/>
      <c r="D94" s="110"/>
      <c r="E94" s="110"/>
      <c r="F94" s="110"/>
      <c r="G94" s="115"/>
    </row>
    <row r="95" spans="2:7" x14ac:dyDescent="0.25">
      <c r="B95" s="116" t="s">
        <v>16</v>
      </c>
      <c r="C95" s="117" t="s">
        <v>7</v>
      </c>
      <c r="D95" s="117" t="s">
        <v>0</v>
      </c>
      <c r="E95" s="118"/>
      <c r="F95" s="119"/>
      <c r="G95" s="120"/>
    </row>
    <row r="96" spans="2:7" x14ac:dyDescent="0.25">
      <c r="B96" s="121" t="s">
        <v>22</v>
      </c>
      <c r="C96" s="108">
        <v>3</v>
      </c>
      <c r="D96" s="130">
        <f>SUM(B90:C90)+SUM(B93:F93)</f>
        <v>2230178.4</v>
      </c>
      <c r="E96" s="105"/>
      <c r="F96" s="110"/>
      <c r="G96" s="115"/>
    </row>
    <row r="97" spans="2:7" x14ac:dyDescent="0.25">
      <c r="B97" s="122"/>
      <c r="C97" s="110"/>
      <c r="D97" s="110"/>
      <c r="E97" s="105"/>
      <c r="F97" s="110"/>
      <c r="G97" s="115"/>
    </row>
    <row r="98" spans="2:7" x14ac:dyDescent="0.25">
      <c r="B98" s="280" t="s">
        <v>91</v>
      </c>
      <c r="C98" s="274"/>
      <c r="D98" s="274"/>
      <c r="E98" s="105"/>
      <c r="F98" s="110"/>
      <c r="G98" s="115"/>
    </row>
    <row r="99" spans="2:7" ht="31.5" x14ac:dyDescent="0.25">
      <c r="B99" s="116" t="s">
        <v>97</v>
      </c>
      <c r="C99" s="123" t="s">
        <v>98</v>
      </c>
      <c r="D99" s="117" t="s">
        <v>96</v>
      </c>
      <c r="E99" s="105"/>
      <c r="F99" s="110"/>
      <c r="G99" s="115"/>
    </row>
    <row r="100" spans="2:7" x14ac:dyDescent="0.25">
      <c r="B100" s="107" t="s">
        <v>92</v>
      </c>
      <c r="C100" s="124">
        <f>+(16%)-(4%)</f>
        <v>0.12</v>
      </c>
      <c r="D100" s="130">
        <f>+B90*C100</f>
        <v>168000</v>
      </c>
      <c r="E100" s="105"/>
      <c r="F100" s="110"/>
      <c r="G100" s="115"/>
    </row>
    <row r="101" spans="2:7" x14ac:dyDescent="0.25">
      <c r="B101" s="107" t="s">
        <v>93</v>
      </c>
      <c r="C101" s="124">
        <f>+(12%)-(4%)</f>
        <v>7.9999999999999988E-2</v>
      </c>
      <c r="D101" s="130">
        <f>+B90*C101</f>
        <v>111999.99999999999</v>
      </c>
      <c r="E101" s="105"/>
      <c r="F101" s="110"/>
      <c r="G101" s="115"/>
    </row>
    <row r="102" spans="2:7" x14ac:dyDescent="0.25">
      <c r="B102" s="107" t="s">
        <v>94</v>
      </c>
      <c r="C102" s="124">
        <v>0.04</v>
      </c>
      <c r="D102" s="130">
        <f>+B90*C102</f>
        <v>56000</v>
      </c>
      <c r="E102" s="105"/>
      <c r="F102" s="110"/>
      <c r="G102" s="115"/>
    </row>
    <row r="103" spans="2:7" x14ac:dyDescent="0.25">
      <c r="B103" s="107" t="s">
        <v>95</v>
      </c>
      <c r="C103" s="125">
        <v>5.2199999999999998E-3</v>
      </c>
      <c r="D103" s="130">
        <f>+B90*C103</f>
        <v>7308</v>
      </c>
      <c r="E103" s="105"/>
      <c r="F103" s="110"/>
      <c r="G103" s="115"/>
    </row>
    <row r="104" spans="2:7" x14ac:dyDescent="0.25">
      <c r="B104" s="278" t="s">
        <v>87</v>
      </c>
      <c r="C104" s="279"/>
      <c r="D104" s="130">
        <f>+SUM(D100:D103)</f>
        <v>343308</v>
      </c>
      <c r="E104" s="105"/>
      <c r="F104" s="110"/>
      <c r="G104" s="115"/>
    </row>
    <row r="105" spans="2:7" x14ac:dyDescent="0.25">
      <c r="B105" s="109"/>
      <c r="C105" s="110"/>
      <c r="D105" s="110"/>
      <c r="E105" s="110"/>
      <c r="F105" s="110"/>
      <c r="G105" s="115"/>
    </row>
    <row r="106" spans="2:7" x14ac:dyDescent="0.25">
      <c r="B106" s="280" t="s">
        <v>8</v>
      </c>
      <c r="C106" s="274"/>
      <c r="D106" s="110"/>
      <c r="E106" s="281"/>
      <c r="F106" s="281"/>
      <c r="G106" s="115"/>
    </row>
    <row r="107" spans="2:7" x14ac:dyDescent="0.25">
      <c r="B107" s="107" t="s">
        <v>14</v>
      </c>
      <c r="C107" s="130">
        <f>+D96</f>
        <v>2230178.4</v>
      </c>
      <c r="D107" s="110"/>
      <c r="E107" s="110"/>
      <c r="F107" s="110"/>
      <c r="G107" s="115"/>
    </row>
    <row r="108" spans="2:7" x14ac:dyDescent="0.25">
      <c r="B108" s="107" t="s">
        <v>91</v>
      </c>
      <c r="C108" s="130">
        <f>+D104</f>
        <v>343308</v>
      </c>
      <c r="D108" s="110"/>
      <c r="E108" s="110"/>
      <c r="F108" s="110"/>
      <c r="G108" s="115"/>
    </row>
    <row r="109" spans="2:7" x14ac:dyDescent="0.25">
      <c r="B109" s="107" t="s">
        <v>15</v>
      </c>
      <c r="C109" s="108">
        <f>46*4</f>
        <v>184</v>
      </c>
      <c r="D109" s="110"/>
      <c r="E109" s="110"/>
      <c r="F109" s="110"/>
      <c r="G109" s="115"/>
    </row>
    <row r="110" spans="2:7" x14ac:dyDescent="0.25">
      <c r="B110" s="107" t="s">
        <v>8</v>
      </c>
      <c r="C110" s="130">
        <f>(C107+C108)/C109</f>
        <v>13986.339130434782</v>
      </c>
      <c r="D110" s="110"/>
      <c r="E110" s="110"/>
      <c r="F110" s="110"/>
      <c r="G110" s="115"/>
    </row>
    <row r="111" spans="2:7" ht="16.5" thickBot="1" x14ac:dyDescent="0.3">
      <c r="B111" s="180"/>
      <c r="C111" s="181"/>
      <c r="D111" s="181"/>
      <c r="E111" s="181"/>
      <c r="F111" s="181"/>
      <c r="G111" s="128"/>
    </row>
    <row r="112" spans="2:7" x14ac:dyDescent="0.25">
      <c r="B112" s="102"/>
      <c r="C112" s="102"/>
      <c r="D112" s="102"/>
      <c r="E112" s="102"/>
      <c r="F112" s="102"/>
      <c r="G112" s="102"/>
    </row>
    <row r="113" spans="2:7" x14ac:dyDescent="0.25">
      <c r="B113" s="102"/>
      <c r="C113" s="102"/>
      <c r="D113" s="102"/>
      <c r="E113" s="102"/>
      <c r="F113" s="102"/>
      <c r="G113" s="102"/>
    </row>
    <row r="114" spans="2:7" x14ac:dyDescent="0.25">
      <c r="B114" s="102"/>
      <c r="C114" s="102"/>
      <c r="D114" s="102"/>
      <c r="E114" s="102"/>
      <c r="F114" s="102"/>
      <c r="G114" s="102"/>
    </row>
    <row r="115" spans="2:7" x14ac:dyDescent="0.25">
      <c r="B115" s="102"/>
      <c r="C115" s="102"/>
      <c r="D115" s="102"/>
      <c r="E115" s="102"/>
      <c r="F115" s="102"/>
      <c r="G115" s="102"/>
    </row>
    <row r="116" spans="2:7" x14ac:dyDescent="0.25">
      <c r="B116" s="102"/>
      <c r="C116" s="102"/>
      <c r="D116" s="102"/>
      <c r="E116" s="102"/>
      <c r="F116" s="102"/>
      <c r="G116" s="102"/>
    </row>
    <row r="117" spans="2:7" x14ac:dyDescent="0.25">
      <c r="B117" s="102"/>
      <c r="C117" s="102"/>
      <c r="D117" s="102"/>
      <c r="E117" s="102"/>
      <c r="F117" s="102"/>
      <c r="G117" s="102"/>
    </row>
    <row r="118" spans="2:7" x14ac:dyDescent="0.25">
      <c r="B118" s="102"/>
      <c r="C118" s="102"/>
      <c r="D118" s="102"/>
      <c r="E118" s="102"/>
      <c r="F118" s="102"/>
      <c r="G118" s="102"/>
    </row>
    <row r="119" spans="2:7" x14ac:dyDescent="0.25">
      <c r="B119" s="102"/>
      <c r="C119" s="102"/>
      <c r="D119" s="102"/>
      <c r="E119" s="102"/>
      <c r="F119" s="102"/>
      <c r="G119" s="102"/>
    </row>
    <row r="120" spans="2:7" x14ac:dyDescent="0.25">
      <c r="B120" s="102"/>
      <c r="C120" s="102"/>
      <c r="D120" s="102"/>
      <c r="E120" s="102"/>
      <c r="F120" s="102"/>
      <c r="G120" s="102"/>
    </row>
    <row r="121" spans="2:7" x14ac:dyDescent="0.25">
      <c r="B121" s="102"/>
      <c r="C121" s="102"/>
      <c r="D121" s="102"/>
      <c r="E121" s="102"/>
      <c r="F121" s="102"/>
      <c r="G121" s="102"/>
    </row>
    <row r="122" spans="2:7" x14ac:dyDescent="0.25">
      <c r="B122" s="102"/>
      <c r="C122" s="102"/>
      <c r="D122" s="102"/>
      <c r="E122" s="102"/>
      <c r="F122" s="102"/>
      <c r="G122" s="102"/>
    </row>
    <row r="123" spans="2:7" x14ac:dyDescent="0.25">
      <c r="B123" s="102"/>
      <c r="C123" s="102"/>
      <c r="D123" s="102"/>
      <c r="E123" s="102"/>
      <c r="F123" s="102"/>
      <c r="G123" s="102"/>
    </row>
    <row r="124" spans="2:7" x14ac:dyDescent="0.25">
      <c r="B124" s="102"/>
      <c r="C124" s="102"/>
      <c r="D124" s="102"/>
      <c r="E124" s="102"/>
      <c r="F124" s="102"/>
      <c r="G124" s="102"/>
    </row>
    <row r="125" spans="2:7" x14ac:dyDescent="0.25">
      <c r="B125" s="102"/>
      <c r="C125" s="102"/>
      <c r="D125" s="102"/>
      <c r="E125" s="102"/>
      <c r="F125" s="102"/>
      <c r="G125" s="102"/>
    </row>
    <row r="126" spans="2:7" x14ac:dyDescent="0.25">
      <c r="B126" s="102"/>
      <c r="C126" s="102"/>
      <c r="D126" s="102"/>
      <c r="E126" s="102"/>
      <c r="F126" s="102"/>
      <c r="G126" s="102"/>
    </row>
    <row r="127" spans="2:7" x14ac:dyDescent="0.25">
      <c r="B127" s="102"/>
      <c r="C127" s="102"/>
      <c r="D127" s="102"/>
      <c r="E127" s="102"/>
      <c r="F127" s="102"/>
      <c r="G127" s="102"/>
    </row>
    <row r="128" spans="2:7" x14ac:dyDescent="0.25">
      <c r="B128" s="102"/>
      <c r="C128" s="102"/>
      <c r="D128" s="102"/>
      <c r="E128" s="102"/>
      <c r="F128" s="102"/>
      <c r="G128" s="102"/>
    </row>
    <row r="129" spans="2:7" x14ac:dyDescent="0.25">
      <c r="B129" s="102"/>
      <c r="C129" s="102"/>
      <c r="D129" s="102"/>
      <c r="E129" s="102"/>
      <c r="F129" s="102"/>
      <c r="G129" s="102"/>
    </row>
    <row r="130" spans="2:7" x14ac:dyDescent="0.25">
      <c r="B130" s="102"/>
      <c r="C130" s="102"/>
      <c r="D130" s="102"/>
      <c r="E130" s="102"/>
      <c r="F130" s="102"/>
      <c r="G130" s="102"/>
    </row>
    <row r="131" spans="2:7" x14ac:dyDescent="0.25">
      <c r="B131" s="102"/>
      <c r="C131" s="102"/>
      <c r="D131" s="102"/>
      <c r="E131" s="102"/>
      <c r="F131" s="102"/>
      <c r="G131" s="102"/>
    </row>
    <row r="132" spans="2:7" x14ac:dyDescent="0.25">
      <c r="B132" s="102"/>
      <c r="C132" s="102"/>
      <c r="D132" s="102"/>
      <c r="E132" s="102"/>
      <c r="F132" s="102"/>
      <c r="G132" s="102"/>
    </row>
  </sheetData>
  <mergeCells count="20">
    <mergeCell ref="B88:G88"/>
    <mergeCell ref="B106:C106"/>
    <mergeCell ref="E106:F106"/>
    <mergeCell ref="B98:D98"/>
    <mergeCell ref="B104:C104"/>
    <mergeCell ref="B81:C81"/>
    <mergeCell ref="E81:F81"/>
    <mergeCell ref="B54:C54"/>
    <mergeCell ref="B56:C56"/>
    <mergeCell ref="E56:F56"/>
    <mergeCell ref="B63:G63"/>
    <mergeCell ref="B73:D73"/>
    <mergeCell ref="B79:C79"/>
    <mergeCell ref="B48:D48"/>
    <mergeCell ref="B13:G13"/>
    <mergeCell ref="B23:D23"/>
    <mergeCell ref="B29:C29"/>
    <mergeCell ref="B31:C31"/>
    <mergeCell ref="E31:F31"/>
    <mergeCell ref="B38:G3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2A761-3B9A-48B1-B018-16E1F5B1D784}">
  <sheetPr codeName="Hoja4"/>
  <dimension ref="A1:AN37"/>
  <sheetViews>
    <sheetView showGridLines="0" workbookViewId="0"/>
  </sheetViews>
  <sheetFormatPr baseColWidth="10" defaultRowHeight="16.5" x14ac:dyDescent="0.3"/>
  <cols>
    <col min="1" max="1" width="11.42578125" style="12"/>
    <col min="2" max="2" width="21.28515625" style="140" customWidth="1"/>
    <col min="3" max="3" width="13.7109375" style="140" customWidth="1"/>
    <col min="4" max="4" width="14" style="140" customWidth="1"/>
    <col min="5" max="5" width="12.85546875" style="140" customWidth="1"/>
    <col min="6" max="6" width="11.5703125" style="140" customWidth="1"/>
    <col min="7" max="7" width="12.5703125" style="140" customWidth="1"/>
    <col min="8" max="8" width="14.85546875" style="140" customWidth="1"/>
    <col min="9" max="9" width="14.28515625" style="140" customWidth="1"/>
    <col min="10" max="10" width="11.42578125" style="140"/>
    <col min="11" max="16384" width="11.42578125" style="12"/>
  </cols>
  <sheetData>
    <row r="1" spans="1:40" x14ac:dyDescent="0.3">
      <c r="A1" s="169"/>
      <c r="B1" s="182"/>
      <c r="C1" s="182"/>
      <c r="D1" s="182"/>
      <c r="E1" s="182"/>
      <c r="F1" s="182"/>
      <c r="G1" s="182"/>
      <c r="H1" s="182"/>
      <c r="I1" s="183"/>
    </row>
    <row r="2" spans="1:40" x14ac:dyDescent="0.3">
      <c r="A2" s="172"/>
      <c r="I2" s="184"/>
    </row>
    <row r="3" spans="1:40" x14ac:dyDescent="0.3">
      <c r="A3" s="172"/>
      <c r="I3" s="184"/>
    </row>
    <row r="4" spans="1:40" x14ac:dyDescent="0.3">
      <c r="A4" s="172"/>
      <c r="I4" s="184"/>
    </row>
    <row r="5" spans="1:40" x14ac:dyDescent="0.3">
      <c r="A5" s="172"/>
      <c r="I5" s="184"/>
    </row>
    <row r="6" spans="1:40" x14ac:dyDescent="0.3">
      <c r="A6" s="172"/>
      <c r="I6" s="184"/>
    </row>
    <row r="7" spans="1:40" s="46" customFormat="1" ht="17.25" thickBot="1" x14ac:dyDescent="0.35">
      <c r="A7" s="174"/>
      <c r="B7" s="141"/>
      <c r="C7" s="141"/>
      <c r="D7" s="141"/>
      <c r="E7" s="141"/>
      <c r="F7" s="141"/>
      <c r="G7" s="141"/>
      <c r="H7" s="141"/>
      <c r="I7" s="185"/>
      <c r="J7" s="140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</row>
    <row r="8" spans="1:40" ht="17.25" thickBot="1" x14ac:dyDescent="0.35"/>
    <row r="9" spans="1:40" ht="63.75" customHeight="1" thickBot="1" x14ac:dyDescent="0.35">
      <c r="B9" s="282" t="s">
        <v>189</v>
      </c>
      <c r="C9" s="283"/>
      <c r="D9" s="283"/>
      <c r="E9" s="283"/>
      <c r="F9" s="283"/>
      <c r="G9" s="283"/>
      <c r="H9" s="283"/>
      <c r="I9" s="186"/>
    </row>
    <row r="10" spans="1:40" ht="17.25" thickBot="1" x14ac:dyDescent="0.35"/>
    <row r="11" spans="1:40" x14ac:dyDescent="0.3">
      <c r="B11" s="284" t="s">
        <v>253</v>
      </c>
      <c r="C11" s="285"/>
      <c r="D11" s="285"/>
      <c r="E11" s="285"/>
      <c r="F11" s="285"/>
      <c r="G11" s="286"/>
      <c r="H11" s="142"/>
      <c r="I11" s="142"/>
    </row>
    <row r="12" spans="1:40" ht="31.5" x14ac:dyDescent="0.3">
      <c r="B12" s="113" t="s">
        <v>24</v>
      </c>
      <c r="C12" s="114" t="s">
        <v>60</v>
      </c>
      <c r="D12" s="114" t="s">
        <v>65</v>
      </c>
      <c r="E12" s="139" t="s">
        <v>61</v>
      </c>
      <c r="F12" s="139" t="s">
        <v>70</v>
      </c>
      <c r="G12" s="187" t="s">
        <v>86</v>
      </c>
      <c r="H12" s="143"/>
      <c r="I12" s="143"/>
    </row>
    <row r="13" spans="1:40" ht="17.25" thickBot="1" x14ac:dyDescent="0.35">
      <c r="B13" s="188" t="s">
        <v>59</v>
      </c>
      <c r="C13" s="189">
        <v>5215570</v>
      </c>
      <c r="D13" s="190">
        <v>26</v>
      </c>
      <c r="E13" s="189">
        <f>+C13/D13</f>
        <v>200598.84615384616</v>
      </c>
      <c r="F13" s="191">
        <f>+C13/619</f>
        <v>8425.799676898223</v>
      </c>
      <c r="G13" s="192">
        <f>+F13/1000</f>
        <v>8.4257996768982224</v>
      </c>
      <c r="H13" s="145"/>
      <c r="I13" s="146"/>
    </row>
    <row r="14" spans="1:40" ht="17.25" thickBot="1" x14ac:dyDescent="0.35"/>
    <row r="15" spans="1:40" x14ac:dyDescent="0.3">
      <c r="B15" s="284" t="s">
        <v>39</v>
      </c>
      <c r="C15" s="285"/>
      <c r="D15" s="285"/>
      <c r="E15" s="285"/>
      <c r="F15" s="285"/>
      <c r="G15" s="285"/>
      <c r="H15" s="285"/>
      <c r="I15" s="286"/>
    </row>
    <row r="16" spans="1:40" ht="31.5" x14ac:dyDescent="0.3">
      <c r="B16" s="113" t="s">
        <v>24</v>
      </c>
      <c r="C16" s="114" t="s">
        <v>60</v>
      </c>
      <c r="D16" s="114" t="s">
        <v>65</v>
      </c>
      <c r="E16" s="139" t="s">
        <v>61</v>
      </c>
      <c r="F16" s="139" t="s">
        <v>64</v>
      </c>
      <c r="G16" s="139" t="s">
        <v>67</v>
      </c>
      <c r="H16" s="114" t="s">
        <v>62</v>
      </c>
      <c r="I16" s="193" t="s">
        <v>63</v>
      </c>
    </row>
    <row r="17" spans="2:9" ht="17.25" thickBot="1" x14ac:dyDescent="0.35">
      <c r="B17" s="188" t="s">
        <v>59</v>
      </c>
      <c r="C17" s="189">
        <v>3125444</v>
      </c>
      <c r="D17" s="190">
        <v>26</v>
      </c>
      <c r="E17" s="189">
        <f>+C17/D17</f>
        <v>120209.38461538461</v>
      </c>
      <c r="F17" s="194">
        <f>+E17/12</f>
        <v>10017.448717948717</v>
      </c>
      <c r="G17" s="194">
        <f>+F17*90%</f>
        <v>9015.703846153845</v>
      </c>
      <c r="H17" s="195">
        <f>+F17*5%</f>
        <v>500.87243589743588</v>
      </c>
      <c r="I17" s="196">
        <f>+F17*5%</f>
        <v>500.87243589743588</v>
      </c>
    </row>
    <row r="18" spans="2:9" ht="17.25" thickBot="1" x14ac:dyDescent="0.35"/>
    <row r="19" spans="2:9" x14ac:dyDescent="0.3">
      <c r="B19" s="284" t="s">
        <v>40</v>
      </c>
      <c r="C19" s="285"/>
      <c r="D19" s="285"/>
      <c r="E19" s="285"/>
      <c r="F19" s="285"/>
      <c r="G19" s="286"/>
      <c r="H19" s="142"/>
      <c r="I19" s="142"/>
    </row>
    <row r="20" spans="2:9" ht="31.5" x14ac:dyDescent="0.3">
      <c r="B20" s="113" t="s">
        <v>24</v>
      </c>
      <c r="C20" s="114" t="s">
        <v>60</v>
      </c>
      <c r="D20" s="114" t="s">
        <v>65</v>
      </c>
      <c r="E20" s="139" t="s">
        <v>61</v>
      </c>
      <c r="F20" s="139" t="s">
        <v>64</v>
      </c>
      <c r="G20" s="187" t="s">
        <v>66</v>
      </c>
      <c r="H20" s="143"/>
      <c r="I20" s="143"/>
    </row>
    <row r="21" spans="2:9" ht="17.25" thickBot="1" x14ac:dyDescent="0.35">
      <c r="B21" s="188" t="s">
        <v>59</v>
      </c>
      <c r="C21" s="189">
        <v>17530510</v>
      </c>
      <c r="D21" s="190">
        <v>26</v>
      </c>
      <c r="E21" s="189">
        <f>+C21/D21</f>
        <v>674250.38461538462</v>
      </c>
      <c r="F21" s="194">
        <f>+E21/12</f>
        <v>56187.532051282054</v>
      </c>
      <c r="G21" s="197">
        <f>+F21*100%</f>
        <v>56187.532051282054</v>
      </c>
      <c r="H21" s="148"/>
      <c r="I21" s="148"/>
    </row>
    <row r="22" spans="2:9" ht="17.25" thickBot="1" x14ac:dyDescent="0.35"/>
    <row r="23" spans="2:9" x14ac:dyDescent="0.3">
      <c r="B23" s="284" t="s">
        <v>175</v>
      </c>
      <c r="C23" s="285"/>
      <c r="D23" s="285"/>
      <c r="E23" s="285"/>
      <c r="F23" s="285"/>
      <c r="G23" s="285"/>
      <c r="H23" s="285"/>
      <c r="I23" s="286"/>
    </row>
    <row r="24" spans="2:9" ht="31.5" x14ac:dyDescent="0.3">
      <c r="B24" s="113" t="s">
        <v>24</v>
      </c>
      <c r="C24" s="114" t="s">
        <v>60</v>
      </c>
      <c r="D24" s="114" t="s">
        <v>65</v>
      </c>
      <c r="E24" s="139" t="s">
        <v>61</v>
      </c>
      <c r="F24" s="139" t="s">
        <v>64</v>
      </c>
      <c r="G24" s="139" t="s">
        <v>177</v>
      </c>
      <c r="H24" s="114" t="s">
        <v>179</v>
      </c>
      <c r="I24" s="193" t="s">
        <v>180</v>
      </c>
    </row>
    <row r="25" spans="2:9" ht="17.25" thickBot="1" x14ac:dyDescent="0.35">
      <c r="B25" s="188" t="s">
        <v>176</v>
      </c>
      <c r="C25" s="189">
        <v>2500000</v>
      </c>
      <c r="D25" s="190">
        <v>26</v>
      </c>
      <c r="E25" s="189">
        <f>+C25/D25</f>
        <v>96153.846153846156</v>
      </c>
      <c r="F25" s="189">
        <f>+E25/12</f>
        <v>8012.8205128205127</v>
      </c>
      <c r="G25" s="194">
        <f>E25*80%</f>
        <v>76923.076923076922</v>
      </c>
      <c r="H25" s="195">
        <f>E25*10%</f>
        <v>9615.3846153846152</v>
      </c>
      <c r="I25" s="196">
        <f>E25*10%</f>
        <v>9615.3846153846152</v>
      </c>
    </row>
    <row r="26" spans="2:9" ht="17.25" thickBot="1" x14ac:dyDescent="0.35"/>
    <row r="27" spans="2:9" x14ac:dyDescent="0.3">
      <c r="B27" s="284" t="s">
        <v>178</v>
      </c>
      <c r="C27" s="285"/>
      <c r="D27" s="285"/>
      <c r="E27" s="286"/>
      <c r="F27" s="142"/>
      <c r="G27" s="142"/>
      <c r="H27" s="142"/>
      <c r="I27" s="142"/>
    </row>
    <row r="28" spans="2:9" ht="47.25" x14ac:dyDescent="0.3">
      <c r="B28" s="113" t="s">
        <v>24</v>
      </c>
      <c r="C28" s="114" t="s">
        <v>60</v>
      </c>
      <c r="D28" s="139" t="s">
        <v>177</v>
      </c>
      <c r="E28" s="193" t="s">
        <v>184</v>
      </c>
      <c r="F28" s="144"/>
      <c r="G28" s="143"/>
      <c r="H28" s="143"/>
    </row>
    <row r="29" spans="2:9" ht="17.25" thickBot="1" x14ac:dyDescent="0.35">
      <c r="B29" s="188" t="s">
        <v>254</v>
      </c>
      <c r="C29" s="189">
        <v>8500000</v>
      </c>
      <c r="D29" s="194">
        <f>C29*80%</f>
        <v>6800000</v>
      </c>
      <c r="E29" s="198">
        <f>C29*20%</f>
        <v>1700000</v>
      </c>
      <c r="F29" s="147"/>
      <c r="G29" s="148"/>
      <c r="H29" s="148"/>
    </row>
    <row r="30" spans="2:9" ht="17.25" thickBot="1" x14ac:dyDescent="0.35"/>
    <row r="31" spans="2:9" x14ac:dyDescent="0.3">
      <c r="B31" s="284" t="s">
        <v>255</v>
      </c>
      <c r="C31" s="285"/>
      <c r="D31" s="285"/>
      <c r="E31" s="286"/>
      <c r="F31" s="287"/>
      <c r="G31" s="287"/>
      <c r="H31" s="287"/>
      <c r="I31" s="287"/>
    </row>
    <row r="32" spans="2:9" ht="47.25" x14ac:dyDescent="0.3">
      <c r="B32" s="113" t="s">
        <v>24</v>
      </c>
      <c r="C32" s="114" t="s">
        <v>60</v>
      </c>
      <c r="D32" s="139" t="s">
        <v>182</v>
      </c>
      <c r="E32" s="193" t="s">
        <v>183</v>
      </c>
      <c r="F32" s="144"/>
      <c r="G32" s="143"/>
      <c r="H32" s="143"/>
    </row>
    <row r="33" spans="2:8" ht="17.25" thickBot="1" x14ac:dyDescent="0.35">
      <c r="B33" s="188" t="s">
        <v>181</v>
      </c>
      <c r="C33" s="189">
        <v>25000</v>
      </c>
      <c r="D33" s="194">
        <f>C33*40%</f>
        <v>10000</v>
      </c>
      <c r="E33" s="198">
        <f>C33*60%</f>
        <v>15000</v>
      </c>
      <c r="F33" s="147"/>
      <c r="G33" s="148"/>
      <c r="H33" s="148"/>
    </row>
    <row r="34" spans="2:8" ht="17.25" thickBot="1" x14ac:dyDescent="0.35"/>
    <row r="35" spans="2:8" x14ac:dyDescent="0.3">
      <c r="B35" s="284" t="s">
        <v>162</v>
      </c>
      <c r="C35" s="285"/>
      <c r="D35" s="286"/>
    </row>
    <row r="36" spans="2:8" ht="31.5" x14ac:dyDescent="0.3">
      <c r="B36" s="113" t="s">
        <v>24</v>
      </c>
      <c r="C36" s="114" t="s">
        <v>163</v>
      </c>
      <c r="D36" s="187" t="s">
        <v>164</v>
      </c>
    </row>
    <row r="37" spans="2:8" ht="17.25" thickBot="1" x14ac:dyDescent="0.35">
      <c r="B37" s="188" t="s">
        <v>90</v>
      </c>
      <c r="C37" s="189">
        <v>15200</v>
      </c>
      <c r="D37" s="197">
        <f>+C37*100%</f>
        <v>15200</v>
      </c>
    </row>
  </sheetData>
  <mergeCells count="9">
    <mergeCell ref="B9:H9"/>
    <mergeCell ref="B11:G11"/>
    <mergeCell ref="B35:D35"/>
    <mergeCell ref="B23:I23"/>
    <mergeCell ref="F31:I31"/>
    <mergeCell ref="B31:E31"/>
    <mergeCell ref="B27:E27"/>
    <mergeCell ref="B15:I15"/>
    <mergeCell ref="B19:G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008AB-ABAE-43DE-9356-6876B44DE7A4}">
  <sheetPr codeName="Hoja10"/>
  <dimension ref="A1:AN244"/>
  <sheetViews>
    <sheetView showGridLines="0" zoomScale="80" zoomScaleNormal="80" workbookViewId="0">
      <selection activeCell="R27" sqref="R27"/>
    </sheetView>
  </sheetViews>
  <sheetFormatPr baseColWidth="10" defaultColWidth="11.42578125" defaultRowHeight="16.5" x14ac:dyDescent="0.3"/>
  <cols>
    <col min="1" max="1" width="11.42578125" style="12"/>
    <col min="2" max="3" width="18.5703125" style="12" customWidth="1"/>
    <col min="4" max="4" width="12.85546875" style="12" customWidth="1"/>
    <col min="5" max="5" width="15.7109375" style="12" customWidth="1"/>
    <col min="6" max="6" width="26.28515625" style="12" customWidth="1"/>
    <col min="7" max="8" width="11.42578125" style="12" customWidth="1"/>
    <col min="9" max="9" width="18" style="12" customWidth="1"/>
    <col min="10" max="10" width="11.42578125" style="12" customWidth="1"/>
    <col min="11" max="11" width="10.85546875" style="19" customWidth="1"/>
    <col min="12" max="12" width="14.28515625" style="19" customWidth="1"/>
    <col min="13" max="16384" width="11.42578125" style="12"/>
  </cols>
  <sheetData>
    <row r="1" spans="1:40" x14ac:dyDescent="0.3">
      <c r="B1" s="169"/>
      <c r="C1" s="170"/>
      <c r="D1" s="170"/>
      <c r="E1" s="170"/>
      <c r="F1" s="170"/>
      <c r="G1" s="170"/>
      <c r="H1" s="170"/>
      <c r="I1" s="170"/>
      <c r="J1" s="170"/>
      <c r="K1" s="199"/>
    </row>
    <row r="2" spans="1:40" x14ac:dyDescent="0.3">
      <c r="B2" s="172"/>
      <c r="K2" s="200"/>
    </row>
    <row r="3" spans="1:40" x14ac:dyDescent="0.3">
      <c r="B3" s="172"/>
      <c r="K3" s="200"/>
    </row>
    <row r="4" spans="1:40" x14ac:dyDescent="0.3">
      <c r="B4" s="172"/>
      <c r="K4" s="200"/>
    </row>
    <row r="5" spans="1:40" x14ac:dyDescent="0.3">
      <c r="B5" s="172"/>
      <c r="K5" s="200"/>
    </row>
    <row r="6" spans="1:40" x14ac:dyDescent="0.3">
      <c r="B6" s="172"/>
      <c r="K6" s="200"/>
    </row>
    <row r="7" spans="1:40" s="46" customFormat="1" ht="17.25" thickBot="1" x14ac:dyDescent="0.35">
      <c r="A7" s="12"/>
      <c r="B7" s="174"/>
      <c r="K7" s="201"/>
      <c r="L7" s="19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</row>
    <row r="8" spans="1:40" x14ac:dyDescent="0.3">
      <c r="B8" s="288" t="s">
        <v>152</v>
      </c>
      <c r="C8" s="289"/>
      <c r="D8" s="289"/>
      <c r="E8" s="289"/>
      <c r="F8" s="289"/>
      <c r="G8" s="289"/>
      <c r="H8" s="289"/>
      <c r="I8" s="289"/>
      <c r="J8" s="289"/>
      <c r="K8" s="290"/>
    </row>
    <row r="9" spans="1:40" ht="17.25" thickBot="1" x14ac:dyDescent="0.35">
      <c r="B9" s="291"/>
      <c r="C9" s="292"/>
      <c r="D9" s="292"/>
      <c r="E9" s="292"/>
      <c r="F9" s="292"/>
      <c r="G9" s="292"/>
      <c r="H9" s="292"/>
      <c r="I9" s="292"/>
      <c r="J9" s="292"/>
      <c r="K9" s="293"/>
    </row>
    <row r="10" spans="1:40" ht="17.25" thickBot="1" x14ac:dyDescent="0.35"/>
    <row r="11" spans="1:40" ht="43.5" customHeight="1" x14ac:dyDescent="0.3">
      <c r="B11" s="202" t="s">
        <v>77</v>
      </c>
      <c r="C11" s="203" t="s">
        <v>41</v>
      </c>
      <c r="D11" s="203" t="s">
        <v>42</v>
      </c>
      <c r="E11" s="204" t="s">
        <v>68</v>
      </c>
      <c r="F11" s="204" t="s">
        <v>185</v>
      </c>
      <c r="G11" s="203" t="s">
        <v>186</v>
      </c>
      <c r="H11" s="203" t="s">
        <v>187</v>
      </c>
      <c r="I11" s="205" t="s">
        <v>257</v>
      </c>
      <c r="J11" s="203" t="s">
        <v>188</v>
      </c>
      <c r="K11" s="206" t="s">
        <v>256</v>
      </c>
      <c r="L11" s="55"/>
    </row>
    <row r="12" spans="1:40" ht="15.75" customHeight="1" x14ac:dyDescent="0.3">
      <c r="B12" s="297" t="s">
        <v>157</v>
      </c>
      <c r="C12" s="294" t="s">
        <v>143</v>
      </c>
      <c r="D12" s="300">
        <v>1</v>
      </c>
      <c r="E12" s="303" t="s">
        <v>144</v>
      </c>
      <c r="F12" s="53" t="s">
        <v>69</v>
      </c>
      <c r="G12" s="27">
        <f>+D12*I12</f>
        <v>10</v>
      </c>
      <c r="H12" s="27" t="s">
        <v>71</v>
      </c>
      <c r="I12" s="27">
        <v>10</v>
      </c>
      <c r="J12" s="27">
        <v>15</v>
      </c>
      <c r="K12" s="207" t="s">
        <v>76</v>
      </c>
      <c r="L12" s="56"/>
    </row>
    <row r="13" spans="1:40" ht="15.75" customHeight="1" x14ac:dyDescent="0.3">
      <c r="B13" s="298"/>
      <c r="C13" s="295"/>
      <c r="D13" s="301"/>
      <c r="E13" s="304"/>
      <c r="F13" s="53" t="s">
        <v>72</v>
      </c>
      <c r="G13" s="27">
        <f>+G12*I13</f>
        <v>5</v>
      </c>
      <c r="H13" s="27" t="s">
        <v>73</v>
      </c>
      <c r="I13" s="27">
        <v>0.5</v>
      </c>
      <c r="J13" s="27">
        <v>0</v>
      </c>
      <c r="K13" s="207" t="s">
        <v>76</v>
      </c>
      <c r="L13" s="56"/>
    </row>
    <row r="14" spans="1:40" ht="15.75" customHeight="1" x14ac:dyDescent="0.3">
      <c r="B14" s="298"/>
      <c r="C14" s="295"/>
      <c r="D14" s="301"/>
      <c r="E14" s="304"/>
      <c r="F14" s="53" t="s">
        <v>74</v>
      </c>
      <c r="G14" s="27">
        <f>+G12*I14</f>
        <v>5</v>
      </c>
      <c r="H14" s="27" t="s">
        <v>73</v>
      </c>
      <c r="I14" s="27">
        <v>0.5</v>
      </c>
      <c r="J14" s="27">
        <v>0</v>
      </c>
      <c r="K14" s="207" t="s">
        <v>76</v>
      </c>
      <c r="L14" s="56"/>
    </row>
    <row r="15" spans="1:40" ht="15.75" customHeight="1" x14ac:dyDescent="0.3">
      <c r="B15" s="298"/>
      <c r="C15" s="295"/>
      <c r="D15" s="301"/>
      <c r="E15" s="305"/>
      <c r="F15" s="53" t="s">
        <v>75</v>
      </c>
      <c r="G15" s="27">
        <f>+G12*I15</f>
        <v>10</v>
      </c>
      <c r="H15" s="27" t="s">
        <v>73</v>
      </c>
      <c r="I15" s="27">
        <v>1</v>
      </c>
      <c r="J15" s="27">
        <v>0</v>
      </c>
      <c r="K15" s="207" t="s">
        <v>76</v>
      </c>
      <c r="L15" s="56"/>
    </row>
    <row r="16" spans="1:40" ht="15.75" customHeight="1" x14ac:dyDescent="0.3">
      <c r="B16" s="298"/>
      <c r="C16" s="295"/>
      <c r="D16" s="301"/>
      <c r="E16" s="303" t="s">
        <v>77</v>
      </c>
      <c r="F16" s="53" t="s">
        <v>145</v>
      </c>
      <c r="G16" s="27">
        <f>+(D12*1000)*I16</f>
        <v>35</v>
      </c>
      <c r="H16" s="27" t="s">
        <v>73</v>
      </c>
      <c r="I16" s="59">
        <v>3.5000000000000003E-2</v>
      </c>
      <c r="J16" s="27">
        <v>10</v>
      </c>
      <c r="K16" s="208" t="s">
        <v>76</v>
      </c>
      <c r="L16" s="57"/>
    </row>
    <row r="17" spans="2:12" ht="15.75" customHeight="1" x14ac:dyDescent="0.3">
      <c r="B17" s="298"/>
      <c r="C17" s="295"/>
      <c r="D17" s="301"/>
      <c r="E17" s="305"/>
      <c r="F17" s="53" t="s">
        <v>79</v>
      </c>
      <c r="G17" s="27">
        <f>+G12*I17</f>
        <v>0.89999999999999991</v>
      </c>
      <c r="H17" s="27" t="s">
        <v>28</v>
      </c>
      <c r="I17" s="58">
        <v>0.09</v>
      </c>
      <c r="J17" s="27">
        <v>20</v>
      </c>
      <c r="K17" s="208" t="s">
        <v>76</v>
      </c>
      <c r="L17" s="57"/>
    </row>
    <row r="18" spans="2:12" ht="15.75" customHeight="1" x14ac:dyDescent="0.3">
      <c r="B18" s="298"/>
      <c r="C18" s="295"/>
      <c r="D18" s="301"/>
      <c r="E18" s="303" t="s">
        <v>80</v>
      </c>
      <c r="F18" s="53" t="s">
        <v>81</v>
      </c>
      <c r="G18" s="27">
        <f>+G12*I18</f>
        <v>50</v>
      </c>
      <c r="H18" s="27" t="s">
        <v>73</v>
      </c>
      <c r="I18" s="27">
        <v>5</v>
      </c>
      <c r="J18" s="27">
        <v>40</v>
      </c>
      <c r="K18" s="207" t="s">
        <v>76</v>
      </c>
      <c r="L18" s="56"/>
    </row>
    <row r="19" spans="2:12" ht="15.75" customHeight="1" x14ac:dyDescent="0.3">
      <c r="B19" s="298"/>
      <c r="C19" s="295"/>
      <c r="D19" s="301"/>
      <c r="E19" s="305"/>
      <c r="F19" s="53" t="s">
        <v>82</v>
      </c>
      <c r="G19" s="27">
        <f>+G12*I19</f>
        <v>30</v>
      </c>
      <c r="H19" s="27" t="s">
        <v>71</v>
      </c>
      <c r="I19" s="27">
        <v>3</v>
      </c>
      <c r="J19" s="27">
        <v>10</v>
      </c>
      <c r="K19" s="207" t="s">
        <v>76</v>
      </c>
      <c r="L19" s="56"/>
    </row>
    <row r="20" spans="2:12" ht="15.75" customHeight="1" x14ac:dyDescent="0.3">
      <c r="B20" s="298"/>
      <c r="C20" s="295"/>
      <c r="D20" s="301"/>
      <c r="E20" s="303" t="s">
        <v>146</v>
      </c>
      <c r="F20" s="53" t="s">
        <v>83</v>
      </c>
      <c r="G20" s="27">
        <f>+G12*I20</f>
        <v>10</v>
      </c>
      <c r="H20" s="27" t="s">
        <v>71</v>
      </c>
      <c r="I20" s="27">
        <v>1</v>
      </c>
      <c r="J20" s="27">
        <v>5</v>
      </c>
      <c r="K20" s="207" t="s">
        <v>85</v>
      </c>
      <c r="L20" s="56"/>
    </row>
    <row r="21" spans="2:12" ht="15.75" customHeight="1" x14ac:dyDescent="0.3">
      <c r="B21" s="298"/>
      <c r="C21" s="295"/>
      <c r="D21" s="301"/>
      <c r="E21" s="304"/>
      <c r="F21" s="53" t="s">
        <v>84</v>
      </c>
      <c r="G21" s="27">
        <f>+G12*I21</f>
        <v>30</v>
      </c>
      <c r="H21" s="27" t="s">
        <v>73</v>
      </c>
      <c r="I21" s="27">
        <v>3</v>
      </c>
      <c r="J21" s="27">
        <v>15</v>
      </c>
      <c r="K21" s="207" t="s">
        <v>85</v>
      </c>
      <c r="L21" s="56"/>
    </row>
    <row r="22" spans="2:12" ht="15.75" customHeight="1" x14ac:dyDescent="0.3">
      <c r="B22" s="298"/>
      <c r="C22" s="295"/>
      <c r="D22" s="301"/>
      <c r="E22" s="304"/>
      <c r="F22" s="53" t="s">
        <v>82</v>
      </c>
      <c r="G22" s="27">
        <f>+G12*I22</f>
        <v>30</v>
      </c>
      <c r="H22" s="27" t="s">
        <v>71</v>
      </c>
      <c r="I22" s="27">
        <v>3</v>
      </c>
      <c r="J22" s="27">
        <v>15</v>
      </c>
      <c r="K22" s="207" t="s">
        <v>85</v>
      </c>
      <c r="L22" s="56"/>
    </row>
    <row r="23" spans="2:12" ht="15.75" customHeight="1" x14ac:dyDescent="0.3">
      <c r="B23" s="298"/>
      <c r="C23" s="295"/>
      <c r="D23" s="301"/>
      <c r="E23" s="305"/>
      <c r="F23" s="53" t="s">
        <v>83</v>
      </c>
      <c r="G23" s="27">
        <f>+G12*I23</f>
        <v>5</v>
      </c>
      <c r="H23" s="27" t="s">
        <v>71</v>
      </c>
      <c r="I23" s="27">
        <v>0.5</v>
      </c>
      <c r="J23" s="27">
        <v>5</v>
      </c>
      <c r="K23" s="207" t="s">
        <v>85</v>
      </c>
      <c r="L23" s="56"/>
    </row>
    <row r="24" spans="2:12" ht="15.75" customHeight="1" thickBot="1" x14ac:dyDescent="0.35">
      <c r="B24" s="299"/>
      <c r="C24" s="296"/>
      <c r="D24" s="302"/>
      <c r="E24" s="209" t="s">
        <v>142</v>
      </c>
      <c r="F24" s="210" t="s">
        <v>151</v>
      </c>
      <c r="G24" s="162">
        <f>+G12*I24</f>
        <v>5</v>
      </c>
      <c r="H24" s="162" t="s">
        <v>73</v>
      </c>
      <c r="I24" s="162">
        <v>0.5</v>
      </c>
      <c r="J24" s="162">
        <v>15</v>
      </c>
      <c r="K24" s="211"/>
    </row>
    <row r="25" spans="2:12" ht="15.75" customHeight="1" thickBot="1" x14ac:dyDescent="0.35"/>
    <row r="26" spans="2:12" ht="15.75" customHeight="1" x14ac:dyDescent="0.3">
      <c r="B26" s="312" t="s">
        <v>205</v>
      </c>
      <c r="C26" s="313"/>
      <c r="D26" s="313"/>
      <c r="E26" s="313"/>
      <c r="F26" s="313"/>
      <c r="G26" s="313"/>
      <c r="H26" s="314"/>
      <c r="I26" s="78"/>
      <c r="J26" s="78"/>
    </row>
    <row r="27" spans="2:12" ht="15.75" customHeight="1" x14ac:dyDescent="0.3">
      <c r="B27" s="306" t="s">
        <v>205</v>
      </c>
      <c r="C27" s="307"/>
      <c r="D27" s="308"/>
      <c r="E27" s="88" t="s">
        <v>206</v>
      </c>
      <c r="F27" s="43" t="s">
        <v>207</v>
      </c>
      <c r="G27" s="315" t="s">
        <v>229</v>
      </c>
      <c r="H27" s="316"/>
      <c r="I27" s="71"/>
      <c r="J27" s="72"/>
    </row>
    <row r="28" spans="2:12" ht="15.75" customHeight="1" x14ac:dyDescent="0.3">
      <c r="B28" s="309" t="s">
        <v>210</v>
      </c>
      <c r="C28" s="310"/>
      <c r="D28" s="311"/>
      <c r="E28" s="27">
        <v>1</v>
      </c>
      <c r="F28" s="60" t="s">
        <v>214</v>
      </c>
      <c r="G28" s="320">
        <f>+'MANO OBRA P.'!C35</f>
        <v>28609.121739130438</v>
      </c>
      <c r="H28" s="321"/>
      <c r="I28" s="73"/>
      <c r="J28" s="74"/>
    </row>
    <row r="29" spans="2:12" ht="15.75" customHeight="1" x14ac:dyDescent="0.3">
      <c r="B29" s="309" t="s">
        <v>211</v>
      </c>
      <c r="C29" s="310" t="s">
        <v>174</v>
      </c>
      <c r="D29" s="311">
        <v>2.5</v>
      </c>
      <c r="E29" s="27">
        <v>1</v>
      </c>
      <c r="F29" s="60" t="s">
        <v>214</v>
      </c>
      <c r="G29" s="320">
        <f>+'MANO OBRA P.'!C60</f>
        <v>16728.110869565218</v>
      </c>
      <c r="H29" s="321"/>
      <c r="I29" s="73"/>
      <c r="J29" s="74"/>
    </row>
    <row r="30" spans="2:12" ht="15.75" customHeight="1" x14ac:dyDescent="0.3">
      <c r="B30" s="309" t="s">
        <v>222</v>
      </c>
      <c r="C30" s="310" t="s">
        <v>174</v>
      </c>
      <c r="D30" s="311">
        <v>2.5</v>
      </c>
      <c r="E30" s="27">
        <v>1</v>
      </c>
      <c r="F30" s="60" t="s">
        <v>214</v>
      </c>
      <c r="G30" s="320">
        <f>+'MANO OBRA P.'!C85</f>
        <v>13072.415217391304</v>
      </c>
      <c r="H30" s="321"/>
      <c r="I30" s="73"/>
      <c r="J30" s="74"/>
    </row>
    <row r="31" spans="2:12" ht="15.75" customHeight="1" x14ac:dyDescent="0.3">
      <c r="B31" s="309" t="s">
        <v>212</v>
      </c>
      <c r="C31" s="310" t="s">
        <v>174</v>
      </c>
      <c r="D31" s="311">
        <v>1</v>
      </c>
      <c r="E31" s="27">
        <v>1</v>
      </c>
      <c r="F31" s="60" t="s">
        <v>214</v>
      </c>
      <c r="G31" s="320">
        <f>+'MANO OBRA P.'!C85</f>
        <v>13072.415217391304</v>
      </c>
      <c r="H31" s="321"/>
      <c r="I31" s="73"/>
      <c r="J31" s="74"/>
    </row>
    <row r="32" spans="2:12" ht="15.75" customHeight="1" x14ac:dyDescent="0.3">
      <c r="B32" s="309" t="s">
        <v>213</v>
      </c>
      <c r="C32" s="310" t="s">
        <v>174</v>
      </c>
      <c r="D32" s="311">
        <v>1.5</v>
      </c>
      <c r="E32" s="27">
        <v>1</v>
      </c>
      <c r="F32" s="60" t="s">
        <v>214</v>
      </c>
      <c r="G32" s="320">
        <f>+'MANO OBRA P.'!C85</f>
        <v>13072.415217391304</v>
      </c>
      <c r="H32" s="321"/>
      <c r="I32" s="73"/>
      <c r="J32" s="74"/>
    </row>
    <row r="33" spans="2:10" ht="15.75" customHeight="1" thickBot="1" x14ac:dyDescent="0.35">
      <c r="B33" s="317" t="s">
        <v>221</v>
      </c>
      <c r="C33" s="318" t="s">
        <v>174</v>
      </c>
      <c r="D33" s="319">
        <v>1</v>
      </c>
      <c r="E33" s="162">
        <v>1</v>
      </c>
      <c r="F33" s="213" t="s">
        <v>214</v>
      </c>
      <c r="G33" s="322">
        <f>+'MANO OBRA P.'!C110</f>
        <v>13986.339130434782</v>
      </c>
      <c r="H33" s="323"/>
      <c r="I33" s="73"/>
      <c r="J33" s="74"/>
    </row>
    <row r="34" spans="2:10" ht="15.75" customHeight="1" thickBot="1" x14ac:dyDescent="0.35"/>
    <row r="35" spans="2:10" ht="15.75" customHeight="1" x14ac:dyDescent="0.3">
      <c r="B35" s="312" t="s">
        <v>217</v>
      </c>
      <c r="C35" s="313"/>
      <c r="D35" s="314"/>
    </row>
    <row r="36" spans="2:10" ht="15.75" customHeight="1" x14ac:dyDescent="0.3">
      <c r="B36" s="214" t="s">
        <v>243</v>
      </c>
      <c r="C36" s="44" t="s">
        <v>230</v>
      </c>
      <c r="D36" s="215" t="s">
        <v>231</v>
      </c>
    </row>
    <row r="37" spans="2:10" ht="15.75" customHeight="1" x14ac:dyDescent="0.3">
      <c r="B37" s="151" t="s">
        <v>169</v>
      </c>
      <c r="C37" s="27" t="s">
        <v>71</v>
      </c>
      <c r="D37" s="216">
        <f>+CIF!G13</f>
        <v>8.4257996768982224</v>
      </c>
    </row>
    <row r="38" spans="2:10" ht="15.75" customHeight="1" x14ac:dyDescent="0.3">
      <c r="B38" s="151" t="s">
        <v>39</v>
      </c>
      <c r="C38" s="27" t="s">
        <v>214</v>
      </c>
      <c r="D38" s="152">
        <f>+CIF!G17</f>
        <v>9015.703846153845</v>
      </c>
    </row>
    <row r="39" spans="2:10" ht="15.75" customHeight="1" x14ac:dyDescent="0.3">
      <c r="B39" s="151" t="s">
        <v>40</v>
      </c>
      <c r="C39" s="27" t="s">
        <v>214</v>
      </c>
      <c r="D39" s="152">
        <f>+CIF!G21</f>
        <v>56187.532051282054</v>
      </c>
    </row>
    <row r="40" spans="2:10" ht="15.75" customHeight="1" thickBot="1" x14ac:dyDescent="0.35">
      <c r="B40" s="161" t="s">
        <v>175</v>
      </c>
      <c r="C40" s="162" t="s">
        <v>214</v>
      </c>
      <c r="D40" s="160">
        <f>+CIF!F25</f>
        <v>8012.8205128205127</v>
      </c>
    </row>
    <row r="41" spans="2:10" ht="15.75" customHeight="1" x14ac:dyDescent="0.3"/>
    <row r="95" ht="16.5" customHeight="1" x14ac:dyDescent="0.3"/>
    <row r="120" ht="16.5" customHeight="1" x14ac:dyDescent="0.3"/>
    <row r="201" ht="16.5" customHeight="1" x14ac:dyDescent="0.3"/>
    <row r="219" spans="13:16" x14ac:dyDescent="0.3">
      <c r="M219" s="11"/>
      <c r="N219" s="11"/>
      <c r="O219" s="11"/>
      <c r="P219" s="11"/>
    </row>
    <row r="220" spans="13:16" ht="16.5" customHeight="1" x14ac:dyDescent="0.3">
      <c r="M220" s="11"/>
      <c r="N220" s="11"/>
      <c r="O220" s="11"/>
      <c r="P220" s="11"/>
    </row>
    <row r="221" spans="13:16" x14ac:dyDescent="0.3">
      <c r="M221" s="11"/>
      <c r="N221" s="11"/>
      <c r="O221" s="11"/>
      <c r="P221" s="11"/>
    </row>
    <row r="222" spans="13:16" x14ac:dyDescent="0.3">
      <c r="M222" s="11"/>
      <c r="N222" s="11"/>
      <c r="O222" s="11"/>
      <c r="P222" s="11"/>
    </row>
    <row r="223" spans="13:16" x14ac:dyDescent="0.3">
      <c r="M223" s="11"/>
      <c r="N223" s="11"/>
      <c r="O223" s="11"/>
      <c r="P223" s="11"/>
    </row>
    <row r="224" spans="13:16" x14ac:dyDescent="0.3">
      <c r="M224" s="11"/>
      <c r="N224" s="11"/>
      <c r="O224" s="11"/>
      <c r="P224" s="11"/>
    </row>
    <row r="225" spans="13:16" x14ac:dyDescent="0.3">
      <c r="M225" s="11"/>
      <c r="N225" s="11"/>
      <c r="O225" s="11"/>
      <c r="P225" s="11"/>
    </row>
    <row r="226" spans="13:16" x14ac:dyDescent="0.3">
      <c r="M226" s="11"/>
      <c r="N226" s="11"/>
      <c r="O226" s="11"/>
      <c r="P226" s="11"/>
    </row>
    <row r="227" spans="13:16" x14ac:dyDescent="0.3">
      <c r="M227" s="11"/>
      <c r="N227" s="11"/>
      <c r="O227" s="11"/>
      <c r="P227" s="11"/>
    </row>
    <row r="228" spans="13:16" x14ac:dyDescent="0.3">
      <c r="M228" s="11"/>
      <c r="N228" s="11"/>
      <c r="O228" s="11"/>
      <c r="P228" s="11"/>
    </row>
    <row r="229" spans="13:16" x14ac:dyDescent="0.3">
      <c r="M229" s="11"/>
      <c r="N229" s="11"/>
      <c r="O229" s="11"/>
      <c r="P229" s="11"/>
    </row>
    <row r="230" spans="13:16" x14ac:dyDescent="0.3">
      <c r="M230" s="11"/>
      <c r="N230" s="11"/>
      <c r="O230" s="11"/>
      <c r="P230" s="11"/>
    </row>
    <row r="231" spans="13:16" x14ac:dyDescent="0.3">
      <c r="M231" s="11"/>
      <c r="N231" s="11"/>
      <c r="O231" s="11"/>
      <c r="P231" s="11"/>
    </row>
    <row r="232" spans="13:16" x14ac:dyDescent="0.3">
      <c r="M232" s="11"/>
      <c r="N232" s="11"/>
      <c r="O232" s="11"/>
      <c r="P232" s="11"/>
    </row>
    <row r="233" spans="13:16" x14ac:dyDescent="0.3">
      <c r="M233" s="11"/>
      <c r="N233" s="11"/>
      <c r="O233" s="11"/>
      <c r="P233" s="11"/>
    </row>
    <row r="234" spans="13:16" x14ac:dyDescent="0.3">
      <c r="M234" s="11"/>
      <c r="N234" s="11"/>
      <c r="O234" s="11"/>
      <c r="P234" s="11"/>
    </row>
    <row r="235" spans="13:16" x14ac:dyDescent="0.3">
      <c r="M235" s="11"/>
      <c r="N235" s="11"/>
      <c r="O235" s="11"/>
      <c r="P235" s="11"/>
    </row>
    <row r="236" spans="13:16" x14ac:dyDescent="0.3">
      <c r="M236" s="11"/>
      <c r="N236" s="11"/>
      <c r="O236" s="11"/>
      <c r="P236" s="11"/>
    </row>
    <row r="237" spans="13:16" x14ac:dyDescent="0.3">
      <c r="M237" s="11"/>
      <c r="N237" s="11"/>
      <c r="O237" s="11"/>
      <c r="P237" s="11"/>
    </row>
    <row r="238" spans="13:16" x14ac:dyDescent="0.3">
      <c r="M238" s="11"/>
      <c r="N238" s="11"/>
      <c r="O238" s="11"/>
      <c r="P238" s="11"/>
    </row>
    <row r="239" spans="13:16" x14ac:dyDescent="0.3">
      <c r="M239" s="11"/>
      <c r="N239" s="11"/>
      <c r="O239" s="11"/>
      <c r="P239" s="11"/>
    </row>
    <row r="240" spans="13:16" x14ac:dyDescent="0.3">
      <c r="M240" s="11"/>
      <c r="N240" s="11"/>
      <c r="O240" s="11"/>
      <c r="P240" s="11"/>
    </row>
    <row r="241" spans="13:16" x14ac:dyDescent="0.3">
      <c r="M241" s="11"/>
      <c r="N241" s="11"/>
      <c r="O241" s="11"/>
      <c r="P241" s="11"/>
    </row>
    <row r="242" spans="13:16" x14ac:dyDescent="0.3">
      <c r="M242" s="11"/>
      <c r="N242" s="11"/>
      <c r="O242" s="11"/>
      <c r="P242" s="11"/>
    </row>
    <row r="243" spans="13:16" x14ac:dyDescent="0.3">
      <c r="M243" s="11"/>
      <c r="N243" s="11"/>
      <c r="O243" s="11"/>
      <c r="P243" s="11"/>
    </row>
    <row r="244" spans="13:16" x14ac:dyDescent="0.3">
      <c r="M244" s="11"/>
      <c r="N244" s="11"/>
      <c r="O244" s="11"/>
      <c r="P244" s="11"/>
    </row>
  </sheetData>
  <mergeCells count="24">
    <mergeCell ref="B35:D35"/>
    <mergeCell ref="B31:D31"/>
    <mergeCell ref="B32:D32"/>
    <mergeCell ref="B33:D33"/>
    <mergeCell ref="G28:H28"/>
    <mergeCell ref="G29:H29"/>
    <mergeCell ref="G30:H30"/>
    <mergeCell ref="G31:H31"/>
    <mergeCell ref="G32:H32"/>
    <mergeCell ref="G33:H33"/>
    <mergeCell ref="B27:D27"/>
    <mergeCell ref="B28:D28"/>
    <mergeCell ref="B29:D29"/>
    <mergeCell ref="B30:D30"/>
    <mergeCell ref="B26:H26"/>
    <mergeCell ref="G27:H27"/>
    <mergeCell ref="B8:K9"/>
    <mergeCell ref="C12:C24"/>
    <mergeCell ref="B12:B24"/>
    <mergeCell ref="D12:D24"/>
    <mergeCell ref="E20:E23"/>
    <mergeCell ref="E18:E19"/>
    <mergeCell ref="E16:E17"/>
    <mergeCell ref="E12:E1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E5905-6594-40C5-ABE8-6D0CF7D29EE0}">
  <dimension ref="A1:AG216"/>
  <sheetViews>
    <sheetView showGridLines="0" topLeftCell="A4" zoomScale="80" zoomScaleNormal="80" workbookViewId="0">
      <selection activeCell="B33" sqref="B33:D38"/>
    </sheetView>
  </sheetViews>
  <sheetFormatPr baseColWidth="10" defaultColWidth="11.42578125" defaultRowHeight="16.5" x14ac:dyDescent="0.3"/>
  <cols>
    <col min="1" max="1" width="11.42578125" style="12"/>
    <col min="2" max="3" width="23.28515625" style="12" customWidth="1"/>
    <col min="4" max="4" width="11.85546875" style="12" customWidth="1"/>
    <col min="5" max="5" width="22.5703125" style="12" customWidth="1"/>
    <col min="6" max="6" width="30.7109375" style="12" customWidth="1"/>
    <col min="7" max="8" width="11.42578125" style="12" customWidth="1"/>
    <col min="9" max="9" width="13.42578125" style="12" customWidth="1"/>
    <col min="10" max="10" width="11.42578125" style="12" customWidth="1"/>
    <col min="11" max="11" width="10.85546875" style="12" customWidth="1"/>
    <col min="12" max="12" width="11.42578125" style="12" customWidth="1"/>
    <col min="13" max="13" width="13" style="12" customWidth="1"/>
    <col min="14" max="16384" width="11.42578125" style="12"/>
  </cols>
  <sheetData>
    <row r="1" spans="1:33" x14ac:dyDescent="0.3">
      <c r="B1" s="169"/>
      <c r="C1" s="170"/>
      <c r="D1" s="170"/>
      <c r="E1" s="170"/>
      <c r="F1" s="170"/>
      <c r="G1" s="170"/>
      <c r="H1" s="170"/>
      <c r="I1" s="170"/>
      <c r="J1" s="170"/>
      <c r="K1" s="171"/>
    </row>
    <row r="2" spans="1:33" x14ac:dyDescent="0.3">
      <c r="B2" s="172"/>
      <c r="K2" s="173"/>
    </row>
    <row r="3" spans="1:33" x14ac:dyDescent="0.3">
      <c r="B3" s="172"/>
      <c r="K3" s="173"/>
    </row>
    <row r="4" spans="1:33" x14ac:dyDescent="0.3">
      <c r="B4" s="172"/>
      <c r="K4" s="173"/>
    </row>
    <row r="5" spans="1:33" x14ac:dyDescent="0.3">
      <c r="B5" s="172"/>
      <c r="K5" s="173"/>
    </row>
    <row r="6" spans="1:33" x14ac:dyDescent="0.3">
      <c r="B6" s="172"/>
      <c r="K6" s="173"/>
    </row>
    <row r="7" spans="1:33" s="46" customFormat="1" ht="17.25" thickBot="1" x14ac:dyDescent="0.35">
      <c r="A7" s="12"/>
      <c r="B7" s="174"/>
      <c r="K7" s="175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</row>
    <row r="8" spans="1:33" ht="17.25" thickBot="1" x14ac:dyDescent="0.35"/>
    <row r="9" spans="1:33" ht="36.75" customHeight="1" x14ac:dyDescent="0.3">
      <c r="B9" s="202" t="s">
        <v>77</v>
      </c>
      <c r="C9" s="203" t="s">
        <v>41</v>
      </c>
      <c r="D9" s="203" t="s">
        <v>42</v>
      </c>
      <c r="E9" s="204" t="s">
        <v>68</v>
      </c>
      <c r="F9" s="204" t="s">
        <v>185</v>
      </c>
      <c r="G9" s="203" t="s">
        <v>186</v>
      </c>
      <c r="H9" s="203" t="s">
        <v>187</v>
      </c>
      <c r="I9" s="205" t="s">
        <v>257</v>
      </c>
      <c r="J9" s="203" t="s">
        <v>188</v>
      </c>
      <c r="K9" s="206" t="s">
        <v>256</v>
      </c>
    </row>
    <row r="10" spans="1:33" ht="15" customHeight="1" x14ac:dyDescent="0.3">
      <c r="B10" s="324" t="s">
        <v>158</v>
      </c>
      <c r="C10" s="294" t="s">
        <v>192</v>
      </c>
      <c r="D10" s="300">
        <v>1</v>
      </c>
      <c r="E10" s="303" t="s">
        <v>144</v>
      </c>
      <c r="F10" s="53" t="s">
        <v>69</v>
      </c>
      <c r="G10" s="27">
        <f>+D10*I10</f>
        <v>10</v>
      </c>
      <c r="H10" s="27" t="s">
        <v>71</v>
      </c>
      <c r="I10" s="27">
        <v>10</v>
      </c>
      <c r="J10" s="27">
        <v>15</v>
      </c>
      <c r="K10" s="207" t="s">
        <v>76</v>
      </c>
    </row>
    <row r="11" spans="1:33" ht="15" customHeight="1" x14ac:dyDescent="0.3">
      <c r="B11" s="325"/>
      <c r="C11" s="295"/>
      <c r="D11" s="301"/>
      <c r="E11" s="304"/>
      <c r="F11" s="53" t="s">
        <v>72</v>
      </c>
      <c r="G11" s="27">
        <f>+G10*I11</f>
        <v>5</v>
      </c>
      <c r="H11" s="27" t="s">
        <v>73</v>
      </c>
      <c r="I11" s="27">
        <v>0.5</v>
      </c>
      <c r="J11" s="27">
        <v>0</v>
      </c>
      <c r="K11" s="207" t="s">
        <v>76</v>
      </c>
    </row>
    <row r="12" spans="1:33" ht="15" customHeight="1" x14ac:dyDescent="0.3">
      <c r="B12" s="325"/>
      <c r="C12" s="295"/>
      <c r="D12" s="301"/>
      <c r="E12" s="304"/>
      <c r="F12" s="53" t="s">
        <v>74</v>
      </c>
      <c r="G12" s="27">
        <f>+G10*I12</f>
        <v>5</v>
      </c>
      <c r="H12" s="27" t="s">
        <v>73</v>
      </c>
      <c r="I12" s="27">
        <v>0.5</v>
      </c>
      <c r="J12" s="27">
        <v>0</v>
      </c>
      <c r="K12" s="207" t="s">
        <v>76</v>
      </c>
    </row>
    <row r="13" spans="1:33" ht="15" customHeight="1" x14ac:dyDescent="0.3">
      <c r="B13" s="325"/>
      <c r="C13" s="295"/>
      <c r="D13" s="301"/>
      <c r="E13" s="305"/>
      <c r="F13" s="53" t="s">
        <v>75</v>
      </c>
      <c r="G13" s="27">
        <f>+G10*I13</f>
        <v>10</v>
      </c>
      <c r="H13" s="27" t="s">
        <v>73</v>
      </c>
      <c r="I13" s="27">
        <v>1</v>
      </c>
      <c r="J13" s="27">
        <v>0</v>
      </c>
      <c r="K13" s="207" t="s">
        <v>76</v>
      </c>
    </row>
    <row r="14" spans="1:33" ht="15" customHeight="1" x14ac:dyDescent="0.3">
      <c r="B14" s="325"/>
      <c r="C14" s="295"/>
      <c r="D14" s="301"/>
      <c r="E14" s="303" t="s">
        <v>77</v>
      </c>
      <c r="F14" s="26" t="s">
        <v>78</v>
      </c>
      <c r="G14" s="27">
        <f>+(D10*1000)*I14</f>
        <v>60</v>
      </c>
      <c r="H14" s="27" t="s">
        <v>73</v>
      </c>
      <c r="I14" s="59">
        <v>0.06</v>
      </c>
      <c r="J14" s="27">
        <v>10</v>
      </c>
      <c r="K14" s="208" t="s">
        <v>76</v>
      </c>
    </row>
    <row r="15" spans="1:33" ht="15" customHeight="1" x14ac:dyDescent="0.3">
      <c r="B15" s="325"/>
      <c r="C15" s="295"/>
      <c r="D15" s="301"/>
      <c r="E15" s="305"/>
      <c r="F15" s="53" t="s">
        <v>79</v>
      </c>
      <c r="G15" s="27">
        <f>+G10*I15</f>
        <v>0.89999999999999991</v>
      </c>
      <c r="H15" s="27" t="s">
        <v>28</v>
      </c>
      <c r="I15" s="58">
        <v>0.09</v>
      </c>
      <c r="J15" s="27">
        <v>20</v>
      </c>
      <c r="K15" s="208" t="s">
        <v>76</v>
      </c>
    </row>
    <row r="16" spans="1:33" ht="15" customHeight="1" x14ac:dyDescent="0.3">
      <c r="B16" s="325"/>
      <c r="C16" s="295"/>
      <c r="D16" s="301"/>
      <c r="E16" s="303" t="s">
        <v>80</v>
      </c>
      <c r="F16" s="53" t="s">
        <v>81</v>
      </c>
      <c r="G16" s="27">
        <f>+G10*I16</f>
        <v>50</v>
      </c>
      <c r="H16" s="27" t="s">
        <v>73</v>
      </c>
      <c r="I16" s="27">
        <v>5</v>
      </c>
      <c r="J16" s="27">
        <v>40</v>
      </c>
      <c r="K16" s="207" t="s">
        <v>76</v>
      </c>
    </row>
    <row r="17" spans="2:11" ht="15" customHeight="1" x14ac:dyDescent="0.3">
      <c r="B17" s="325"/>
      <c r="C17" s="295"/>
      <c r="D17" s="301"/>
      <c r="E17" s="305"/>
      <c r="F17" s="53" t="s">
        <v>82</v>
      </c>
      <c r="G17" s="27">
        <f>+G10*I17</f>
        <v>30</v>
      </c>
      <c r="H17" s="27" t="s">
        <v>71</v>
      </c>
      <c r="I17" s="27">
        <v>3</v>
      </c>
      <c r="J17" s="27">
        <v>10</v>
      </c>
      <c r="K17" s="207" t="s">
        <v>76</v>
      </c>
    </row>
    <row r="18" spans="2:11" ht="15" customHeight="1" x14ac:dyDescent="0.3">
      <c r="B18" s="325"/>
      <c r="C18" s="295"/>
      <c r="D18" s="301"/>
      <c r="E18" s="303" t="s">
        <v>146</v>
      </c>
      <c r="F18" s="53" t="s">
        <v>83</v>
      </c>
      <c r="G18" s="27">
        <f>+G10*I18</f>
        <v>10</v>
      </c>
      <c r="H18" s="27" t="s">
        <v>71</v>
      </c>
      <c r="I18" s="27">
        <v>1</v>
      </c>
      <c r="J18" s="27">
        <v>5</v>
      </c>
      <c r="K18" s="207" t="s">
        <v>85</v>
      </c>
    </row>
    <row r="19" spans="2:11" ht="15" customHeight="1" x14ac:dyDescent="0.3">
      <c r="B19" s="325"/>
      <c r="C19" s="295"/>
      <c r="D19" s="301"/>
      <c r="E19" s="304"/>
      <c r="F19" s="53" t="s">
        <v>84</v>
      </c>
      <c r="G19" s="27">
        <f>+G10*I19</f>
        <v>30</v>
      </c>
      <c r="H19" s="27" t="s">
        <v>73</v>
      </c>
      <c r="I19" s="27">
        <v>3</v>
      </c>
      <c r="J19" s="27">
        <v>15</v>
      </c>
      <c r="K19" s="207" t="s">
        <v>85</v>
      </c>
    </row>
    <row r="20" spans="2:11" ht="15" customHeight="1" x14ac:dyDescent="0.3">
      <c r="B20" s="325"/>
      <c r="C20" s="295"/>
      <c r="D20" s="301"/>
      <c r="E20" s="304"/>
      <c r="F20" s="53" t="s">
        <v>82</v>
      </c>
      <c r="G20" s="27">
        <f>+G10*I20</f>
        <v>30</v>
      </c>
      <c r="H20" s="27" t="s">
        <v>71</v>
      </c>
      <c r="I20" s="27">
        <v>3</v>
      </c>
      <c r="J20" s="27">
        <v>15</v>
      </c>
      <c r="K20" s="207" t="s">
        <v>85</v>
      </c>
    </row>
    <row r="21" spans="2:11" ht="15" customHeight="1" x14ac:dyDescent="0.3">
      <c r="B21" s="325"/>
      <c r="C21" s="295"/>
      <c r="D21" s="301"/>
      <c r="E21" s="305"/>
      <c r="F21" s="53" t="s">
        <v>83</v>
      </c>
      <c r="G21" s="27">
        <f>+G10*I21</f>
        <v>5</v>
      </c>
      <c r="H21" s="27" t="s">
        <v>71</v>
      </c>
      <c r="I21" s="27">
        <v>0.5</v>
      </c>
      <c r="J21" s="27">
        <v>5</v>
      </c>
      <c r="K21" s="207" t="s">
        <v>85</v>
      </c>
    </row>
    <row r="22" spans="2:11" ht="15" customHeight="1" thickBot="1" x14ac:dyDescent="0.35">
      <c r="B22" s="326"/>
      <c r="C22" s="296"/>
      <c r="D22" s="302"/>
      <c r="E22" s="217" t="s">
        <v>142</v>
      </c>
      <c r="F22" s="210" t="s">
        <v>151</v>
      </c>
      <c r="G22" s="162">
        <f>+G10*I22</f>
        <v>5</v>
      </c>
      <c r="H22" s="162" t="s">
        <v>73</v>
      </c>
      <c r="I22" s="162">
        <v>0.5</v>
      </c>
      <c r="J22" s="162">
        <v>15</v>
      </c>
      <c r="K22" s="211"/>
    </row>
    <row r="23" spans="2:11" ht="15" customHeight="1" thickBot="1" x14ac:dyDescent="0.35"/>
    <row r="24" spans="2:11" ht="15" customHeight="1" x14ac:dyDescent="0.3">
      <c r="B24" s="312" t="s">
        <v>205</v>
      </c>
      <c r="C24" s="313"/>
      <c r="D24" s="313"/>
      <c r="E24" s="313"/>
      <c r="F24" s="313"/>
      <c r="G24" s="313"/>
      <c r="H24" s="314"/>
    </row>
    <row r="25" spans="2:11" ht="15" customHeight="1" x14ac:dyDescent="0.3">
      <c r="B25" s="306" t="s">
        <v>205</v>
      </c>
      <c r="C25" s="307"/>
      <c r="D25" s="308"/>
      <c r="E25" s="88" t="s">
        <v>206</v>
      </c>
      <c r="F25" s="43" t="s">
        <v>207</v>
      </c>
      <c r="G25" s="315" t="s">
        <v>229</v>
      </c>
      <c r="H25" s="316"/>
    </row>
    <row r="26" spans="2:11" ht="15" customHeight="1" x14ac:dyDescent="0.3">
      <c r="B26" s="309" t="s">
        <v>210</v>
      </c>
      <c r="C26" s="310"/>
      <c r="D26" s="311"/>
      <c r="E26" s="27">
        <v>1</v>
      </c>
      <c r="F26" s="60" t="s">
        <v>214</v>
      </c>
      <c r="G26" s="320">
        <f>+'MANO OBRA P.'!C33</f>
        <v>735660</v>
      </c>
      <c r="H26" s="321"/>
    </row>
    <row r="27" spans="2:11" ht="15" customHeight="1" x14ac:dyDescent="0.3">
      <c r="B27" s="309" t="s">
        <v>211</v>
      </c>
      <c r="C27" s="310" t="s">
        <v>174</v>
      </c>
      <c r="D27" s="311">
        <v>2.5</v>
      </c>
      <c r="E27" s="27">
        <v>1</v>
      </c>
      <c r="F27" s="60" t="s">
        <v>214</v>
      </c>
      <c r="G27" s="320">
        <f>+'MANO OBRA P.'!C58</f>
        <v>416874</v>
      </c>
      <c r="H27" s="321"/>
    </row>
    <row r="28" spans="2:11" ht="15" customHeight="1" x14ac:dyDescent="0.3">
      <c r="B28" s="309" t="s">
        <v>222</v>
      </c>
      <c r="C28" s="310" t="s">
        <v>174</v>
      </c>
      <c r="D28" s="311">
        <v>2.5</v>
      </c>
      <c r="E28" s="27">
        <v>1</v>
      </c>
      <c r="F28" s="60" t="s">
        <v>214</v>
      </c>
      <c r="G28" s="320">
        <f>+'MANO OBRA P.'!C83</f>
        <v>318786</v>
      </c>
      <c r="H28" s="321"/>
    </row>
    <row r="29" spans="2:11" ht="15" customHeight="1" x14ac:dyDescent="0.3">
      <c r="B29" s="309" t="s">
        <v>212</v>
      </c>
      <c r="C29" s="310" t="s">
        <v>174</v>
      </c>
      <c r="D29" s="311">
        <v>1</v>
      </c>
      <c r="E29" s="27">
        <v>1</v>
      </c>
      <c r="F29" s="60" t="s">
        <v>214</v>
      </c>
      <c r="G29" s="320">
        <f>+'MANO OBRA P.'!C83</f>
        <v>318786</v>
      </c>
      <c r="H29" s="321"/>
    </row>
    <row r="30" spans="2:11" ht="15" customHeight="1" x14ac:dyDescent="0.3">
      <c r="B30" s="309" t="s">
        <v>213</v>
      </c>
      <c r="C30" s="310" t="s">
        <v>174</v>
      </c>
      <c r="D30" s="311">
        <v>1.5</v>
      </c>
      <c r="E30" s="27">
        <v>1</v>
      </c>
      <c r="F30" s="60" t="s">
        <v>214</v>
      </c>
      <c r="G30" s="320">
        <f>+'MANO OBRA P.'!C83</f>
        <v>318786</v>
      </c>
      <c r="H30" s="321"/>
    </row>
    <row r="31" spans="2:11" ht="15" customHeight="1" thickBot="1" x14ac:dyDescent="0.35">
      <c r="B31" s="317" t="s">
        <v>221</v>
      </c>
      <c r="C31" s="318" t="s">
        <v>174</v>
      </c>
      <c r="D31" s="319">
        <v>1</v>
      </c>
      <c r="E31" s="162">
        <v>1</v>
      </c>
      <c r="F31" s="213" t="s">
        <v>214</v>
      </c>
      <c r="G31" s="322">
        <f>+'MANO OBRA P.'!C108</f>
        <v>343308</v>
      </c>
      <c r="H31" s="323"/>
    </row>
    <row r="32" spans="2:11" ht="15" customHeight="1" thickBot="1" x14ac:dyDescent="0.35"/>
    <row r="33" spans="2:4" ht="15" customHeight="1" x14ac:dyDescent="0.3">
      <c r="B33" s="312" t="s">
        <v>217</v>
      </c>
      <c r="C33" s="313"/>
      <c r="D33" s="314"/>
    </row>
    <row r="34" spans="2:4" ht="15" customHeight="1" x14ac:dyDescent="0.3">
      <c r="B34" s="214" t="s">
        <v>243</v>
      </c>
      <c r="C34" s="44" t="s">
        <v>230</v>
      </c>
      <c r="D34" s="215" t="s">
        <v>231</v>
      </c>
    </row>
    <row r="35" spans="2:4" ht="15" customHeight="1" x14ac:dyDescent="0.3">
      <c r="B35" s="151" t="s">
        <v>169</v>
      </c>
      <c r="C35" s="27" t="s">
        <v>71</v>
      </c>
      <c r="D35" s="216">
        <f>+CIF!G13</f>
        <v>8.4257996768982224</v>
      </c>
    </row>
    <row r="36" spans="2:4" ht="15" customHeight="1" x14ac:dyDescent="0.3">
      <c r="B36" s="151" t="s">
        <v>39</v>
      </c>
      <c r="C36" s="27" t="s">
        <v>214</v>
      </c>
      <c r="D36" s="152">
        <f>+CIF!G17</f>
        <v>9015.703846153845</v>
      </c>
    </row>
    <row r="37" spans="2:4" ht="15" customHeight="1" x14ac:dyDescent="0.3">
      <c r="B37" s="151" t="s">
        <v>40</v>
      </c>
      <c r="C37" s="27" t="s">
        <v>214</v>
      </c>
      <c r="D37" s="152">
        <f>+CIF!G21</f>
        <v>56187.532051282054</v>
      </c>
    </row>
    <row r="38" spans="2:4" ht="15" customHeight="1" thickBot="1" x14ac:dyDescent="0.35">
      <c r="B38" s="161" t="s">
        <v>175</v>
      </c>
      <c r="C38" s="162" t="s">
        <v>214</v>
      </c>
      <c r="D38" s="160">
        <f>+CIF!F25</f>
        <v>8012.8205128205127</v>
      </c>
    </row>
    <row r="39" spans="2:4" ht="15" customHeight="1" x14ac:dyDescent="0.3"/>
    <row r="40" spans="2:4" ht="15" customHeight="1" x14ac:dyDescent="0.3"/>
    <row r="41" spans="2:4" ht="15" customHeight="1" x14ac:dyDescent="0.3"/>
    <row r="67" ht="16.5" customHeight="1" x14ac:dyDescent="0.3"/>
    <row r="92" ht="16.5" customHeight="1" x14ac:dyDescent="0.3"/>
    <row r="173" ht="16.5" customHeight="1" x14ac:dyDescent="0.3"/>
    <row r="191" spans="15:19" x14ac:dyDescent="0.3">
      <c r="O191" s="11"/>
      <c r="P191" s="11"/>
      <c r="Q191" s="11"/>
      <c r="R191" s="11"/>
      <c r="S191" s="11"/>
    </row>
    <row r="192" spans="15:19" ht="16.5" customHeight="1" x14ac:dyDescent="0.3">
      <c r="O192" s="11"/>
      <c r="P192" s="11"/>
      <c r="Q192" s="11"/>
      <c r="R192" s="11"/>
      <c r="S192" s="11"/>
    </row>
    <row r="193" spans="15:19" x14ac:dyDescent="0.3">
      <c r="O193" s="11"/>
      <c r="P193" s="11"/>
      <c r="Q193" s="11"/>
      <c r="R193" s="11"/>
      <c r="S193" s="11"/>
    </row>
    <row r="194" spans="15:19" x14ac:dyDescent="0.3">
      <c r="O194" s="11"/>
      <c r="P194" s="11"/>
      <c r="Q194" s="11"/>
      <c r="R194" s="11"/>
      <c r="S194" s="11"/>
    </row>
    <row r="195" spans="15:19" x14ac:dyDescent="0.3">
      <c r="O195" s="11"/>
      <c r="P195" s="11"/>
      <c r="Q195" s="11"/>
      <c r="R195" s="11"/>
      <c r="S195" s="11"/>
    </row>
    <row r="196" spans="15:19" x14ac:dyDescent="0.3">
      <c r="O196" s="11"/>
      <c r="P196" s="11"/>
      <c r="Q196" s="11"/>
      <c r="R196" s="11"/>
      <c r="S196" s="11"/>
    </row>
    <row r="197" spans="15:19" x14ac:dyDescent="0.3">
      <c r="O197" s="11"/>
      <c r="P197" s="11"/>
      <c r="Q197" s="11"/>
      <c r="R197" s="11"/>
      <c r="S197" s="11"/>
    </row>
    <row r="198" spans="15:19" x14ac:dyDescent="0.3">
      <c r="O198" s="11"/>
      <c r="P198" s="11"/>
      <c r="Q198" s="11"/>
      <c r="R198" s="11"/>
      <c r="S198" s="11"/>
    </row>
    <row r="199" spans="15:19" x14ac:dyDescent="0.3">
      <c r="O199" s="11"/>
      <c r="P199" s="11"/>
      <c r="Q199" s="11"/>
      <c r="R199" s="11"/>
      <c r="S199" s="11"/>
    </row>
    <row r="200" spans="15:19" x14ac:dyDescent="0.3">
      <c r="O200" s="11"/>
      <c r="P200" s="11"/>
      <c r="Q200" s="11"/>
      <c r="R200" s="11"/>
      <c r="S200" s="11"/>
    </row>
    <row r="201" spans="15:19" x14ac:dyDescent="0.3">
      <c r="O201" s="11"/>
      <c r="P201" s="11"/>
      <c r="Q201" s="11"/>
      <c r="R201" s="11"/>
      <c r="S201" s="11"/>
    </row>
    <row r="202" spans="15:19" x14ac:dyDescent="0.3">
      <c r="O202" s="11"/>
      <c r="P202" s="11"/>
      <c r="Q202" s="11"/>
      <c r="R202" s="11"/>
      <c r="S202" s="11"/>
    </row>
    <row r="203" spans="15:19" x14ac:dyDescent="0.3">
      <c r="O203" s="11"/>
      <c r="P203" s="11"/>
      <c r="Q203" s="11"/>
      <c r="R203" s="11"/>
      <c r="S203" s="11"/>
    </row>
    <row r="204" spans="15:19" x14ac:dyDescent="0.3">
      <c r="O204" s="11"/>
      <c r="P204" s="11"/>
      <c r="Q204" s="11"/>
      <c r="R204" s="11"/>
      <c r="S204" s="11"/>
    </row>
    <row r="205" spans="15:19" x14ac:dyDescent="0.3">
      <c r="O205" s="11"/>
      <c r="P205" s="11"/>
      <c r="Q205" s="11"/>
      <c r="R205" s="11"/>
      <c r="S205" s="11"/>
    </row>
    <row r="206" spans="15:19" x14ac:dyDescent="0.3">
      <c r="O206" s="11"/>
      <c r="P206" s="11"/>
      <c r="Q206" s="11"/>
      <c r="R206" s="11"/>
      <c r="S206" s="11"/>
    </row>
    <row r="207" spans="15:19" x14ac:dyDescent="0.3">
      <c r="O207" s="11"/>
      <c r="P207" s="11"/>
      <c r="Q207" s="11"/>
      <c r="R207" s="11"/>
      <c r="S207" s="11"/>
    </row>
    <row r="208" spans="15:19" x14ac:dyDescent="0.3">
      <c r="O208" s="11"/>
      <c r="P208" s="11"/>
      <c r="Q208" s="11"/>
      <c r="R208" s="11"/>
      <c r="S208" s="11"/>
    </row>
    <row r="209" spans="15:19" x14ac:dyDescent="0.3">
      <c r="O209" s="11"/>
      <c r="P209" s="11"/>
      <c r="Q209" s="11"/>
      <c r="R209" s="11"/>
      <c r="S209" s="11"/>
    </row>
    <row r="210" spans="15:19" x14ac:dyDescent="0.3">
      <c r="O210" s="11"/>
      <c r="P210" s="11"/>
      <c r="Q210" s="11"/>
      <c r="R210" s="11"/>
      <c r="S210" s="11"/>
    </row>
    <row r="211" spans="15:19" x14ac:dyDescent="0.3">
      <c r="O211" s="11"/>
      <c r="P211" s="11"/>
      <c r="Q211" s="11"/>
      <c r="R211" s="11"/>
      <c r="S211" s="11"/>
    </row>
    <row r="212" spans="15:19" x14ac:dyDescent="0.3">
      <c r="O212" s="11"/>
      <c r="P212" s="11"/>
      <c r="Q212" s="11"/>
      <c r="R212" s="11"/>
      <c r="S212" s="11"/>
    </row>
    <row r="213" spans="15:19" x14ac:dyDescent="0.3">
      <c r="O213" s="11"/>
      <c r="P213" s="11"/>
      <c r="Q213" s="11"/>
      <c r="R213" s="11"/>
      <c r="S213" s="11"/>
    </row>
    <row r="214" spans="15:19" x14ac:dyDescent="0.3">
      <c r="O214" s="11"/>
      <c r="P214" s="11"/>
      <c r="Q214" s="11"/>
      <c r="R214" s="11"/>
      <c r="S214" s="11"/>
    </row>
    <row r="215" spans="15:19" x14ac:dyDescent="0.3">
      <c r="O215" s="11"/>
      <c r="P215" s="11"/>
      <c r="Q215" s="11"/>
      <c r="R215" s="11"/>
      <c r="S215" s="11"/>
    </row>
    <row r="216" spans="15:19" x14ac:dyDescent="0.3">
      <c r="O216" s="11"/>
      <c r="P216" s="11"/>
      <c r="Q216" s="11"/>
      <c r="R216" s="11"/>
      <c r="S216" s="11"/>
    </row>
  </sheetData>
  <mergeCells count="23">
    <mergeCell ref="B30:D30"/>
    <mergeCell ref="G30:H30"/>
    <mergeCell ref="B31:D31"/>
    <mergeCell ref="G31:H31"/>
    <mergeCell ref="B33:D33"/>
    <mergeCell ref="B27:D27"/>
    <mergeCell ref="G27:H27"/>
    <mergeCell ref="B28:D28"/>
    <mergeCell ref="G28:H28"/>
    <mergeCell ref="B29:D29"/>
    <mergeCell ref="G29:H29"/>
    <mergeCell ref="B24:H24"/>
    <mergeCell ref="B25:D25"/>
    <mergeCell ref="G25:H25"/>
    <mergeCell ref="B26:D26"/>
    <mergeCell ref="G26:H26"/>
    <mergeCell ref="B10:B22"/>
    <mergeCell ref="C10:C22"/>
    <mergeCell ref="D10:D22"/>
    <mergeCell ref="E10:E13"/>
    <mergeCell ref="E14:E15"/>
    <mergeCell ref="E16:E17"/>
    <mergeCell ref="E18:E2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2CD1C-05BD-4483-975A-139301A158AA}">
  <dimension ref="A1:AD194"/>
  <sheetViews>
    <sheetView showGridLines="0" topLeftCell="A18" zoomScale="80" zoomScaleNormal="80" workbookViewId="0">
      <selection activeCell="B35" sqref="B35:D40"/>
    </sheetView>
  </sheetViews>
  <sheetFormatPr baseColWidth="10" defaultColWidth="11.42578125" defaultRowHeight="16.5" x14ac:dyDescent="0.3"/>
  <cols>
    <col min="1" max="1" width="11.42578125" style="12"/>
    <col min="2" max="3" width="20.85546875" style="12" customWidth="1"/>
    <col min="4" max="4" width="13.85546875" style="12" customWidth="1"/>
    <col min="5" max="5" width="19.28515625" style="12" customWidth="1"/>
    <col min="6" max="6" width="26.28515625" style="12" customWidth="1"/>
    <col min="7" max="7" width="10.5703125" style="12" customWidth="1"/>
    <col min="8" max="8" width="9.5703125" style="12" customWidth="1"/>
    <col min="9" max="9" width="11.7109375" style="12" customWidth="1"/>
    <col min="10" max="10" width="11.42578125" style="12" customWidth="1"/>
    <col min="11" max="11" width="14.28515625" style="19" customWidth="1"/>
    <col min="12" max="12" width="11.42578125" style="12"/>
    <col min="13" max="13" width="13" style="12" customWidth="1"/>
    <col min="14" max="16384" width="11.42578125" style="12"/>
  </cols>
  <sheetData>
    <row r="1" spans="1:30" x14ac:dyDescent="0.3">
      <c r="B1" s="169"/>
      <c r="C1" s="170"/>
      <c r="D1" s="170"/>
      <c r="E1" s="170"/>
      <c r="F1" s="170"/>
      <c r="G1" s="170"/>
      <c r="H1" s="170"/>
      <c r="I1" s="170"/>
      <c r="J1" s="170"/>
      <c r="K1" s="199"/>
    </row>
    <row r="2" spans="1:30" x14ac:dyDescent="0.3">
      <c r="B2" s="172"/>
      <c r="K2" s="200"/>
    </row>
    <row r="3" spans="1:30" x14ac:dyDescent="0.3">
      <c r="B3" s="172"/>
      <c r="K3" s="200"/>
    </row>
    <row r="4" spans="1:30" x14ac:dyDescent="0.3">
      <c r="B4" s="172"/>
      <c r="K4" s="200"/>
    </row>
    <row r="5" spans="1:30" x14ac:dyDescent="0.3">
      <c r="B5" s="172"/>
      <c r="K5" s="200"/>
    </row>
    <row r="6" spans="1:30" x14ac:dyDescent="0.3">
      <c r="B6" s="172"/>
      <c r="K6" s="200"/>
    </row>
    <row r="7" spans="1:30" s="46" customFormat="1" ht="17.25" thickBot="1" x14ac:dyDescent="0.35">
      <c r="A7" s="12"/>
      <c r="B7" s="174"/>
      <c r="K7" s="201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8" spans="1:30" ht="18.75" customHeight="1" thickBot="1" x14ac:dyDescent="0.35"/>
    <row r="9" spans="1:30" ht="49.5" customHeight="1" x14ac:dyDescent="0.3">
      <c r="B9" s="202" t="s">
        <v>77</v>
      </c>
      <c r="C9" s="203" t="s">
        <v>41</v>
      </c>
      <c r="D9" s="203" t="s">
        <v>42</v>
      </c>
      <c r="E9" s="204" t="s">
        <v>68</v>
      </c>
      <c r="F9" s="204" t="s">
        <v>185</v>
      </c>
      <c r="G9" s="203" t="s">
        <v>186</v>
      </c>
      <c r="H9" s="203" t="s">
        <v>187</v>
      </c>
      <c r="I9" s="205" t="s">
        <v>257</v>
      </c>
      <c r="J9" s="203" t="s">
        <v>188</v>
      </c>
      <c r="K9" s="206" t="s">
        <v>258</v>
      </c>
    </row>
    <row r="10" spans="1:30" ht="15" customHeight="1" x14ac:dyDescent="0.3">
      <c r="B10" s="324" t="s">
        <v>260</v>
      </c>
      <c r="C10" s="294" t="s">
        <v>192</v>
      </c>
      <c r="D10" s="300">
        <v>1</v>
      </c>
      <c r="E10" s="303" t="s">
        <v>144</v>
      </c>
      <c r="F10" s="53" t="s">
        <v>69</v>
      </c>
      <c r="G10" s="27">
        <f>+D10*I10</f>
        <v>10</v>
      </c>
      <c r="H10" s="27" t="s">
        <v>71</v>
      </c>
      <c r="I10" s="27">
        <v>10</v>
      </c>
      <c r="J10" s="27">
        <v>15</v>
      </c>
      <c r="K10" s="207" t="s">
        <v>76</v>
      </c>
    </row>
    <row r="11" spans="1:30" ht="15" customHeight="1" x14ac:dyDescent="0.3">
      <c r="B11" s="325"/>
      <c r="C11" s="295"/>
      <c r="D11" s="301"/>
      <c r="E11" s="304"/>
      <c r="F11" s="53" t="s">
        <v>72</v>
      </c>
      <c r="G11" s="27">
        <f>+G10*I11</f>
        <v>5</v>
      </c>
      <c r="H11" s="27" t="s">
        <v>73</v>
      </c>
      <c r="I11" s="27">
        <v>0.5</v>
      </c>
      <c r="J11" s="27">
        <v>0</v>
      </c>
      <c r="K11" s="207" t="s">
        <v>76</v>
      </c>
    </row>
    <row r="12" spans="1:30" ht="15" customHeight="1" x14ac:dyDescent="0.3">
      <c r="B12" s="325"/>
      <c r="C12" s="295"/>
      <c r="D12" s="301"/>
      <c r="E12" s="304"/>
      <c r="F12" s="53" t="s">
        <v>74</v>
      </c>
      <c r="G12" s="27">
        <f>+G10*I12</f>
        <v>5</v>
      </c>
      <c r="H12" s="27" t="s">
        <v>73</v>
      </c>
      <c r="I12" s="27">
        <v>0.5</v>
      </c>
      <c r="J12" s="27">
        <v>0</v>
      </c>
      <c r="K12" s="207" t="s">
        <v>76</v>
      </c>
    </row>
    <row r="13" spans="1:30" ht="15" customHeight="1" x14ac:dyDescent="0.3">
      <c r="B13" s="325"/>
      <c r="C13" s="295"/>
      <c r="D13" s="301"/>
      <c r="E13" s="305"/>
      <c r="F13" s="53" t="s">
        <v>75</v>
      </c>
      <c r="G13" s="27">
        <f>+G10*I13</f>
        <v>10</v>
      </c>
      <c r="H13" s="27" t="s">
        <v>73</v>
      </c>
      <c r="I13" s="27">
        <v>1</v>
      </c>
      <c r="J13" s="27">
        <v>0</v>
      </c>
      <c r="K13" s="207" t="s">
        <v>76</v>
      </c>
    </row>
    <row r="14" spans="1:30" ht="15" customHeight="1" x14ac:dyDescent="0.3">
      <c r="B14" s="325"/>
      <c r="C14" s="295"/>
      <c r="D14" s="301"/>
      <c r="E14" s="303" t="s">
        <v>77</v>
      </c>
      <c r="F14" s="26" t="s">
        <v>147</v>
      </c>
      <c r="G14" s="27">
        <f>+(D10*1000)*I14</f>
        <v>1.5</v>
      </c>
      <c r="H14" s="27" t="s">
        <v>73</v>
      </c>
      <c r="I14" s="59">
        <v>1.5E-3</v>
      </c>
      <c r="J14" s="327">
        <v>10</v>
      </c>
      <c r="K14" s="208" t="s">
        <v>76</v>
      </c>
    </row>
    <row r="15" spans="1:30" ht="15" customHeight="1" x14ac:dyDescent="0.3">
      <c r="B15" s="325"/>
      <c r="C15" s="295"/>
      <c r="D15" s="301"/>
      <c r="E15" s="304"/>
      <c r="F15" s="26" t="s">
        <v>49</v>
      </c>
      <c r="G15" s="27">
        <f>+(D10*1000)*I15</f>
        <v>1.5</v>
      </c>
      <c r="H15" s="27" t="s">
        <v>73</v>
      </c>
      <c r="I15" s="59">
        <v>1.5E-3</v>
      </c>
      <c r="J15" s="328"/>
      <c r="K15" s="208"/>
    </row>
    <row r="16" spans="1:30" ht="15" customHeight="1" x14ac:dyDescent="0.3">
      <c r="B16" s="325"/>
      <c r="C16" s="295"/>
      <c r="D16" s="301"/>
      <c r="E16" s="304"/>
      <c r="F16" s="26" t="s">
        <v>149</v>
      </c>
      <c r="G16" s="27">
        <f>+(D10*1000)*I16</f>
        <v>1</v>
      </c>
      <c r="H16" s="27" t="s">
        <v>73</v>
      </c>
      <c r="I16" s="59">
        <v>1E-3</v>
      </c>
      <c r="J16" s="329"/>
      <c r="K16" s="208"/>
    </row>
    <row r="17" spans="2:11" ht="15" customHeight="1" x14ac:dyDescent="0.3">
      <c r="B17" s="325"/>
      <c r="C17" s="295"/>
      <c r="D17" s="301"/>
      <c r="E17" s="305"/>
      <c r="F17" s="53" t="s">
        <v>79</v>
      </c>
      <c r="G17" s="27">
        <f>+G10*I17</f>
        <v>0.3</v>
      </c>
      <c r="H17" s="27" t="s">
        <v>28</v>
      </c>
      <c r="I17" s="58">
        <v>0.03</v>
      </c>
      <c r="J17" s="27">
        <v>20</v>
      </c>
      <c r="K17" s="208" t="s">
        <v>76</v>
      </c>
    </row>
    <row r="18" spans="2:11" ht="15" customHeight="1" x14ac:dyDescent="0.3">
      <c r="B18" s="325"/>
      <c r="C18" s="295"/>
      <c r="D18" s="301"/>
      <c r="E18" s="303" t="s">
        <v>80</v>
      </c>
      <c r="F18" s="53" t="s">
        <v>81</v>
      </c>
      <c r="G18" s="27">
        <f>+G10*I18</f>
        <v>25</v>
      </c>
      <c r="H18" s="27" t="s">
        <v>73</v>
      </c>
      <c r="I18" s="27">
        <v>2.5</v>
      </c>
      <c r="J18" s="27">
        <v>40</v>
      </c>
      <c r="K18" s="207" t="s">
        <v>76</v>
      </c>
    </row>
    <row r="19" spans="2:11" ht="15" customHeight="1" x14ac:dyDescent="0.3">
      <c r="B19" s="325"/>
      <c r="C19" s="295"/>
      <c r="D19" s="301"/>
      <c r="E19" s="305"/>
      <c r="F19" s="53" t="s">
        <v>82</v>
      </c>
      <c r="G19" s="27">
        <f>+G10*I19</f>
        <v>30</v>
      </c>
      <c r="H19" s="27" t="s">
        <v>71</v>
      </c>
      <c r="I19" s="27">
        <v>3</v>
      </c>
      <c r="J19" s="27">
        <v>10</v>
      </c>
      <c r="K19" s="207" t="s">
        <v>76</v>
      </c>
    </row>
    <row r="20" spans="2:11" ht="15" customHeight="1" x14ac:dyDescent="0.3">
      <c r="B20" s="325"/>
      <c r="C20" s="295"/>
      <c r="D20" s="301"/>
      <c r="E20" s="303" t="s">
        <v>146</v>
      </c>
      <c r="F20" s="53" t="s">
        <v>83</v>
      </c>
      <c r="G20" s="27">
        <f>+G10*I20</f>
        <v>10</v>
      </c>
      <c r="H20" s="27" t="s">
        <v>71</v>
      </c>
      <c r="I20" s="27">
        <v>1</v>
      </c>
      <c r="J20" s="27">
        <v>5</v>
      </c>
      <c r="K20" s="207" t="s">
        <v>85</v>
      </c>
    </row>
    <row r="21" spans="2:11" ht="15" customHeight="1" x14ac:dyDescent="0.3">
      <c r="B21" s="325"/>
      <c r="C21" s="295"/>
      <c r="D21" s="301"/>
      <c r="E21" s="304"/>
      <c r="F21" s="53" t="s">
        <v>84</v>
      </c>
      <c r="G21" s="27">
        <f>+G10*I21</f>
        <v>30</v>
      </c>
      <c r="H21" s="27" t="s">
        <v>73</v>
      </c>
      <c r="I21" s="27">
        <v>3</v>
      </c>
      <c r="J21" s="27">
        <v>15</v>
      </c>
      <c r="K21" s="207" t="s">
        <v>85</v>
      </c>
    </row>
    <row r="22" spans="2:11" ht="15" customHeight="1" x14ac:dyDescent="0.3">
      <c r="B22" s="325"/>
      <c r="C22" s="295"/>
      <c r="D22" s="301"/>
      <c r="E22" s="304"/>
      <c r="F22" s="53" t="s">
        <v>82</v>
      </c>
      <c r="G22" s="27">
        <f>+G10*I22</f>
        <v>30</v>
      </c>
      <c r="H22" s="27" t="s">
        <v>71</v>
      </c>
      <c r="I22" s="27">
        <v>3</v>
      </c>
      <c r="J22" s="27">
        <v>15</v>
      </c>
      <c r="K22" s="207" t="s">
        <v>85</v>
      </c>
    </row>
    <row r="23" spans="2:11" ht="15" customHeight="1" x14ac:dyDescent="0.3">
      <c r="B23" s="325"/>
      <c r="C23" s="295"/>
      <c r="D23" s="301"/>
      <c r="E23" s="305"/>
      <c r="F23" s="53" t="s">
        <v>83</v>
      </c>
      <c r="G23" s="27">
        <f>+G10*I23</f>
        <v>5</v>
      </c>
      <c r="H23" s="27" t="s">
        <v>71</v>
      </c>
      <c r="I23" s="27">
        <v>0.5</v>
      </c>
      <c r="J23" s="27">
        <v>5</v>
      </c>
      <c r="K23" s="207" t="s">
        <v>85</v>
      </c>
    </row>
    <row r="24" spans="2:11" ht="15" customHeight="1" thickBot="1" x14ac:dyDescent="0.35">
      <c r="B24" s="326"/>
      <c r="C24" s="296"/>
      <c r="D24" s="302"/>
      <c r="E24" s="218" t="s">
        <v>142</v>
      </c>
      <c r="F24" s="219" t="s">
        <v>150</v>
      </c>
      <c r="G24" s="162">
        <f>+G10*I24</f>
        <v>5</v>
      </c>
      <c r="H24" s="162" t="s">
        <v>73</v>
      </c>
      <c r="I24" s="162">
        <v>0.5</v>
      </c>
      <c r="J24" s="162">
        <v>15</v>
      </c>
      <c r="K24" s="211"/>
    </row>
    <row r="25" spans="2:11" ht="15" customHeight="1" thickBot="1" x14ac:dyDescent="0.35"/>
    <row r="26" spans="2:11" ht="15" customHeight="1" x14ac:dyDescent="0.3">
      <c r="B26" s="312" t="s">
        <v>205</v>
      </c>
      <c r="C26" s="313"/>
      <c r="D26" s="313"/>
      <c r="E26" s="313"/>
      <c r="F26" s="313"/>
      <c r="G26" s="313"/>
      <c r="H26" s="314"/>
    </row>
    <row r="27" spans="2:11" ht="15" customHeight="1" x14ac:dyDescent="0.3">
      <c r="B27" s="306" t="s">
        <v>205</v>
      </c>
      <c r="C27" s="307"/>
      <c r="D27" s="308"/>
      <c r="E27" s="88" t="s">
        <v>206</v>
      </c>
      <c r="F27" s="43" t="s">
        <v>207</v>
      </c>
      <c r="G27" s="315" t="s">
        <v>229</v>
      </c>
      <c r="H27" s="316"/>
    </row>
    <row r="28" spans="2:11" ht="15" customHeight="1" x14ac:dyDescent="0.3">
      <c r="B28" s="309" t="s">
        <v>210</v>
      </c>
      <c r="C28" s="310"/>
      <c r="D28" s="311"/>
      <c r="E28" s="27">
        <v>1</v>
      </c>
      <c r="F28" s="60" t="s">
        <v>214</v>
      </c>
      <c r="G28" s="320">
        <f>+'MANO OBRA P.'!C35</f>
        <v>28609.121739130438</v>
      </c>
      <c r="H28" s="321"/>
    </row>
    <row r="29" spans="2:11" ht="15" customHeight="1" x14ac:dyDescent="0.3">
      <c r="B29" s="309" t="s">
        <v>211</v>
      </c>
      <c r="C29" s="310" t="s">
        <v>174</v>
      </c>
      <c r="D29" s="311">
        <v>2.5</v>
      </c>
      <c r="E29" s="27">
        <v>1</v>
      </c>
      <c r="F29" s="60" t="s">
        <v>214</v>
      </c>
      <c r="G29" s="320">
        <f>+'MANO OBRA P.'!C60</f>
        <v>16728.110869565218</v>
      </c>
      <c r="H29" s="321"/>
    </row>
    <row r="30" spans="2:11" ht="15" customHeight="1" x14ac:dyDescent="0.3">
      <c r="B30" s="309" t="s">
        <v>222</v>
      </c>
      <c r="C30" s="310" t="s">
        <v>174</v>
      </c>
      <c r="D30" s="311">
        <v>2.5</v>
      </c>
      <c r="E30" s="27">
        <v>1</v>
      </c>
      <c r="F30" s="60" t="s">
        <v>214</v>
      </c>
      <c r="G30" s="320">
        <f>+'MANO OBRA P.'!C85</f>
        <v>13072.415217391304</v>
      </c>
      <c r="H30" s="321"/>
    </row>
    <row r="31" spans="2:11" ht="15" customHeight="1" x14ac:dyDescent="0.3">
      <c r="B31" s="309" t="s">
        <v>212</v>
      </c>
      <c r="C31" s="310" t="s">
        <v>174</v>
      </c>
      <c r="D31" s="311">
        <v>1</v>
      </c>
      <c r="E31" s="27">
        <v>1</v>
      </c>
      <c r="F31" s="60" t="s">
        <v>214</v>
      </c>
      <c r="G31" s="320">
        <f>+'MANO OBRA P.'!C85</f>
        <v>13072.415217391304</v>
      </c>
      <c r="H31" s="321"/>
    </row>
    <row r="32" spans="2:11" ht="15" customHeight="1" x14ac:dyDescent="0.3">
      <c r="B32" s="309" t="s">
        <v>213</v>
      </c>
      <c r="C32" s="310" t="s">
        <v>174</v>
      </c>
      <c r="D32" s="311">
        <v>1.5</v>
      </c>
      <c r="E32" s="27">
        <v>1</v>
      </c>
      <c r="F32" s="60" t="s">
        <v>214</v>
      </c>
      <c r="G32" s="320">
        <f>+'MANO OBRA P.'!C85</f>
        <v>13072.415217391304</v>
      </c>
      <c r="H32" s="321"/>
    </row>
    <row r="33" spans="2:8" ht="15" customHeight="1" thickBot="1" x14ac:dyDescent="0.35">
      <c r="B33" s="317" t="s">
        <v>221</v>
      </c>
      <c r="C33" s="318" t="s">
        <v>174</v>
      </c>
      <c r="D33" s="319">
        <v>1</v>
      </c>
      <c r="E33" s="162">
        <v>1</v>
      </c>
      <c r="F33" s="213" t="s">
        <v>214</v>
      </c>
      <c r="G33" s="322">
        <f>+'MANO OBRA P.'!C110</f>
        <v>13986.339130434782</v>
      </c>
      <c r="H33" s="323"/>
    </row>
    <row r="34" spans="2:8" ht="15" customHeight="1" thickBot="1" x14ac:dyDescent="0.35">
      <c r="B34" s="57"/>
      <c r="C34" s="57"/>
      <c r="D34" s="57"/>
      <c r="E34" s="19"/>
      <c r="F34" s="57"/>
      <c r="G34" s="86"/>
      <c r="H34" s="86"/>
    </row>
    <row r="35" spans="2:8" ht="15" customHeight="1" x14ac:dyDescent="0.3">
      <c r="B35" s="312" t="s">
        <v>217</v>
      </c>
      <c r="C35" s="313"/>
      <c r="D35" s="314"/>
    </row>
    <row r="36" spans="2:8" ht="15" customHeight="1" x14ac:dyDescent="0.3">
      <c r="B36" s="214" t="s">
        <v>243</v>
      </c>
      <c r="C36" s="44" t="s">
        <v>230</v>
      </c>
      <c r="D36" s="215" t="s">
        <v>231</v>
      </c>
    </row>
    <row r="37" spans="2:8" ht="15" customHeight="1" x14ac:dyDescent="0.3">
      <c r="B37" s="151" t="s">
        <v>169</v>
      </c>
      <c r="C37" s="27" t="s">
        <v>71</v>
      </c>
      <c r="D37" s="216">
        <f>+CIF!G13</f>
        <v>8.4257996768982224</v>
      </c>
    </row>
    <row r="38" spans="2:8" ht="15" customHeight="1" x14ac:dyDescent="0.3">
      <c r="B38" s="151" t="s">
        <v>39</v>
      </c>
      <c r="C38" s="27" t="s">
        <v>214</v>
      </c>
      <c r="D38" s="152">
        <f>+CIF!G17</f>
        <v>9015.703846153845</v>
      </c>
    </row>
    <row r="39" spans="2:8" ht="15" customHeight="1" x14ac:dyDescent="0.3">
      <c r="B39" s="151" t="s">
        <v>40</v>
      </c>
      <c r="C39" s="27" t="s">
        <v>214</v>
      </c>
      <c r="D39" s="152">
        <f>+CIF!G21</f>
        <v>56187.532051282054</v>
      </c>
    </row>
    <row r="40" spans="2:8" ht="15" customHeight="1" thickBot="1" x14ac:dyDescent="0.35">
      <c r="B40" s="161" t="s">
        <v>175</v>
      </c>
      <c r="C40" s="162" t="s">
        <v>214</v>
      </c>
      <c r="D40" s="160">
        <f>+CIF!F25</f>
        <v>8012.8205128205127</v>
      </c>
    </row>
    <row r="41" spans="2:8" ht="14.25" customHeight="1" x14ac:dyDescent="0.3"/>
    <row r="45" spans="2:8" ht="16.5" customHeight="1" x14ac:dyDescent="0.3"/>
    <row r="70" ht="16.5" customHeight="1" x14ac:dyDescent="0.3"/>
    <row r="151" ht="16.5" customHeight="1" x14ac:dyDescent="0.3"/>
    <row r="169" spans="15:19" x14ac:dyDescent="0.3">
      <c r="O169" s="11"/>
      <c r="P169" s="11"/>
      <c r="Q169" s="11"/>
      <c r="R169" s="11"/>
      <c r="S169" s="11"/>
    </row>
    <row r="170" spans="15:19" ht="16.5" customHeight="1" x14ac:dyDescent="0.3">
      <c r="O170" s="11"/>
      <c r="P170" s="11"/>
      <c r="Q170" s="11"/>
      <c r="R170" s="11"/>
      <c r="S170" s="11"/>
    </row>
    <row r="171" spans="15:19" x14ac:dyDescent="0.3">
      <c r="O171" s="11"/>
      <c r="P171" s="11"/>
      <c r="Q171" s="11"/>
      <c r="R171" s="11"/>
      <c r="S171" s="11"/>
    </row>
    <row r="172" spans="15:19" x14ac:dyDescent="0.3">
      <c r="O172" s="11"/>
      <c r="P172" s="11"/>
      <c r="Q172" s="11"/>
      <c r="R172" s="11"/>
      <c r="S172" s="11"/>
    </row>
    <row r="173" spans="15:19" x14ac:dyDescent="0.3">
      <c r="O173" s="11"/>
      <c r="P173" s="11"/>
      <c r="Q173" s="11"/>
      <c r="R173" s="11"/>
      <c r="S173" s="11"/>
    </row>
    <row r="174" spans="15:19" x14ac:dyDescent="0.3">
      <c r="O174" s="11"/>
      <c r="P174" s="11"/>
      <c r="Q174" s="11"/>
      <c r="R174" s="11"/>
      <c r="S174" s="11"/>
    </row>
    <row r="175" spans="15:19" x14ac:dyDescent="0.3">
      <c r="O175" s="11"/>
      <c r="P175" s="11"/>
      <c r="Q175" s="11"/>
      <c r="R175" s="11"/>
      <c r="S175" s="11"/>
    </row>
    <row r="176" spans="15:19" x14ac:dyDescent="0.3">
      <c r="O176" s="11"/>
      <c r="P176" s="11"/>
      <c r="Q176" s="11"/>
      <c r="R176" s="11"/>
      <c r="S176" s="11"/>
    </row>
    <row r="177" spans="15:19" x14ac:dyDescent="0.3">
      <c r="O177" s="11"/>
      <c r="P177" s="11"/>
      <c r="Q177" s="11"/>
      <c r="R177" s="11"/>
      <c r="S177" s="11"/>
    </row>
    <row r="178" spans="15:19" x14ac:dyDescent="0.3">
      <c r="O178" s="11"/>
      <c r="P178" s="11"/>
      <c r="Q178" s="11"/>
      <c r="R178" s="11"/>
      <c r="S178" s="11"/>
    </row>
    <row r="179" spans="15:19" x14ac:dyDescent="0.3">
      <c r="O179" s="11"/>
      <c r="P179" s="11"/>
      <c r="Q179" s="11"/>
      <c r="R179" s="11"/>
      <c r="S179" s="11"/>
    </row>
    <row r="180" spans="15:19" x14ac:dyDescent="0.3">
      <c r="O180" s="11"/>
      <c r="P180" s="11"/>
      <c r="Q180" s="11"/>
      <c r="R180" s="11"/>
      <c r="S180" s="11"/>
    </row>
    <row r="181" spans="15:19" x14ac:dyDescent="0.3">
      <c r="O181" s="11"/>
      <c r="P181" s="11"/>
      <c r="Q181" s="11"/>
      <c r="R181" s="11"/>
      <c r="S181" s="11"/>
    </row>
    <row r="182" spans="15:19" x14ac:dyDescent="0.3">
      <c r="O182" s="11"/>
      <c r="P182" s="11"/>
      <c r="Q182" s="11"/>
      <c r="R182" s="11"/>
      <c r="S182" s="11"/>
    </row>
    <row r="183" spans="15:19" x14ac:dyDescent="0.3">
      <c r="O183" s="11"/>
      <c r="P183" s="11"/>
      <c r="Q183" s="11"/>
      <c r="R183" s="11"/>
      <c r="S183" s="11"/>
    </row>
    <row r="184" spans="15:19" x14ac:dyDescent="0.3">
      <c r="O184" s="11"/>
      <c r="P184" s="11"/>
      <c r="Q184" s="11"/>
      <c r="R184" s="11"/>
      <c r="S184" s="11"/>
    </row>
    <row r="185" spans="15:19" x14ac:dyDescent="0.3">
      <c r="O185" s="11"/>
      <c r="P185" s="11"/>
      <c r="Q185" s="11"/>
      <c r="R185" s="11"/>
      <c r="S185" s="11"/>
    </row>
    <row r="186" spans="15:19" x14ac:dyDescent="0.3">
      <c r="O186" s="11"/>
      <c r="P186" s="11"/>
      <c r="Q186" s="11"/>
      <c r="R186" s="11"/>
      <c r="S186" s="11"/>
    </row>
    <row r="187" spans="15:19" x14ac:dyDescent="0.3">
      <c r="O187" s="11"/>
      <c r="P187" s="11"/>
      <c r="Q187" s="11"/>
      <c r="R187" s="11"/>
      <c r="S187" s="11"/>
    </row>
    <row r="188" spans="15:19" x14ac:dyDescent="0.3">
      <c r="O188" s="11"/>
      <c r="P188" s="11"/>
      <c r="Q188" s="11"/>
      <c r="R188" s="11"/>
      <c r="S188" s="11"/>
    </row>
    <row r="189" spans="15:19" x14ac:dyDescent="0.3">
      <c r="O189" s="11"/>
      <c r="P189" s="11"/>
      <c r="Q189" s="11"/>
      <c r="R189" s="11"/>
      <c r="S189" s="11"/>
    </row>
    <row r="190" spans="15:19" x14ac:dyDescent="0.3">
      <c r="O190" s="11"/>
      <c r="P190" s="11"/>
      <c r="Q190" s="11"/>
      <c r="R190" s="11"/>
      <c r="S190" s="11"/>
    </row>
    <row r="191" spans="15:19" x14ac:dyDescent="0.3">
      <c r="O191" s="11"/>
      <c r="P191" s="11"/>
      <c r="Q191" s="11"/>
      <c r="R191" s="11"/>
      <c r="S191" s="11"/>
    </row>
    <row r="192" spans="15:19" x14ac:dyDescent="0.3">
      <c r="O192" s="11"/>
      <c r="P192" s="11"/>
      <c r="Q192" s="11"/>
      <c r="R192" s="11"/>
      <c r="S192" s="11"/>
    </row>
    <row r="193" spans="15:19" x14ac:dyDescent="0.3">
      <c r="O193" s="11"/>
      <c r="P193" s="11"/>
      <c r="Q193" s="11"/>
      <c r="R193" s="11"/>
      <c r="S193" s="11"/>
    </row>
    <row r="194" spans="15:19" x14ac:dyDescent="0.3">
      <c r="O194" s="11"/>
      <c r="P194" s="11"/>
      <c r="Q194" s="11"/>
      <c r="R194" s="11"/>
      <c r="S194" s="11"/>
    </row>
  </sheetData>
  <mergeCells count="24">
    <mergeCell ref="B32:D32"/>
    <mergeCell ref="G32:H32"/>
    <mergeCell ref="B33:D33"/>
    <mergeCell ref="G33:H33"/>
    <mergeCell ref="B35:D35"/>
    <mergeCell ref="B29:D29"/>
    <mergeCell ref="G29:H29"/>
    <mergeCell ref="B30:D30"/>
    <mergeCell ref="G30:H30"/>
    <mergeCell ref="B31:D31"/>
    <mergeCell ref="G31:H31"/>
    <mergeCell ref="B26:H26"/>
    <mergeCell ref="B27:D27"/>
    <mergeCell ref="G27:H27"/>
    <mergeCell ref="B28:D28"/>
    <mergeCell ref="G28:H28"/>
    <mergeCell ref="E20:E23"/>
    <mergeCell ref="J14:J16"/>
    <mergeCell ref="B10:B24"/>
    <mergeCell ref="C10:C24"/>
    <mergeCell ref="D10:D24"/>
    <mergeCell ref="E10:E13"/>
    <mergeCell ref="E14:E17"/>
    <mergeCell ref="E18:E19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5FC14-B61A-4795-BCEE-5095CBA5E52C}">
  <dimension ref="A1:AU163"/>
  <sheetViews>
    <sheetView showGridLines="0" topLeftCell="A21" zoomScale="80" zoomScaleNormal="80" workbookViewId="0">
      <selection activeCell="B35" sqref="B35:D40"/>
    </sheetView>
  </sheetViews>
  <sheetFormatPr baseColWidth="10" defaultColWidth="11.42578125" defaultRowHeight="16.5" x14ac:dyDescent="0.3"/>
  <cols>
    <col min="1" max="1" width="11.42578125" style="12"/>
    <col min="2" max="4" width="21.140625" style="12" customWidth="1"/>
    <col min="5" max="5" width="20" style="12" customWidth="1"/>
    <col min="6" max="6" width="26.28515625" style="12" customWidth="1"/>
    <col min="7" max="10" width="11.42578125" style="12" customWidth="1"/>
    <col min="11" max="11" width="11.28515625" style="19" customWidth="1"/>
    <col min="12" max="12" width="11.42578125" style="12"/>
    <col min="13" max="13" width="13" style="12" customWidth="1"/>
    <col min="14" max="16384" width="11.42578125" style="12"/>
  </cols>
  <sheetData>
    <row r="1" spans="1:47" x14ac:dyDescent="0.3">
      <c r="B1" s="169"/>
      <c r="C1" s="170"/>
      <c r="D1" s="170"/>
      <c r="E1" s="170"/>
      <c r="F1" s="170"/>
      <c r="G1" s="170"/>
      <c r="H1" s="170"/>
      <c r="I1" s="170"/>
      <c r="J1" s="170"/>
      <c r="K1" s="199"/>
    </row>
    <row r="2" spans="1:47" x14ac:dyDescent="0.3">
      <c r="B2" s="172"/>
      <c r="K2" s="200"/>
    </row>
    <row r="3" spans="1:47" x14ac:dyDescent="0.3">
      <c r="B3" s="172"/>
      <c r="K3" s="200"/>
    </row>
    <row r="4" spans="1:47" x14ac:dyDescent="0.3">
      <c r="B4" s="172"/>
      <c r="K4" s="200"/>
    </row>
    <row r="5" spans="1:47" x14ac:dyDescent="0.3">
      <c r="B5" s="172"/>
      <c r="K5" s="200"/>
    </row>
    <row r="6" spans="1:47" x14ac:dyDescent="0.3">
      <c r="B6" s="172"/>
      <c r="K6" s="200"/>
    </row>
    <row r="7" spans="1:47" s="46" customFormat="1" ht="17.25" thickBot="1" x14ac:dyDescent="0.35">
      <c r="A7" s="12"/>
      <c r="B7" s="174"/>
      <c r="K7" s="201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</row>
    <row r="8" spans="1:47" ht="17.25" thickBot="1" x14ac:dyDescent="0.35"/>
    <row r="9" spans="1:47" ht="63.75" customHeight="1" x14ac:dyDescent="0.3">
      <c r="B9" s="202" t="s">
        <v>77</v>
      </c>
      <c r="C9" s="203" t="s">
        <v>41</v>
      </c>
      <c r="D9" s="203" t="s">
        <v>42</v>
      </c>
      <c r="E9" s="204" t="s">
        <v>68</v>
      </c>
      <c r="F9" s="204" t="s">
        <v>185</v>
      </c>
      <c r="G9" s="203" t="s">
        <v>186</v>
      </c>
      <c r="H9" s="203" t="s">
        <v>259</v>
      </c>
      <c r="I9" s="203" t="s">
        <v>257</v>
      </c>
      <c r="J9" s="203" t="s">
        <v>188</v>
      </c>
      <c r="K9" s="206" t="s">
        <v>258</v>
      </c>
    </row>
    <row r="10" spans="1:47" ht="15" customHeight="1" x14ac:dyDescent="0.3">
      <c r="B10" s="324" t="s">
        <v>193</v>
      </c>
      <c r="C10" s="294" t="s">
        <v>194</v>
      </c>
      <c r="D10" s="300">
        <v>1</v>
      </c>
      <c r="E10" s="303" t="s">
        <v>144</v>
      </c>
      <c r="F10" s="53" t="s">
        <v>69</v>
      </c>
      <c r="G10" s="27">
        <f>+D10*I10</f>
        <v>10</v>
      </c>
      <c r="H10" s="27" t="s">
        <v>71</v>
      </c>
      <c r="I10" s="27">
        <v>10</v>
      </c>
      <c r="J10" s="27">
        <v>15</v>
      </c>
      <c r="K10" s="207" t="s">
        <v>76</v>
      </c>
    </row>
    <row r="11" spans="1:47" ht="15" customHeight="1" x14ac:dyDescent="0.3">
      <c r="B11" s="325"/>
      <c r="C11" s="295"/>
      <c r="D11" s="301"/>
      <c r="E11" s="304"/>
      <c r="F11" s="53" t="s">
        <v>72</v>
      </c>
      <c r="G11" s="27">
        <f>+G10*I11</f>
        <v>5</v>
      </c>
      <c r="H11" s="27" t="s">
        <v>73</v>
      </c>
      <c r="I11" s="27">
        <v>0.5</v>
      </c>
      <c r="J11" s="27">
        <v>0</v>
      </c>
      <c r="K11" s="207" t="s">
        <v>76</v>
      </c>
    </row>
    <row r="12" spans="1:47" ht="15" customHeight="1" x14ac:dyDescent="0.3">
      <c r="B12" s="325"/>
      <c r="C12" s="295"/>
      <c r="D12" s="301"/>
      <c r="E12" s="304"/>
      <c r="F12" s="53" t="s">
        <v>74</v>
      </c>
      <c r="G12" s="27">
        <f>+G10*I12</f>
        <v>5</v>
      </c>
      <c r="H12" s="27" t="s">
        <v>73</v>
      </c>
      <c r="I12" s="27">
        <v>0.5</v>
      </c>
      <c r="J12" s="27">
        <v>0</v>
      </c>
      <c r="K12" s="207" t="s">
        <v>76</v>
      </c>
    </row>
    <row r="13" spans="1:47" ht="15" customHeight="1" x14ac:dyDescent="0.3">
      <c r="B13" s="325"/>
      <c r="C13" s="295"/>
      <c r="D13" s="301"/>
      <c r="E13" s="305"/>
      <c r="F13" s="53" t="s">
        <v>75</v>
      </c>
      <c r="G13" s="27">
        <f>+G10*I13</f>
        <v>10</v>
      </c>
      <c r="H13" s="27" t="s">
        <v>73</v>
      </c>
      <c r="I13" s="27">
        <v>1</v>
      </c>
      <c r="J13" s="27">
        <v>0</v>
      </c>
      <c r="K13" s="207" t="s">
        <v>76</v>
      </c>
    </row>
    <row r="14" spans="1:47" ht="15" customHeight="1" x14ac:dyDescent="0.3">
      <c r="B14" s="325"/>
      <c r="C14" s="295"/>
      <c r="D14" s="301"/>
      <c r="E14" s="303" t="s">
        <v>77</v>
      </c>
      <c r="F14" s="26" t="s">
        <v>147</v>
      </c>
      <c r="G14" s="27">
        <f>(D10*1000)*I14</f>
        <v>15</v>
      </c>
      <c r="H14" s="27" t="s">
        <v>73</v>
      </c>
      <c r="I14" s="59">
        <v>1.4999999999999999E-2</v>
      </c>
      <c r="J14" s="327">
        <v>10</v>
      </c>
      <c r="K14" s="208" t="s">
        <v>76</v>
      </c>
    </row>
    <row r="15" spans="1:47" ht="15" customHeight="1" x14ac:dyDescent="0.3">
      <c r="B15" s="325"/>
      <c r="C15" s="295"/>
      <c r="D15" s="301"/>
      <c r="E15" s="304"/>
      <c r="F15" s="26" t="s">
        <v>148</v>
      </c>
      <c r="G15" s="27">
        <f>(D10*1000)*I15</f>
        <v>14.5</v>
      </c>
      <c r="H15" s="27" t="s">
        <v>73</v>
      </c>
      <c r="I15" s="59">
        <v>1.4500000000000001E-2</v>
      </c>
      <c r="J15" s="328"/>
      <c r="K15" s="208"/>
    </row>
    <row r="16" spans="1:47" ht="15" customHeight="1" x14ac:dyDescent="0.3">
      <c r="B16" s="325"/>
      <c r="C16" s="295"/>
      <c r="D16" s="301"/>
      <c r="E16" s="304"/>
      <c r="F16" s="26" t="s">
        <v>149</v>
      </c>
      <c r="G16" s="27">
        <f>(D10*1000)*I16</f>
        <v>18</v>
      </c>
      <c r="H16" s="27" t="s">
        <v>73</v>
      </c>
      <c r="I16" s="59">
        <v>1.7999999999999999E-2</v>
      </c>
      <c r="J16" s="329"/>
      <c r="K16" s="208"/>
    </row>
    <row r="17" spans="2:11" ht="15" customHeight="1" x14ac:dyDescent="0.3">
      <c r="B17" s="325"/>
      <c r="C17" s="295"/>
      <c r="D17" s="301"/>
      <c r="E17" s="305"/>
      <c r="F17" s="53" t="s">
        <v>79</v>
      </c>
      <c r="G17" s="27">
        <f>+G10*I17</f>
        <v>0.89999999999999991</v>
      </c>
      <c r="H17" s="27" t="s">
        <v>28</v>
      </c>
      <c r="I17" s="58">
        <v>0.09</v>
      </c>
      <c r="J17" s="27">
        <v>20</v>
      </c>
      <c r="K17" s="208" t="s">
        <v>76</v>
      </c>
    </row>
    <row r="18" spans="2:11" ht="15" customHeight="1" x14ac:dyDescent="0.3">
      <c r="B18" s="325"/>
      <c r="C18" s="295"/>
      <c r="D18" s="301"/>
      <c r="E18" s="303" t="s">
        <v>80</v>
      </c>
      <c r="F18" s="53" t="s">
        <v>81</v>
      </c>
      <c r="G18" s="27">
        <f>+G10*I18</f>
        <v>50</v>
      </c>
      <c r="H18" s="27" t="s">
        <v>73</v>
      </c>
      <c r="I18" s="27">
        <v>5</v>
      </c>
      <c r="J18" s="27">
        <v>40</v>
      </c>
      <c r="K18" s="207" t="s">
        <v>76</v>
      </c>
    </row>
    <row r="19" spans="2:11" ht="15" customHeight="1" x14ac:dyDescent="0.3">
      <c r="B19" s="325"/>
      <c r="C19" s="295"/>
      <c r="D19" s="301"/>
      <c r="E19" s="305"/>
      <c r="F19" s="53" t="s">
        <v>82</v>
      </c>
      <c r="G19" s="27">
        <f>+G10*I19</f>
        <v>30</v>
      </c>
      <c r="H19" s="27" t="s">
        <v>71</v>
      </c>
      <c r="I19" s="27">
        <v>3</v>
      </c>
      <c r="J19" s="27">
        <v>10</v>
      </c>
      <c r="K19" s="207" t="s">
        <v>76</v>
      </c>
    </row>
    <row r="20" spans="2:11" ht="15" customHeight="1" x14ac:dyDescent="0.3">
      <c r="B20" s="325"/>
      <c r="C20" s="295"/>
      <c r="D20" s="301"/>
      <c r="E20" s="303" t="s">
        <v>146</v>
      </c>
      <c r="F20" s="53" t="s">
        <v>83</v>
      </c>
      <c r="G20" s="27">
        <f>+G10*I20</f>
        <v>10</v>
      </c>
      <c r="H20" s="27" t="s">
        <v>71</v>
      </c>
      <c r="I20" s="27">
        <v>1</v>
      </c>
      <c r="J20" s="27">
        <v>5</v>
      </c>
      <c r="K20" s="207" t="s">
        <v>85</v>
      </c>
    </row>
    <row r="21" spans="2:11" ht="15" customHeight="1" x14ac:dyDescent="0.3">
      <c r="B21" s="325"/>
      <c r="C21" s="295"/>
      <c r="D21" s="301"/>
      <c r="E21" s="304"/>
      <c r="F21" s="53" t="s">
        <v>84</v>
      </c>
      <c r="G21" s="27">
        <f>+G10*I21</f>
        <v>30</v>
      </c>
      <c r="H21" s="27" t="s">
        <v>73</v>
      </c>
      <c r="I21" s="27">
        <v>3</v>
      </c>
      <c r="J21" s="27">
        <v>15</v>
      </c>
      <c r="K21" s="207" t="s">
        <v>85</v>
      </c>
    </row>
    <row r="22" spans="2:11" ht="15" customHeight="1" x14ac:dyDescent="0.3">
      <c r="B22" s="325"/>
      <c r="C22" s="295"/>
      <c r="D22" s="301"/>
      <c r="E22" s="304"/>
      <c r="F22" s="53" t="s">
        <v>82</v>
      </c>
      <c r="G22" s="27">
        <f>+G10*I22</f>
        <v>30</v>
      </c>
      <c r="H22" s="27" t="s">
        <v>71</v>
      </c>
      <c r="I22" s="27">
        <v>3</v>
      </c>
      <c r="J22" s="27">
        <v>15</v>
      </c>
      <c r="K22" s="207" t="s">
        <v>85</v>
      </c>
    </row>
    <row r="23" spans="2:11" ht="15" customHeight="1" x14ac:dyDescent="0.3">
      <c r="B23" s="325"/>
      <c r="C23" s="295"/>
      <c r="D23" s="301"/>
      <c r="E23" s="305"/>
      <c r="F23" s="53" t="s">
        <v>83</v>
      </c>
      <c r="G23" s="27">
        <f>+G10*I23</f>
        <v>5</v>
      </c>
      <c r="H23" s="27" t="s">
        <v>71</v>
      </c>
      <c r="I23" s="27">
        <v>0.5</v>
      </c>
      <c r="J23" s="27">
        <v>5</v>
      </c>
      <c r="K23" s="207" t="s">
        <v>85</v>
      </c>
    </row>
    <row r="24" spans="2:11" ht="15" customHeight="1" thickBot="1" x14ac:dyDescent="0.35">
      <c r="B24" s="326"/>
      <c r="C24" s="296"/>
      <c r="D24" s="302"/>
      <c r="E24" s="218" t="s">
        <v>142</v>
      </c>
      <c r="F24" s="210" t="s">
        <v>151</v>
      </c>
      <c r="G24" s="162">
        <f>+G10*I24</f>
        <v>5</v>
      </c>
      <c r="H24" s="162" t="s">
        <v>73</v>
      </c>
      <c r="I24" s="162">
        <v>0.5</v>
      </c>
      <c r="J24" s="162">
        <v>15</v>
      </c>
      <c r="K24" s="211"/>
    </row>
    <row r="25" spans="2:11" ht="15" customHeight="1" thickBot="1" x14ac:dyDescent="0.35"/>
    <row r="26" spans="2:11" ht="15" customHeight="1" x14ac:dyDescent="0.3">
      <c r="B26" s="312" t="s">
        <v>205</v>
      </c>
      <c r="C26" s="313"/>
      <c r="D26" s="313"/>
      <c r="E26" s="313"/>
      <c r="F26" s="313"/>
      <c r="G26" s="313"/>
      <c r="H26" s="314"/>
    </row>
    <row r="27" spans="2:11" ht="15" customHeight="1" x14ac:dyDescent="0.3">
      <c r="B27" s="306" t="s">
        <v>205</v>
      </c>
      <c r="C27" s="307"/>
      <c r="D27" s="308"/>
      <c r="E27" s="88" t="s">
        <v>206</v>
      </c>
      <c r="F27" s="43" t="s">
        <v>207</v>
      </c>
      <c r="G27" s="315" t="s">
        <v>229</v>
      </c>
      <c r="H27" s="316"/>
    </row>
    <row r="28" spans="2:11" ht="15" customHeight="1" x14ac:dyDescent="0.3">
      <c r="B28" s="309" t="s">
        <v>210</v>
      </c>
      <c r="C28" s="310"/>
      <c r="D28" s="311"/>
      <c r="E28" s="27">
        <v>1</v>
      </c>
      <c r="F28" s="60" t="s">
        <v>214</v>
      </c>
      <c r="G28" s="320">
        <f>+'MANO OBRA P.'!C35</f>
        <v>28609.121739130438</v>
      </c>
      <c r="H28" s="321"/>
    </row>
    <row r="29" spans="2:11" ht="15" customHeight="1" x14ac:dyDescent="0.3">
      <c r="B29" s="309" t="s">
        <v>211</v>
      </c>
      <c r="C29" s="310" t="s">
        <v>174</v>
      </c>
      <c r="D29" s="311">
        <v>2.5</v>
      </c>
      <c r="E29" s="27">
        <v>1</v>
      </c>
      <c r="F29" s="60" t="s">
        <v>214</v>
      </c>
      <c r="G29" s="320">
        <f>+'MANO OBRA P.'!C60</f>
        <v>16728.110869565218</v>
      </c>
      <c r="H29" s="321"/>
    </row>
    <row r="30" spans="2:11" ht="15" customHeight="1" x14ac:dyDescent="0.3">
      <c r="B30" s="309" t="s">
        <v>222</v>
      </c>
      <c r="C30" s="310" t="s">
        <v>174</v>
      </c>
      <c r="D30" s="311">
        <v>2.5</v>
      </c>
      <c r="E30" s="27">
        <v>1</v>
      </c>
      <c r="F30" s="60" t="s">
        <v>214</v>
      </c>
      <c r="G30" s="320">
        <f>+'MANO OBRA P.'!C85</f>
        <v>13072.415217391304</v>
      </c>
      <c r="H30" s="321"/>
    </row>
    <row r="31" spans="2:11" ht="15" customHeight="1" x14ac:dyDescent="0.3">
      <c r="B31" s="309" t="s">
        <v>212</v>
      </c>
      <c r="C31" s="310" t="s">
        <v>174</v>
      </c>
      <c r="D31" s="311">
        <v>1</v>
      </c>
      <c r="E31" s="27">
        <v>1</v>
      </c>
      <c r="F31" s="60" t="s">
        <v>214</v>
      </c>
      <c r="G31" s="320">
        <f>+'MANO OBRA P.'!C85</f>
        <v>13072.415217391304</v>
      </c>
      <c r="H31" s="321"/>
    </row>
    <row r="32" spans="2:11" ht="15" customHeight="1" x14ac:dyDescent="0.3">
      <c r="B32" s="309" t="s">
        <v>213</v>
      </c>
      <c r="C32" s="310" t="s">
        <v>174</v>
      </c>
      <c r="D32" s="311">
        <v>1.5</v>
      </c>
      <c r="E32" s="27">
        <v>1</v>
      </c>
      <c r="F32" s="60" t="s">
        <v>214</v>
      </c>
      <c r="G32" s="320">
        <f>+'MANO OBRA P.'!C85</f>
        <v>13072.415217391304</v>
      </c>
      <c r="H32" s="321"/>
    </row>
    <row r="33" spans="2:8" ht="15" customHeight="1" thickBot="1" x14ac:dyDescent="0.35">
      <c r="B33" s="317" t="s">
        <v>221</v>
      </c>
      <c r="C33" s="318" t="s">
        <v>174</v>
      </c>
      <c r="D33" s="319">
        <v>1</v>
      </c>
      <c r="E33" s="162">
        <v>1</v>
      </c>
      <c r="F33" s="213" t="s">
        <v>214</v>
      </c>
      <c r="G33" s="322">
        <f>+'MANO OBRA P.'!C110</f>
        <v>13986.339130434782</v>
      </c>
      <c r="H33" s="323"/>
    </row>
    <row r="34" spans="2:8" ht="15" customHeight="1" thickBot="1" x14ac:dyDescent="0.35"/>
    <row r="35" spans="2:8" ht="15" customHeight="1" x14ac:dyDescent="0.3">
      <c r="B35" s="312" t="s">
        <v>217</v>
      </c>
      <c r="C35" s="313"/>
      <c r="D35" s="314"/>
    </row>
    <row r="36" spans="2:8" ht="15" customHeight="1" x14ac:dyDescent="0.3">
      <c r="B36" s="214" t="s">
        <v>243</v>
      </c>
      <c r="C36" s="44" t="s">
        <v>230</v>
      </c>
      <c r="D36" s="215" t="s">
        <v>231</v>
      </c>
    </row>
    <row r="37" spans="2:8" ht="15" customHeight="1" x14ac:dyDescent="0.3">
      <c r="B37" s="151" t="s">
        <v>169</v>
      </c>
      <c r="C37" s="27" t="s">
        <v>71</v>
      </c>
      <c r="D37" s="216">
        <f>+CIF!G13</f>
        <v>8.4257996768982224</v>
      </c>
    </row>
    <row r="38" spans="2:8" ht="15" customHeight="1" x14ac:dyDescent="0.3">
      <c r="B38" s="151" t="s">
        <v>39</v>
      </c>
      <c r="C38" s="27" t="s">
        <v>214</v>
      </c>
      <c r="D38" s="152">
        <f>+CIF!G17</f>
        <v>9015.703846153845</v>
      </c>
    </row>
    <row r="39" spans="2:8" ht="15" customHeight="1" x14ac:dyDescent="0.3">
      <c r="B39" s="151" t="s">
        <v>40</v>
      </c>
      <c r="C39" s="27" t="s">
        <v>214</v>
      </c>
      <c r="D39" s="152">
        <f>+CIF!G21</f>
        <v>56187.532051282054</v>
      </c>
    </row>
    <row r="40" spans="2:8" ht="15" customHeight="1" thickBot="1" x14ac:dyDescent="0.35">
      <c r="B40" s="161" t="s">
        <v>175</v>
      </c>
      <c r="C40" s="162" t="s">
        <v>214</v>
      </c>
      <c r="D40" s="160">
        <f>+CIF!F25</f>
        <v>8012.8205128205127</v>
      </c>
    </row>
    <row r="41" spans="2:8" ht="15" customHeight="1" x14ac:dyDescent="0.3"/>
    <row r="120" ht="16.5" customHeight="1" x14ac:dyDescent="0.3"/>
    <row r="138" spans="15:19" x14ac:dyDescent="0.3">
      <c r="O138" s="11"/>
      <c r="P138" s="11"/>
      <c r="Q138" s="11"/>
      <c r="R138" s="11"/>
      <c r="S138" s="11"/>
    </row>
    <row r="139" spans="15:19" ht="16.5" customHeight="1" x14ac:dyDescent="0.3">
      <c r="O139" s="11"/>
      <c r="P139" s="11"/>
      <c r="Q139" s="11"/>
      <c r="R139" s="11"/>
      <c r="S139" s="11"/>
    </row>
    <row r="140" spans="15:19" x14ac:dyDescent="0.3">
      <c r="O140" s="11"/>
      <c r="P140" s="11"/>
      <c r="Q140" s="11"/>
      <c r="R140" s="11"/>
      <c r="S140" s="11"/>
    </row>
    <row r="141" spans="15:19" x14ac:dyDescent="0.3">
      <c r="O141" s="11"/>
      <c r="P141" s="11"/>
      <c r="Q141" s="11"/>
      <c r="R141" s="11"/>
      <c r="S141" s="11"/>
    </row>
    <row r="142" spans="15:19" x14ac:dyDescent="0.3">
      <c r="O142" s="11"/>
      <c r="P142" s="11"/>
      <c r="Q142" s="11"/>
      <c r="R142" s="11"/>
      <c r="S142" s="11"/>
    </row>
    <row r="143" spans="15:19" x14ac:dyDescent="0.3">
      <c r="O143" s="11"/>
      <c r="P143" s="11"/>
      <c r="Q143" s="11"/>
      <c r="R143" s="11"/>
      <c r="S143" s="11"/>
    </row>
    <row r="144" spans="15:19" x14ac:dyDescent="0.3">
      <c r="O144" s="11"/>
      <c r="P144" s="11"/>
      <c r="Q144" s="11"/>
      <c r="R144" s="11"/>
      <c r="S144" s="11"/>
    </row>
    <row r="145" spans="15:19" x14ac:dyDescent="0.3">
      <c r="O145" s="11"/>
      <c r="P145" s="11"/>
      <c r="Q145" s="11"/>
      <c r="R145" s="11"/>
      <c r="S145" s="11"/>
    </row>
    <row r="146" spans="15:19" x14ac:dyDescent="0.3">
      <c r="O146" s="11"/>
      <c r="P146" s="11"/>
      <c r="Q146" s="11"/>
      <c r="R146" s="11"/>
      <c r="S146" s="11"/>
    </row>
    <row r="147" spans="15:19" x14ac:dyDescent="0.3">
      <c r="O147" s="11"/>
      <c r="P147" s="11"/>
      <c r="Q147" s="11"/>
      <c r="R147" s="11"/>
      <c r="S147" s="11"/>
    </row>
    <row r="148" spans="15:19" x14ac:dyDescent="0.3">
      <c r="O148" s="11"/>
      <c r="P148" s="11"/>
      <c r="Q148" s="11"/>
      <c r="R148" s="11"/>
      <c r="S148" s="11"/>
    </row>
    <row r="149" spans="15:19" x14ac:dyDescent="0.3">
      <c r="O149" s="11"/>
      <c r="P149" s="11"/>
      <c r="Q149" s="11"/>
      <c r="R149" s="11"/>
      <c r="S149" s="11"/>
    </row>
    <row r="150" spans="15:19" x14ac:dyDescent="0.3">
      <c r="O150" s="11"/>
      <c r="P150" s="11"/>
      <c r="Q150" s="11"/>
      <c r="R150" s="11"/>
      <c r="S150" s="11"/>
    </row>
    <row r="151" spans="15:19" x14ac:dyDescent="0.3">
      <c r="O151" s="11"/>
      <c r="P151" s="11"/>
      <c r="Q151" s="11"/>
      <c r="R151" s="11"/>
      <c r="S151" s="11"/>
    </row>
    <row r="152" spans="15:19" x14ac:dyDescent="0.3">
      <c r="O152" s="11"/>
      <c r="P152" s="11"/>
      <c r="Q152" s="11"/>
      <c r="R152" s="11"/>
      <c r="S152" s="11"/>
    </row>
    <row r="153" spans="15:19" x14ac:dyDescent="0.3">
      <c r="O153" s="11"/>
      <c r="P153" s="11"/>
      <c r="Q153" s="11"/>
      <c r="R153" s="11"/>
      <c r="S153" s="11"/>
    </row>
    <row r="154" spans="15:19" x14ac:dyDescent="0.3">
      <c r="O154" s="11"/>
      <c r="P154" s="11"/>
      <c r="Q154" s="11"/>
      <c r="R154" s="11"/>
      <c r="S154" s="11"/>
    </row>
    <row r="155" spans="15:19" x14ac:dyDescent="0.3">
      <c r="O155" s="11"/>
      <c r="P155" s="11"/>
      <c r="Q155" s="11"/>
      <c r="R155" s="11"/>
      <c r="S155" s="11"/>
    </row>
    <row r="156" spans="15:19" x14ac:dyDescent="0.3">
      <c r="O156" s="11"/>
      <c r="P156" s="11"/>
      <c r="Q156" s="11"/>
      <c r="R156" s="11"/>
      <c r="S156" s="11"/>
    </row>
    <row r="157" spans="15:19" x14ac:dyDescent="0.3">
      <c r="O157" s="11"/>
      <c r="P157" s="11"/>
      <c r="Q157" s="11"/>
      <c r="R157" s="11"/>
      <c r="S157" s="11"/>
    </row>
    <row r="158" spans="15:19" x14ac:dyDescent="0.3">
      <c r="O158" s="11"/>
      <c r="P158" s="11"/>
      <c r="Q158" s="11"/>
      <c r="R158" s="11"/>
      <c r="S158" s="11"/>
    </row>
    <row r="159" spans="15:19" x14ac:dyDescent="0.3">
      <c r="O159" s="11"/>
      <c r="P159" s="11"/>
      <c r="Q159" s="11"/>
      <c r="R159" s="11"/>
      <c r="S159" s="11"/>
    </row>
    <row r="160" spans="15:19" x14ac:dyDescent="0.3">
      <c r="O160" s="11"/>
      <c r="P160" s="11"/>
      <c r="Q160" s="11"/>
      <c r="R160" s="11"/>
      <c r="S160" s="11"/>
    </row>
    <row r="161" spans="15:19" x14ac:dyDescent="0.3">
      <c r="O161" s="11"/>
      <c r="P161" s="11"/>
      <c r="Q161" s="11"/>
      <c r="R161" s="11"/>
      <c r="S161" s="11"/>
    </row>
    <row r="162" spans="15:19" x14ac:dyDescent="0.3">
      <c r="O162" s="11"/>
      <c r="P162" s="11"/>
      <c r="Q162" s="11"/>
      <c r="R162" s="11"/>
      <c r="S162" s="11"/>
    </row>
    <row r="163" spans="15:19" x14ac:dyDescent="0.3">
      <c r="O163" s="11"/>
      <c r="P163" s="11"/>
      <c r="Q163" s="11"/>
      <c r="R163" s="11"/>
      <c r="S163" s="11"/>
    </row>
  </sheetData>
  <mergeCells count="24">
    <mergeCell ref="B32:D32"/>
    <mergeCell ref="G32:H32"/>
    <mergeCell ref="B33:D33"/>
    <mergeCell ref="G33:H33"/>
    <mergeCell ref="B35:D35"/>
    <mergeCell ref="B29:D29"/>
    <mergeCell ref="G29:H29"/>
    <mergeCell ref="B30:D30"/>
    <mergeCell ref="G30:H30"/>
    <mergeCell ref="B31:D31"/>
    <mergeCell ref="G31:H31"/>
    <mergeCell ref="B26:H26"/>
    <mergeCell ref="B27:D27"/>
    <mergeCell ref="G27:H27"/>
    <mergeCell ref="B28:D28"/>
    <mergeCell ref="G28:H28"/>
    <mergeCell ref="J14:J16"/>
    <mergeCell ref="E18:E19"/>
    <mergeCell ref="E20:E23"/>
    <mergeCell ref="B10:B24"/>
    <mergeCell ref="C10:C24"/>
    <mergeCell ref="D10:D24"/>
    <mergeCell ref="E10:E13"/>
    <mergeCell ref="E14:E17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09D3C-3AA4-4180-AC75-DA5DE2F932C6}">
  <dimension ref="A1:AE133"/>
  <sheetViews>
    <sheetView showGridLines="0" topLeftCell="A6" zoomScale="80" zoomScaleNormal="80" workbookViewId="0">
      <selection activeCell="F36" sqref="F36"/>
    </sheetView>
  </sheetViews>
  <sheetFormatPr baseColWidth="10" defaultColWidth="11.42578125" defaultRowHeight="16.5" x14ac:dyDescent="0.3"/>
  <cols>
    <col min="1" max="1" width="11.42578125" style="12"/>
    <col min="2" max="4" width="21.28515625" style="12" customWidth="1"/>
    <col min="5" max="5" width="18" style="12" customWidth="1"/>
    <col min="6" max="6" width="27.42578125" style="12" customWidth="1"/>
    <col min="7" max="10" width="11.42578125" style="12" customWidth="1"/>
    <col min="11" max="11" width="10.5703125" style="19" customWidth="1"/>
    <col min="12" max="13" width="11.42578125" style="12"/>
    <col min="14" max="14" width="13" style="12" customWidth="1"/>
    <col min="15" max="16384" width="11.42578125" style="12"/>
  </cols>
  <sheetData>
    <row r="1" spans="1:31" x14ac:dyDescent="0.3">
      <c r="B1" s="169"/>
      <c r="C1" s="170"/>
      <c r="D1" s="170"/>
      <c r="E1" s="170"/>
      <c r="F1" s="170"/>
      <c r="G1" s="170"/>
      <c r="H1" s="170"/>
      <c r="I1" s="170"/>
      <c r="J1" s="170"/>
      <c r="K1" s="199"/>
    </row>
    <row r="2" spans="1:31" x14ac:dyDescent="0.3">
      <c r="B2" s="172"/>
      <c r="K2" s="200"/>
    </row>
    <row r="3" spans="1:31" x14ac:dyDescent="0.3">
      <c r="B3" s="172"/>
      <c r="K3" s="200"/>
    </row>
    <row r="4" spans="1:31" x14ac:dyDescent="0.3">
      <c r="B4" s="172"/>
      <c r="K4" s="200"/>
    </row>
    <row r="5" spans="1:31" x14ac:dyDescent="0.3">
      <c r="B5" s="172"/>
      <c r="K5" s="200"/>
    </row>
    <row r="6" spans="1:31" x14ac:dyDescent="0.3">
      <c r="B6" s="172"/>
      <c r="K6" s="200"/>
    </row>
    <row r="7" spans="1:31" s="46" customFormat="1" ht="17.25" thickBot="1" x14ac:dyDescent="0.35">
      <c r="A7" s="12"/>
      <c r="B7" s="174"/>
      <c r="K7" s="201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</row>
    <row r="8" spans="1:31" ht="15" customHeight="1" thickBot="1" x14ac:dyDescent="0.35"/>
    <row r="9" spans="1:31" ht="56.25" customHeight="1" x14ac:dyDescent="0.3">
      <c r="B9" s="202" t="s">
        <v>77</v>
      </c>
      <c r="C9" s="203" t="s">
        <v>41</v>
      </c>
      <c r="D9" s="203" t="s">
        <v>42</v>
      </c>
      <c r="E9" s="204" t="s">
        <v>68</v>
      </c>
      <c r="F9" s="204" t="s">
        <v>185</v>
      </c>
      <c r="G9" s="203" t="s">
        <v>186</v>
      </c>
      <c r="H9" s="203" t="s">
        <v>187</v>
      </c>
      <c r="I9" s="205" t="s">
        <v>257</v>
      </c>
      <c r="J9" s="203" t="s">
        <v>188</v>
      </c>
      <c r="K9" s="206" t="s">
        <v>258</v>
      </c>
    </row>
    <row r="10" spans="1:31" ht="15" customHeight="1" x14ac:dyDescent="0.3">
      <c r="B10" s="324" t="s">
        <v>261</v>
      </c>
      <c r="C10" s="294" t="s">
        <v>153</v>
      </c>
      <c r="D10" s="300">
        <v>1</v>
      </c>
      <c r="E10" s="303" t="s">
        <v>144</v>
      </c>
      <c r="F10" s="53" t="s">
        <v>69</v>
      </c>
      <c r="G10" s="27">
        <f>+D10*I10</f>
        <v>10</v>
      </c>
      <c r="H10" s="27" t="s">
        <v>71</v>
      </c>
      <c r="I10" s="27">
        <v>10</v>
      </c>
      <c r="J10" s="27">
        <v>15</v>
      </c>
      <c r="K10" s="207" t="s">
        <v>76</v>
      </c>
    </row>
    <row r="11" spans="1:31" ht="15" customHeight="1" x14ac:dyDescent="0.3">
      <c r="B11" s="325"/>
      <c r="C11" s="295"/>
      <c r="D11" s="301"/>
      <c r="E11" s="304"/>
      <c r="F11" s="53" t="s">
        <v>72</v>
      </c>
      <c r="G11" s="27">
        <f>+G10*I11</f>
        <v>5</v>
      </c>
      <c r="H11" s="27" t="s">
        <v>73</v>
      </c>
      <c r="I11" s="27">
        <v>0.5</v>
      </c>
      <c r="J11" s="27">
        <v>0</v>
      </c>
      <c r="K11" s="207" t="s">
        <v>76</v>
      </c>
    </row>
    <row r="12" spans="1:31" ht="15" customHeight="1" x14ac:dyDescent="0.3">
      <c r="B12" s="325"/>
      <c r="C12" s="295"/>
      <c r="D12" s="301"/>
      <c r="E12" s="304"/>
      <c r="F12" s="53" t="s">
        <v>74</v>
      </c>
      <c r="G12" s="27">
        <f>+G10*I12</f>
        <v>5</v>
      </c>
      <c r="H12" s="27" t="s">
        <v>73</v>
      </c>
      <c r="I12" s="27">
        <v>0.5</v>
      </c>
      <c r="J12" s="27">
        <v>0</v>
      </c>
      <c r="K12" s="207" t="s">
        <v>76</v>
      </c>
    </row>
    <row r="13" spans="1:31" ht="15" customHeight="1" x14ac:dyDescent="0.3">
      <c r="B13" s="325"/>
      <c r="C13" s="295"/>
      <c r="D13" s="301"/>
      <c r="E13" s="305"/>
      <c r="F13" s="53" t="s">
        <v>75</v>
      </c>
      <c r="G13" s="27">
        <f>+G10*I13</f>
        <v>10</v>
      </c>
      <c r="H13" s="27" t="s">
        <v>73</v>
      </c>
      <c r="I13" s="27">
        <v>1</v>
      </c>
      <c r="J13" s="27">
        <v>0</v>
      </c>
      <c r="K13" s="207" t="s">
        <v>76</v>
      </c>
    </row>
    <row r="14" spans="1:31" ht="15" customHeight="1" x14ac:dyDescent="0.3">
      <c r="B14" s="325"/>
      <c r="C14" s="295"/>
      <c r="D14" s="301"/>
      <c r="E14" s="304" t="s">
        <v>77</v>
      </c>
      <c r="F14" s="26" t="s">
        <v>154</v>
      </c>
      <c r="G14" s="27">
        <f>(D10*1000)*I14</f>
        <v>1</v>
      </c>
      <c r="H14" s="27" t="s">
        <v>73</v>
      </c>
      <c r="I14" s="59">
        <v>1E-3</v>
      </c>
      <c r="J14" s="50"/>
      <c r="K14" s="208"/>
    </row>
    <row r="15" spans="1:31" ht="15" customHeight="1" x14ac:dyDescent="0.3">
      <c r="B15" s="325"/>
      <c r="C15" s="295"/>
      <c r="D15" s="301"/>
      <c r="E15" s="305"/>
      <c r="F15" s="53" t="s">
        <v>79</v>
      </c>
      <c r="G15" s="27">
        <f>+G10*I15</f>
        <v>0.3</v>
      </c>
      <c r="H15" s="27" t="s">
        <v>28</v>
      </c>
      <c r="I15" s="58">
        <v>0.03</v>
      </c>
      <c r="J15" s="27">
        <v>20</v>
      </c>
      <c r="K15" s="208" t="s">
        <v>76</v>
      </c>
    </row>
    <row r="16" spans="1:31" ht="15" customHeight="1" x14ac:dyDescent="0.3">
      <c r="B16" s="325"/>
      <c r="C16" s="295"/>
      <c r="D16" s="301"/>
      <c r="E16" s="303" t="s">
        <v>80</v>
      </c>
      <c r="F16" s="53" t="s">
        <v>81</v>
      </c>
      <c r="G16" s="27">
        <f>+G10*I16</f>
        <v>25</v>
      </c>
      <c r="H16" s="27" t="s">
        <v>73</v>
      </c>
      <c r="I16" s="27">
        <v>2.5</v>
      </c>
      <c r="J16" s="27">
        <v>40</v>
      </c>
      <c r="K16" s="207" t="s">
        <v>76</v>
      </c>
    </row>
    <row r="17" spans="2:11" ht="15" customHeight="1" x14ac:dyDescent="0.3">
      <c r="B17" s="325"/>
      <c r="C17" s="295"/>
      <c r="D17" s="301"/>
      <c r="E17" s="305"/>
      <c r="F17" s="53" t="s">
        <v>82</v>
      </c>
      <c r="G17" s="27">
        <f>+G10*I17</f>
        <v>30</v>
      </c>
      <c r="H17" s="27" t="s">
        <v>71</v>
      </c>
      <c r="I17" s="27">
        <v>3</v>
      </c>
      <c r="J17" s="27">
        <v>10</v>
      </c>
      <c r="K17" s="207" t="s">
        <v>76</v>
      </c>
    </row>
    <row r="18" spans="2:11" ht="15" customHeight="1" x14ac:dyDescent="0.3">
      <c r="B18" s="325"/>
      <c r="C18" s="295"/>
      <c r="D18" s="301"/>
      <c r="E18" s="303" t="s">
        <v>146</v>
      </c>
      <c r="F18" s="53" t="s">
        <v>83</v>
      </c>
      <c r="G18" s="27">
        <f>+G10*I18</f>
        <v>10</v>
      </c>
      <c r="H18" s="27" t="s">
        <v>71</v>
      </c>
      <c r="I18" s="27">
        <v>1</v>
      </c>
      <c r="J18" s="27">
        <v>5</v>
      </c>
      <c r="K18" s="207" t="s">
        <v>85</v>
      </c>
    </row>
    <row r="19" spans="2:11" ht="15" customHeight="1" x14ac:dyDescent="0.3">
      <c r="B19" s="325"/>
      <c r="C19" s="295"/>
      <c r="D19" s="301"/>
      <c r="E19" s="304"/>
      <c r="F19" s="53" t="s">
        <v>84</v>
      </c>
      <c r="G19" s="27">
        <f>+G10*I19</f>
        <v>30</v>
      </c>
      <c r="H19" s="27" t="s">
        <v>73</v>
      </c>
      <c r="I19" s="27">
        <v>3</v>
      </c>
      <c r="J19" s="27">
        <v>15</v>
      </c>
      <c r="K19" s="207" t="s">
        <v>85</v>
      </c>
    </row>
    <row r="20" spans="2:11" ht="15" customHeight="1" x14ac:dyDescent="0.3">
      <c r="B20" s="325"/>
      <c r="C20" s="295"/>
      <c r="D20" s="301"/>
      <c r="E20" s="304"/>
      <c r="F20" s="53" t="s">
        <v>82</v>
      </c>
      <c r="G20" s="27">
        <f>+G10*I20</f>
        <v>30</v>
      </c>
      <c r="H20" s="27" t="s">
        <v>71</v>
      </c>
      <c r="I20" s="27">
        <v>3</v>
      </c>
      <c r="J20" s="27">
        <v>15</v>
      </c>
      <c r="K20" s="207" t="s">
        <v>85</v>
      </c>
    </row>
    <row r="21" spans="2:11" ht="15" customHeight="1" x14ac:dyDescent="0.3">
      <c r="B21" s="325"/>
      <c r="C21" s="295"/>
      <c r="D21" s="301"/>
      <c r="E21" s="305"/>
      <c r="F21" s="53" t="s">
        <v>83</v>
      </c>
      <c r="G21" s="27">
        <f>+G10*I21</f>
        <v>5</v>
      </c>
      <c r="H21" s="27" t="s">
        <v>71</v>
      </c>
      <c r="I21" s="27">
        <v>0.5</v>
      </c>
      <c r="J21" s="27">
        <v>5</v>
      </c>
      <c r="K21" s="207" t="s">
        <v>85</v>
      </c>
    </row>
    <row r="22" spans="2:11" ht="15" customHeight="1" thickBot="1" x14ac:dyDescent="0.35">
      <c r="B22" s="326"/>
      <c r="C22" s="296"/>
      <c r="D22" s="302"/>
      <c r="E22" s="218" t="s">
        <v>142</v>
      </c>
      <c r="F22" s="219" t="s">
        <v>150</v>
      </c>
      <c r="G22" s="162">
        <f>+G10*I22</f>
        <v>5</v>
      </c>
      <c r="H22" s="162" t="s">
        <v>73</v>
      </c>
      <c r="I22" s="162">
        <v>0.5</v>
      </c>
      <c r="J22" s="162">
        <v>15</v>
      </c>
      <c r="K22" s="211"/>
    </row>
    <row r="23" spans="2:11" ht="15" customHeight="1" thickBot="1" x14ac:dyDescent="0.35"/>
    <row r="24" spans="2:11" ht="15" customHeight="1" x14ac:dyDescent="0.3">
      <c r="B24" s="312" t="s">
        <v>205</v>
      </c>
      <c r="C24" s="313"/>
      <c r="D24" s="313"/>
      <c r="E24" s="313"/>
      <c r="F24" s="313"/>
      <c r="G24" s="313"/>
      <c r="H24" s="314"/>
    </row>
    <row r="25" spans="2:11" ht="15" customHeight="1" x14ac:dyDescent="0.3">
      <c r="B25" s="306" t="s">
        <v>205</v>
      </c>
      <c r="C25" s="307"/>
      <c r="D25" s="308"/>
      <c r="E25" s="88" t="s">
        <v>206</v>
      </c>
      <c r="F25" s="43" t="s">
        <v>207</v>
      </c>
      <c r="G25" s="315" t="s">
        <v>229</v>
      </c>
      <c r="H25" s="316"/>
    </row>
    <row r="26" spans="2:11" ht="15" customHeight="1" x14ac:dyDescent="0.3">
      <c r="B26" s="309" t="s">
        <v>210</v>
      </c>
      <c r="C26" s="310"/>
      <c r="D26" s="311"/>
      <c r="E26" s="27">
        <v>1</v>
      </c>
      <c r="F26" s="60" t="s">
        <v>214</v>
      </c>
      <c r="G26" s="320">
        <f>+'MANO OBRA P.'!C35</f>
        <v>28609.121739130438</v>
      </c>
      <c r="H26" s="321"/>
    </row>
    <row r="27" spans="2:11" ht="15" customHeight="1" x14ac:dyDescent="0.3">
      <c r="B27" s="309" t="s">
        <v>211</v>
      </c>
      <c r="C27" s="310" t="s">
        <v>174</v>
      </c>
      <c r="D27" s="311">
        <v>2.5</v>
      </c>
      <c r="E27" s="27">
        <v>1</v>
      </c>
      <c r="F27" s="60" t="s">
        <v>214</v>
      </c>
      <c r="G27" s="320">
        <f>+'MANO OBRA P.'!C60</f>
        <v>16728.110869565218</v>
      </c>
      <c r="H27" s="321"/>
    </row>
    <row r="28" spans="2:11" ht="15" customHeight="1" x14ac:dyDescent="0.3">
      <c r="B28" s="309" t="s">
        <v>222</v>
      </c>
      <c r="C28" s="310" t="s">
        <v>174</v>
      </c>
      <c r="D28" s="311">
        <v>2.5</v>
      </c>
      <c r="E28" s="27">
        <v>1</v>
      </c>
      <c r="F28" s="60" t="s">
        <v>214</v>
      </c>
      <c r="G28" s="320">
        <f>+'MANO OBRA P.'!C85</f>
        <v>13072.415217391304</v>
      </c>
      <c r="H28" s="321"/>
    </row>
    <row r="29" spans="2:11" ht="15" customHeight="1" x14ac:dyDescent="0.3">
      <c r="B29" s="309" t="s">
        <v>212</v>
      </c>
      <c r="C29" s="310" t="s">
        <v>174</v>
      </c>
      <c r="D29" s="311">
        <v>1</v>
      </c>
      <c r="E29" s="27">
        <v>1</v>
      </c>
      <c r="F29" s="60" t="s">
        <v>214</v>
      </c>
      <c r="G29" s="320">
        <f>+'MANO OBRA P.'!C85</f>
        <v>13072.415217391304</v>
      </c>
      <c r="H29" s="321"/>
    </row>
    <row r="30" spans="2:11" ht="15" customHeight="1" x14ac:dyDescent="0.3">
      <c r="B30" s="309" t="s">
        <v>213</v>
      </c>
      <c r="C30" s="310" t="s">
        <v>174</v>
      </c>
      <c r="D30" s="311">
        <v>1.5</v>
      </c>
      <c r="E30" s="27">
        <v>1</v>
      </c>
      <c r="F30" s="60" t="s">
        <v>214</v>
      </c>
      <c r="G30" s="320">
        <f>+'MANO OBRA P.'!C85</f>
        <v>13072.415217391304</v>
      </c>
      <c r="H30" s="321"/>
    </row>
    <row r="31" spans="2:11" ht="15" customHeight="1" thickBot="1" x14ac:dyDescent="0.35">
      <c r="B31" s="317" t="s">
        <v>221</v>
      </c>
      <c r="C31" s="318" t="s">
        <v>174</v>
      </c>
      <c r="D31" s="319">
        <v>1</v>
      </c>
      <c r="E31" s="162">
        <v>1</v>
      </c>
      <c r="F31" s="213" t="s">
        <v>214</v>
      </c>
      <c r="G31" s="322">
        <f>+'MANO OBRA P.'!C110</f>
        <v>13986.339130434782</v>
      </c>
      <c r="H31" s="323"/>
    </row>
    <row r="32" spans="2:11" ht="15" customHeight="1" thickBot="1" x14ac:dyDescent="0.35"/>
    <row r="33" spans="2:4" ht="15" customHeight="1" x14ac:dyDescent="0.3">
      <c r="B33" s="312" t="s">
        <v>217</v>
      </c>
      <c r="C33" s="313"/>
      <c r="D33" s="314"/>
    </row>
    <row r="34" spans="2:4" ht="15" customHeight="1" x14ac:dyDescent="0.3">
      <c r="B34" s="214" t="s">
        <v>243</v>
      </c>
      <c r="C34" s="44" t="s">
        <v>230</v>
      </c>
      <c r="D34" s="215" t="s">
        <v>231</v>
      </c>
    </row>
    <row r="35" spans="2:4" ht="15" customHeight="1" x14ac:dyDescent="0.3">
      <c r="B35" s="151" t="s">
        <v>169</v>
      </c>
      <c r="C35" s="27" t="s">
        <v>71</v>
      </c>
      <c r="D35" s="216">
        <f>+CIF!G13</f>
        <v>8.4257996768982224</v>
      </c>
    </row>
    <row r="36" spans="2:4" ht="15" customHeight="1" x14ac:dyDescent="0.3">
      <c r="B36" s="151" t="s">
        <v>39</v>
      </c>
      <c r="C36" s="27" t="s">
        <v>214</v>
      </c>
      <c r="D36" s="152">
        <f>+CIF!G17</f>
        <v>9015.703846153845</v>
      </c>
    </row>
    <row r="37" spans="2:4" ht="15" customHeight="1" x14ac:dyDescent="0.3">
      <c r="B37" s="151" t="s">
        <v>40</v>
      </c>
      <c r="C37" s="27" t="s">
        <v>214</v>
      </c>
      <c r="D37" s="152">
        <f>+CIF!G21</f>
        <v>56187.532051282054</v>
      </c>
    </row>
    <row r="38" spans="2:4" ht="15" customHeight="1" thickBot="1" x14ac:dyDescent="0.35">
      <c r="B38" s="161" t="s">
        <v>175</v>
      </c>
      <c r="C38" s="162" t="s">
        <v>214</v>
      </c>
      <c r="D38" s="160">
        <f>+CIF!F25</f>
        <v>8012.8205128205127</v>
      </c>
    </row>
    <row r="39" spans="2:4" ht="15" customHeight="1" x14ac:dyDescent="0.3"/>
    <row r="40" spans="2:4" ht="15" customHeight="1" x14ac:dyDescent="0.3"/>
    <row r="41" spans="2:4" ht="15" customHeight="1" x14ac:dyDescent="0.3"/>
    <row r="90" ht="16.5" customHeight="1" x14ac:dyDescent="0.3"/>
    <row r="108" spans="16:20" x14ac:dyDescent="0.3">
      <c r="P108" s="11"/>
      <c r="Q108" s="11"/>
      <c r="R108" s="11"/>
      <c r="S108" s="11"/>
      <c r="T108" s="11"/>
    </row>
    <row r="109" spans="16:20" ht="16.5" customHeight="1" x14ac:dyDescent="0.3">
      <c r="P109" s="11"/>
      <c r="Q109" s="11"/>
      <c r="R109" s="11"/>
      <c r="S109" s="11"/>
      <c r="T109" s="11"/>
    </row>
    <row r="110" spans="16:20" x14ac:dyDescent="0.3">
      <c r="P110" s="11"/>
      <c r="Q110" s="11"/>
      <c r="R110" s="11"/>
      <c r="S110" s="11"/>
      <c r="T110" s="11"/>
    </row>
    <row r="111" spans="16:20" x14ac:dyDescent="0.3">
      <c r="P111" s="11"/>
      <c r="Q111" s="11"/>
      <c r="R111" s="11"/>
      <c r="S111" s="11"/>
      <c r="T111" s="11"/>
    </row>
    <row r="112" spans="16:20" x14ac:dyDescent="0.3">
      <c r="P112" s="11"/>
      <c r="Q112" s="11"/>
      <c r="R112" s="11"/>
      <c r="S112" s="11"/>
      <c r="T112" s="11"/>
    </row>
    <row r="113" spans="16:20" x14ac:dyDescent="0.3">
      <c r="P113" s="11"/>
      <c r="Q113" s="11"/>
      <c r="R113" s="11"/>
      <c r="S113" s="11"/>
      <c r="T113" s="11"/>
    </row>
    <row r="114" spans="16:20" x14ac:dyDescent="0.3">
      <c r="P114" s="11"/>
      <c r="Q114" s="11"/>
      <c r="R114" s="11"/>
      <c r="S114" s="11"/>
      <c r="T114" s="11"/>
    </row>
    <row r="115" spans="16:20" x14ac:dyDescent="0.3">
      <c r="P115" s="11"/>
      <c r="Q115" s="11"/>
      <c r="R115" s="11"/>
      <c r="S115" s="11"/>
      <c r="T115" s="11"/>
    </row>
    <row r="116" spans="16:20" x14ac:dyDescent="0.3">
      <c r="P116" s="11"/>
      <c r="Q116" s="11"/>
      <c r="R116" s="11"/>
      <c r="S116" s="11"/>
      <c r="T116" s="11"/>
    </row>
    <row r="117" spans="16:20" x14ac:dyDescent="0.3">
      <c r="P117" s="11"/>
      <c r="Q117" s="11"/>
      <c r="R117" s="11"/>
      <c r="S117" s="11"/>
      <c r="T117" s="11"/>
    </row>
    <row r="118" spans="16:20" x14ac:dyDescent="0.3">
      <c r="P118" s="11"/>
      <c r="Q118" s="11"/>
      <c r="R118" s="11"/>
      <c r="S118" s="11"/>
      <c r="T118" s="11"/>
    </row>
    <row r="119" spans="16:20" x14ac:dyDescent="0.3">
      <c r="P119" s="11"/>
      <c r="Q119" s="11"/>
      <c r="R119" s="11"/>
      <c r="S119" s="11"/>
      <c r="T119" s="11"/>
    </row>
    <row r="120" spans="16:20" x14ac:dyDescent="0.3">
      <c r="P120" s="11"/>
      <c r="Q120" s="11"/>
      <c r="R120" s="11"/>
      <c r="S120" s="11"/>
      <c r="T120" s="11"/>
    </row>
    <row r="121" spans="16:20" x14ac:dyDescent="0.3">
      <c r="P121" s="11"/>
      <c r="Q121" s="11"/>
      <c r="R121" s="11"/>
      <c r="S121" s="11"/>
      <c r="T121" s="11"/>
    </row>
    <row r="122" spans="16:20" x14ac:dyDescent="0.3">
      <c r="P122" s="11"/>
      <c r="Q122" s="11"/>
      <c r="R122" s="11"/>
      <c r="S122" s="11"/>
      <c r="T122" s="11"/>
    </row>
    <row r="123" spans="16:20" x14ac:dyDescent="0.3">
      <c r="P123" s="11"/>
      <c r="Q123" s="11"/>
      <c r="R123" s="11"/>
      <c r="S123" s="11"/>
      <c r="T123" s="11"/>
    </row>
    <row r="124" spans="16:20" x14ac:dyDescent="0.3">
      <c r="P124" s="11"/>
      <c r="Q124" s="11"/>
      <c r="R124" s="11"/>
      <c r="S124" s="11"/>
      <c r="T124" s="11"/>
    </row>
    <row r="125" spans="16:20" x14ac:dyDescent="0.3">
      <c r="P125" s="11"/>
      <c r="Q125" s="11"/>
      <c r="R125" s="11"/>
      <c r="S125" s="11"/>
      <c r="T125" s="11"/>
    </row>
    <row r="126" spans="16:20" x14ac:dyDescent="0.3">
      <c r="P126" s="11"/>
      <c r="Q126" s="11"/>
      <c r="R126" s="11"/>
      <c r="S126" s="11"/>
      <c r="T126" s="11"/>
    </row>
    <row r="127" spans="16:20" x14ac:dyDescent="0.3">
      <c r="P127" s="11"/>
      <c r="Q127" s="11"/>
      <c r="R127" s="11"/>
      <c r="S127" s="11"/>
      <c r="T127" s="11"/>
    </row>
    <row r="128" spans="16:20" x14ac:dyDescent="0.3">
      <c r="P128" s="11"/>
      <c r="Q128" s="11"/>
      <c r="R128" s="11"/>
      <c r="S128" s="11"/>
      <c r="T128" s="11"/>
    </row>
    <row r="129" spans="16:20" x14ac:dyDescent="0.3">
      <c r="P129" s="11"/>
      <c r="Q129" s="11"/>
      <c r="R129" s="11"/>
      <c r="S129" s="11"/>
      <c r="T129" s="11"/>
    </row>
    <row r="130" spans="16:20" x14ac:dyDescent="0.3">
      <c r="P130" s="11"/>
      <c r="Q130" s="11"/>
      <c r="R130" s="11"/>
      <c r="S130" s="11"/>
      <c r="T130" s="11"/>
    </row>
    <row r="131" spans="16:20" x14ac:dyDescent="0.3">
      <c r="P131" s="11"/>
      <c r="Q131" s="11"/>
      <c r="R131" s="11"/>
      <c r="S131" s="11"/>
      <c r="T131" s="11"/>
    </row>
    <row r="132" spans="16:20" x14ac:dyDescent="0.3">
      <c r="P132" s="11"/>
      <c r="Q132" s="11"/>
      <c r="R132" s="11"/>
      <c r="S132" s="11"/>
      <c r="T132" s="11"/>
    </row>
    <row r="133" spans="16:20" x14ac:dyDescent="0.3">
      <c r="P133" s="11"/>
      <c r="Q133" s="11"/>
      <c r="R133" s="11"/>
      <c r="S133" s="11"/>
      <c r="T133" s="11"/>
    </row>
  </sheetData>
  <mergeCells count="23">
    <mergeCell ref="B30:D30"/>
    <mergeCell ref="G30:H30"/>
    <mergeCell ref="B31:D31"/>
    <mergeCell ref="G31:H31"/>
    <mergeCell ref="B33:D33"/>
    <mergeCell ref="B27:D27"/>
    <mergeCell ref="G27:H27"/>
    <mergeCell ref="B28:D28"/>
    <mergeCell ref="G28:H28"/>
    <mergeCell ref="B29:D29"/>
    <mergeCell ref="G29:H29"/>
    <mergeCell ref="B24:H24"/>
    <mergeCell ref="B25:D25"/>
    <mergeCell ref="G25:H25"/>
    <mergeCell ref="B26:D26"/>
    <mergeCell ref="G26:H26"/>
    <mergeCell ref="E16:E17"/>
    <mergeCell ref="E18:E21"/>
    <mergeCell ref="B10:B22"/>
    <mergeCell ref="C10:C22"/>
    <mergeCell ref="D10:D22"/>
    <mergeCell ref="E10:E13"/>
    <mergeCell ref="E14:E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26</vt:i4>
      </vt:variant>
      <vt:variant>
        <vt:lpstr>Rangos con nombre</vt:lpstr>
      </vt:variant>
      <vt:variant>
        <vt:i4>10</vt:i4>
      </vt:variant>
    </vt:vector>
  </HeadingPairs>
  <TitlesOfParts>
    <vt:vector size="36" baseType="lpstr">
      <vt:lpstr>SISTEMA DE COSTEO</vt:lpstr>
      <vt:lpstr>MATERIA PRIMA</vt:lpstr>
      <vt:lpstr>MANO OBRA P.</vt:lpstr>
      <vt:lpstr>CIF</vt:lpstr>
      <vt:lpstr>1. AZUL OSCURO</vt:lpstr>
      <vt:lpstr>2. NEGRO</vt:lpstr>
      <vt:lpstr>3. KAKY </vt:lpstr>
      <vt:lpstr>4. VERDE MILITAR</vt:lpstr>
      <vt:lpstr>5. AZUL BB</vt:lpstr>
      <vt:lpstr>6. GRIS CLARO</vt:lpstr>
      <vt:lpstr>7. ARENA</vt:lpstr>
      <vt:lpstr>8. CAPUCCINO </vt:lpstr>
      <vt:lpstr>9. BLANCO</vt:lpstr>
      <vt:lpstr>10. ROJO</vt:lpstr>
      <vt:lpstr>O.TEÑIDO AZUL</vt:lpstr>
      <vt:lpstr>O.TEÑIDO NEGRO</vt:lpstr>
      <vt:lpstr>O.TEÑIDO KAKI</vt:lpstr>
      <vt:lpstr>O.TEÑIDO VERDE MILITAR</vt:lpstr>
      <vt:lpstr>O.TEÑIDO AZUL BB</vt:lpstr>
      <vt:lpstr>O.TEÑIDO GRIS CLARO</vt:lpstr>
      <vt:lpstr>O.TEÑIDO ARENA</vt:lpstr>
      <vt:lpstr>O.TEÑIDO CAPUCCINO</vt:lpstr>
      <vt:lpstr>O.TEÑIDO BLANCO</vt:lpstr>
      <vt:lpstr>O.TEÑIDO ROJO</vt:lpstr>
      <vt:lpstr>FABRICACION SEMENSTRAL</vt:lpstr>
      <vt:lpstr>P,P Y EQUIPO</vt:lpstr>
      <vt:lpstr>'O.TEÑIDO ARENA'!Área_de_impresión</vt:lpstr>
      <vt:lpstr>'O.TEÑIDO AZUL'!Área_de_impresión</vt:lpstr>
      <vt:lpstr>'O.TEÑIDO AZUL BB'!Área_de_impresión</vt:lpstr>
      <vt:lpstr>'O.TEÑIDO BLANCO'!Área_de_impresión</vt:lpstr>
      <vt:lpstr>'O.TEÑIDO CAPUCCINO'!Área_de_impresión</vt:lpstr>
      <vt:lpstr>'O.TEÑIDO GRIS CLARO'!Área_de_impresión</vt:lpstr>
      <vt:lpstr>'O.TEÑIDO KAKI'!Área_de_impresión</vt:lpstr>
      <vt:lpstr>'O.TEÑIDO NEGRO'!Área_de_impresión</vt:lpstr>
      <vt:lpstr>'O.TEÑIDO ROJO'!Área_de_impresión</vt:lpstr>
      <vt:lpstr>'O.TEÑIDO VERDE MILITAR'!Área_de_impresión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Guerrero Paredes Anny Veronica</dc:creator>
  <cp:lastModifiedBy>teresa de jesus altahona quijano</cp:lastModifiedBy>
  <cp:lastPrinted>2024-08-11T00:37:15Z</cp:lastPrinted>
  <dcterms:created xsi:type="dcterms:W3CDTF">2024-06-29T14:19:24Z</dcterms:created>
  <dcterms:modified xsi:type="dcterms:W3CDTF">2024-10-08T21:19:32Z</dcterms:modified>
</cp:coreProperties>
</file>