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royectos Dirigidos\"/>
    </mc:Choice>
  </mc:AlternateContent>
  <xr:revisionPtr revIDLastSave="0" documentId="8_{40780412-2337-4488-ACA5-A727AFD28E5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BLERO DE MANDO" sheetId="1" r:id="rId1"/>
    <sheet name="ORDEN DE PRODUCCION" sheetId="2" r:id="rId2"/>
    <sheet name="Hoja7" sheetId="7" state="hidden" r:id="rId3"/>
    <sheet name="HOJA DE COSTO" sheetId="4" r:id="rId4"/>
    <sheet name="INFORMACION DE COSTOS" sheetId="3" r:id="rId5"/>
    <sheet name="Recomendación1" sheetId="8" state="hidden" r:id="rId6"/>
  </sheets>
  <calcPr calcId="191028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6" i="4" l="1"/>
  <c r="R25" i="4"/>
  <c r="R24" i="4"/>
  <c r="R23" i="4"/>
  <c r="R22" i="4"/>
  <c r="H14" i="3"/>
  <c r="M22" i="4"/>
  <c r="G23" i="4"/>
  <c r="G24" i="4"/>
  <c r="G25" i="4"/>
  <c r="G26" i="4"/>
  <c r="G27" i="4"/>
  <c r="G28" i="4"/>
  <c r="G29" i="4"/>
  <c r="G30" i="4"/>
  <c r="G22" i="4"/>
  <c r="D13" i="3"/>
  <c r="D12" i="3"/>
  <c r="D11" i="3"/>
  <c r="D10" i="3"/>
  <c r="D9" i="3"/>
  <c r="K27" i="2" a="1"/>
  <c r="K27" i="2" s="1"/>
  <c r="J27" i="2" a="1"/>
  <c r="J27" i="2" s="1"/>
  <c r="F13" i="4"/>
  <c r="D38" i="3"/>
  <c r="H38" i="3"/>
  <c r="G38" i="3"/>
  <c r="F38" i="3"/>
  <c r="J23" i="3" l="1"/>
  <c r="J24" i="3"/>
  <c r="J25" i="3"/>
  <c r="J26" i="3"/>
  <c r="J22" i="3"/>
  <c r="I27" i="3"/>
  <c r="H27" i="3"/>
  <c r="G27" i="3"/>
  <c r="F27" i="3"/>
  <c r="E27" i="3"/>
  <c r="D27" i="3"/>
  <c r="C27" i="3"/>
  <c r="H23" i="4"/>
  <c r="H24" i="4"/>
  <c r="H25" i="4"/>
  <c r="H26" i="4"/>
  <c r="H27" i="4"/>
  <c r="H28" i="4"/>
  <c r="H29" i="4"/>
  <c r="H30" i="4"/>
  <c r="E23" i="4"/>
  <c r="E24" i="4"/>
  <c r="E25" i="4"/>
  <c r="E26" i="4"/>
  <c r="E27" i="4"/>
  <c r="E28" i="4"/>
  <c r="E29" i="4"/>
  <c r="E30" i="4"/>
  <c r="E22" i="4"/>
  <c r="K16" i="3"/>
  <c r="L15" i="3"/>
  <c r="M28" i="4" s="1"/>
  <c r="L14" i="3"/>
  <c r="M27" i="4" s="1"/>
  <c r="L13" i="3"/>
  <c r="M26" i="4" s="1"/>
  <c r="L12" i="3"/>
  <c r="M25" i="4" s="1"/>
  <c r="L10" i="3"/>
  <c r="M23" i="4" s="1"/>
  <c r="L11" i="3"/>
  <c r="M24" i="4" s="1"/>
  <c r="L9" i="3"/>
  <c r="F286" i="3"/>
  <c r="J27" i="3" l="1"/>
  <c r="L16" i="3"/>
  <c r="F287" i="3"/>
  <c r="F288" i="3"/>
  <c r="F289" i="3"/>
  <c r="F290" i="3"/>
  <c r="F291" i="3"/>
  <c r="F292" i="3"/>
  <c r="F293" i="3"/>
  <c r="I26" i="2" l="1"/>
  <c r="S17" i="4"/>
  <c r="I25" i="2"/>
  <c r="I24" i="2"/>
  <c r="H27" i="2"/>
  <c r="G27" i="2"/>
  <c r="N27" i="2" s="1"/>
  <c r="L23" i="4" s="1"/>
  <c r="F27" i="2"/>
  <c r="I22" i="2"/>
  <c r="I23" i="2"/>
  <c r="C254" i="3"/>
  <c r="F6" i="7"/>
  <c r="F7" i="7"/>
  <c r="F8" i="7"/>
  <c r="F9" i="7"/>
  <c r="F5" i="7"/>
  <c r="L24" i="4" l="1"/>
  <c r="N24" i="4" s="1"/>
  <c r="I27" i="2"/>
  <c r="S30" i="4"/>
  <c r="N30" i="4"/>
  <c r="S29" i="4"/>
  <c r="N29" i="4"/>
  <c r="S28" i="4"/>
  <c r="S27" i="4"/>
  <c r="N23" i="4"/>
  <c r="O17" i="2" l="1"/>
  <c r="P17" i="4" s="1"/>
  <c r="L26" i="4"/>
  <c r="N26" i="4" s="1"/>
  <c r="L27" i="4"/>
  <c r="N27" i="4" s="1"/>
  <c r="L25" i="4"/>
  <c r="N25" i="4" s="1"/>
  <c r="L28" i="4"/>
  <c r="N28" i="4" s="1"/>
  <c r="L22" i="4"/>
  <c r="N22" i="4" s="1"/>
  <c r="F22" i="4"/>
  <c r="H22" i="4" s="1"/>
  <c r="H31" i="4" s="1"/>
  <c r="Q38" i="4"/>
  <c r="Q26" i="4" l="1"/>
  <c r="S26" i="4" s="1"/>
  <c r="Q23" i="4"/>
  <c r="S23" i="4" s="1"/>
  <c r="Q22" i="4"/>
  <c r="S22" i="4" s="1"/>
  <c r="Q24" i="4"/>
  <c r="S24" i="4" s="1"/>
  <c r="Q25" i="4"/>
  <c r="S25" i="4" s="1"/>
  <c r="N31" i="4"/>
  <c r="E38" i="3"/>
  <c r="S31" i="4" l="1"/>
  <c r="Q35" i="4" s="1"/>
  <c r="Q41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</author>
  </authors>
  <commentList>
    <comment ref="F2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Isa:</t>
        </r>
        <r>
          <rPr>
            <sz val="9"/>
            <color indexed="81"/>
            <rFont val="Tahoma"/>
            <family val="2"/>
          </rPr>
          <t xml:space="preserve">
SE INCREMENTA 1% COMO MINIMO DE DESPERDICIO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<sst xmlns="http://schemas.openxmlformats.org/spreadsheetml/2006/main" count="689" uniqueCount="347">
  <si>
    <t>TABLERO DE MANDO</t>
  </si>
  <si>
    <t>HOJA DE COSTOS</t>
  </si>
  <si>
    <t>INFORMACIÓN DE COSTOS</t>
  </si>
  <si>
    <t>ORDEN DE PRODUCCIÓN</t>
  </si>
  <si>
    <t>VITELSA S.A.</t>
  </si>
  <si>
    <t>Fecha de Expedición:</t>
  </si>
  <si>
    <t>N°</t>
  </si>
  <si>
    <t>Cliente:</t>
  </si>
  <si>
    <t>ALUTEMP SAS</t>
  </si>
  <si>
    <t>Referencia Artículo:</t>
  </si>
  <si>
    <t>VIDRIO INCOLORO 5MM</t>
  </si>
  <si>
    <t>Cantidad a producir:</t>
  </si>
  <si>
    <t>Unidad Medida</t>
  </si>
  <si>
    <t>m2</t>
  </si>
  <si>
    <t>Item</t>
  </si>
  <si>
    <t>Material</t>
  </si>
  <si>
    <t>Esp. m.m.</t>
  </si>
  <si>
    <t>Cantidad</t>
  </si>
  <si>
    <t>Alto</t>
  </si>
  <si>
    <t>Ancho</t>
  </si>
  <si>
    <t>Area</t>
  </si>
  <si>
    <t>Perforación</t>
  </si>
  <si>
    <t>Boquete</t>
  </si>
  <si>
    <t>BPM (AxH)</t>
  </si>
  <si>
    <t>BPB (AxH)</t>
  </si>
  <si>
    <t>Tipo de Broca</t>
  </si>
  <si>
    <t>Columna1</t>
  </si>
  <si>
    <t>Columna2</t>
  </si>
  <si>
    <t>Columna3</t>
  </si>
  <si>
    <t>Columna4</t>
  </si>
  <si>
    <t>Columna5</t>
  </si>
  <si>
    <t>Columna6</t>
  </si>
  <si>
    <t>Columna7</t>
  </si>
  <si>
    <t>Columna8</t>
  </si>
  <si>
    <t>Columna9</t>
  </si>
  <si>
    <t>Columna10</t>
  </si>
  <si>
    <t>Columna11</t>
  </si>
  <si>
    <t>Columna12</t>
  </si>
  <si>
    <t>Columna13</t>
  </si>
  <si>
    <t>Columna14</t>
  </si>
  <si>
    <t>INC</t>
  </si>
  <si>
    <t>Total</t>
  </si>
  <si>
    <t>DESCRIPCION</t>
  </si>
  <si>
    <t>ESPESOR</t>
  </si>
  <si>
    <t>MEDIDA</t>
  </si>
  <si>
    <t>VIDRIO INCOLORO</t>
  </si>
  <si>
    <t>4MM</t>
  </si>
  <si>
    <t>366*240</t>
  </si>
  <si>
    <t>5MM</t>
  </si>
  <si>
    <t>330*240</t>
  </si>
  <si>
    <t>6MM</t>
  </si>
  <si>
    <t>366*260</t>
  </si>
  <si>
    <t>8MM</t>
  </si>
  <si>
    <t>330*220</t>
  </si>
  <si>
    <t>10MM</t>
  </si>
  <si>
    <t>HOJA DE COSTO</t>
  </si>
  <si>
    <t>Se solicita realizar el siguiente artículo:</t>
  </si>
  <si>
    <t>Nombre Artículo:</t>
  </si>
  <si>
    <t>VIDRIO INCOLORO 10MM</t>
  </si>
  <si>
    <t>MATERIALES</t>
  </si>
  <si>
    <t>MANO DE OBRA</t>
  </si>
  <si>
    <t>COSTOS INDIRECTOS</t>
  </si>
  <si>
    <t>MEDIDA DE LA LAMINA</t>
  </si>
  <si>
    <t>Cant.</t>
  </si>
  <si>
    <t>Precio
Unitario</t>
  </si>
  <si>
    <t>Valor Total</t>
  </si>
  <si>
    <t>Proceso</t>
  </si>
  <si>
    <t>Horas
Trab</t>
  </si>
  <si>
    <t>Vr Hora</t>
  </si>
  <si>
    <t>Vr Total</t>
  </si>
  <si>
    <t>Gasto</t>
  </si>
  <si>
    <t>M2
/Horas Trab</t>
  </si>
  <si>
    <t>Precio Unitario
/M2</t>
  </si>
  <si>
    <t>INC 10MM</t>
  </si>
  <si>
    <t>Corte</t>
  </si>
  <si>
    <t>MPI</t>
  </si>
  <si>
    <t>RectilineaS</t>
  </si>
  <si>
    <t>MOI</t>
  </si>
  <si>
    <t>Maquinado</t>
  </si>
  <si>
    <t>CIF FIJOS</t>
  </si>
  <si>
    <t>Lavadora</t>
  </si>
  <si>
    <t>CIF VARIABLES</t>
  </si>
  <si>
    <t>Inspeccion</t>
  </si>
  <si>
    <t>GASTOS DIVERSOS</t>
  </si>
  <si>
    <t>Sacarayas</t>
  </si>
  <si>
    <t>Horno</t>
  </si>
  <si>
    <t>Suma</t>
  </si>
  <si>
    <t>OBERVACIONES GENERALES</t>
  </si>
  <si>
    <t>TOTAL COSTO PRODUCCIÓN</t>
  </si>
  <si>
    <t>CANTIDAD PRODUCIDA</t>
  </si>
  <si>
    <t>COSTO UNITARIO</t>
  </si>
  <si>
    <t>Expedido por:</t>
  </si>
  <si>
    <t>Recibido por:</t>
  </si>
  <si>
    <t>Cumplido por:</t>
  </si>
  <si>
    <t>Control Contable:</t>
  </si>
  <si>
    <t>Fecha:</t>
  </si>
  <si>
    <t xml:space="preserve">MATERIA PRIMA </t>
  </si>
  <si>
    <t>VOLUMEN VENTAS ANUALES POR REF</t>
  </si>
  <si>
    <t xml:space="preserve">VALOR HORA HOMBRE </t>
  </si>
  <si>
    <t>MEDIDA LAMINA</t>
  </si>
  <si>
    <t>AREA</t>
  </si>
  <si>
    <t>VALOR M2</t>
  </si>
  <si>
    <t>REFERENCIA</t>
  </si>
  <si>
    <t>PROCESO</t>
  </si>
  <si>
    <t>VALOR NOMINA</t>
  </si>
  <si>
    <t>VALOR HORA</t>
  </si>
  <si>
    <t>INC 4MM</t>
  </si>
  <si>
    <t>CORTE</t>
  </si>
  <si>
    <t>INC 5MM</t>
  </si>
  <si>
    <t>RECTILINEAS</t>
  </si>
  <si>
    <t>INC 6MM</t>
  </si>
  <si>
    <t>MAQUINADO</t>
  </si>
  <si>
    <t>INC 8MM</t>
  </si>
  <si>
    <t>LAVADORA</t>
  </si>
  <si>
    <t>INSPECCION</t>
  </si>
  <si>
    <t>TOTAL</t>
  </si>
  <si>
    <t>SACARAYAS</t>
  </si>
  <si>
    <t>HORNO</t>
  </si>
  <si>
    <t xml:space="preserve">TOTAL </t>
  </si>
  <si>
    <t>ESTIMACION DE TIEMPO POR PROCESO</t>
  </si>
  <si>
    <t>TIEMPO CORTE                    *M2</t>
  </si>
  <si>
    <t>TIEMPO RECTILINEA *M2</t>
  </si>
  <si>
    <t>TIEMPO MAQUINADO* M2</t>
  </si>
  <si>
    <t>TIEMPO LAVADORA    *M2</t>
  </si>
  <si>
    <t>TIEMPO INSPECCION *M2</t>
  </si>
  <si>
    <t>TIEMPO SACARAYAS *M2</t>
  </si>
  <si>
    <t>TIEMPO HORNO* M2</t>
  </si>
  <si>
    <t>TOTAL TIEMPO       PRODUCCION *M2</t>
  </si>
  <si>
    <t>DISTRIBUCION DE LOS CIF</t>
  </si>
  <si>
    <t>Tasa predeterminada</t>
  </si>
  <si>
    <t>MPI (INSUMOS)</t>
  </si>
  <si>
    <t xml:space="preserve">CARGO </t>
  </si>
  <si>
    <t>SALARIO BASICO + TRANSPORTE</t>
  </si>
  <si>
    <t>total prestaciones sociales</t>
  </si>
  <si>
    <t>total seguridad social</t>
  </si>
  <si>
    <t>valor total empleado</t>
  </si>
  <si>
    <t>cant personal</t>
  </si>
  <si>
    <t>total nomina mes</t>
  </si>
  <si>
    <t>prima 8,33%</t>
  </si>
  <si>
    <t>cesantias 8,33%</t>
  </si>
  <si>
    <t>intereses cesantias 1%</t>
  </si>
  <si>
    <t>vacaciones 4,17%</t>
  </si>
  <si>
    <t>salud 8,5%</t>
  </si>
  <si>
    <t>pension 12%</t>
  </si>
  <si>
    <t>arl 6,96%</t>
  </si>
  <si>
    <t>ccf 5%</t>
  </si>
  <si>
    <t>OPERARIO</t>
  </si>
  <si>
    <t>AUXILIAR</t>
  </si>
  <si>
    <t>PRESUPUESTO MAQUINARIA/                           MUEBLES Y ENSERES</t>
  </si>
  <si>
    <t>ESPECIFICACIONES</t>
  </si>
  <si>
    <t>UNIDAD DE MEDIDA</t>
  </si>
  <si>
    <t>CANTIDAD</t>
  </si>
  <si>
    <t>CU
Costo Unitario
(Pesos)</t>
  </si>
  <si>
    <t>PROVEEDOR</t>
  </si>
  <si>
    <t>VUC (AÑO)
Vida Util Contable</t>
  </si>
  <si>
    <t>MESA DE CORTE AUTOMATICO</t>
  </si>
  <si>
    <t>Mesa de Corte Italiana, automatica con mesa cargadora automatica incorporada</t>
  </si>
  <si>
    <t>UND</t>
  </si>
  <si>
    <t>BAVELLONI</t>
  </si>
  <si>
    <t xml:space="preserve">DEPRECIACIÓN </t>
  </si>
  <si>
    <t>RULINA</t>
  </si>
  <si>
    <t>GLASSTOOLS</t>
  </si>
  <si>
    <t>ACEITE PARA CORTE</t>
  </si>
  <si>
    <t>GL</t>
  </si>
  <si>
    <t>LUBRIMAC</t>
  </si>
  <si>
    <t>CORTADOR TOYO</t>
  </si>
  <si>
    <t>PUENTE GRUA</t>
  </si>
  <si>
    <t>Puente grua capacidad de izaje de 1 Ton. Con botonera de tres posiciones</t>
  </si>
  <si>
    <t>IMOCOM</t>
  </si>
  <si>
    <t>RECTILINEA</t>
  </si>
  <si>
    <t>Rectilinea Italiana de 14 motores</t>
  </si>
  <si>
    <t>DIAMANTE GRANO 100</t>
  </si>
  <si>
    <t>ACCESORIOS UNIVERSAL DE CALI</t>
  </si>
  <si>
    <t>DIAMANTE GRANO 200</t>
  </si>
  <si>
    <t>DIAMANTE GRANO 320</t>
  </si>
  <si>
    <t>DISCO PARA ARISTA EN RESINA 240</t>
  </si>
  <si>
    <t>PIEDRA BRILLO GRANO 60</t>
  </si>
  <si>
    <t>PIEDRA BRILLO GRANO 80</t>
  </si>
  <si>
    <t>PIEDRA BORRADOR X3000</t>
  </si>
  <si>
    <t>Lavadora China de 8 cepillos</t>
  </si>
  <si>
    <t>NEPTUN</t>
  </si>
  <si>
    <t>SHAMPU</t>
  </si>
  <si>
    <t>PROINAS</t>
  </si>
  <si>
    <t>TALADRO</t>
  </si>
  <si>
    <t>Taladro manual horizontal chino</t>
  </si>
  <si>
    <t>YUGON</t>
  </si>
  <si>
    <t>BROCA 6*85</t>
  </si>
  <si>
    <t>BROCA 8*85</t>
  </si>
  <si>
    <t>BROCA 10*85</t>
  </si>
  <si>
    <t>BROCA 12*85</t>
  </si>
  <si>
    <t>BROCA 13*85</t>
  </si>
  <si>
    <t>BROCA 14*85</t>
  </si>
  <si>
    <t>BROCA 16*85</t>
  </si>
  <si>
    <t>BROCA 18*85</t>
  </si>
  <si>
    <t>BROCA 20*85</t>
  </si>
  <si>
    <t>BROCA 22*85</t>
  </si>
  <si>
    <t>BROCA 25*85</t>
  </si>
  <si>
    <t>BROCA 30*85</t>
  </si>
  <si>
    <t>BROCA 35*85</t>
  </si>
  <si>
    <t>BROCA 40*85</t>
  </si>
  <si>
    <t>BROCA 45*85</t>
  </si>
  <si>
    <t>BROCA 50*85</t>
  </si>
  <si>
    <t>BROCA 60*85</t>
  </si>
  <si>
    <t>BROCA 70*85</t>
  </si>
  <si>
    <t>BROCA 100*85</t>
  </si>
  <si>
    <t>PULIDORA MAKITA MANUAL</t>
  </si>
  <si>
    <t>FERREIMPORTACIONES</t>
  </si>
  <si>
    <t>DISCO POLISHING 3"</t>
  </si>
  <si>
    <t>JGB IMPORTACIONES</t>
  </si>
  <si>
    <t>OXIDO DE CERIO</t>
  </si>
  <si>
    <t>GR</t>
  </si>
  <si>
    <t>Horno para templar vidrio con capacidad de 30 Ton y temperatura maxima de 720°</t>
  </si>
  <si>
    <t>NORTHGLASS</t>
  </si>
  <si>
    <t>CABALLETES MOVILES</t>
  </si>
  <si>
    <t>Caballetes en hierro con ruedas, capacidad de 1 Ton.</t>
  </si>
  <si>
    <t>INDUGACOL</t>
  </si>
  <si>
    <t>CABALLETES FIJOS</t>
  </si>
  <si>
    <t>Caballete en hierro fijos, capacidad de 1 Ton.</t>
  </si>
  <si>
    <t>MOBILIARIO DE OFICINA</t>
  </si>
  <si>
    <t>Escritorio con mueble de 3 cajones y silla ergonomica</t>
  </si>
  <si>
    <t>HECHO EN COLOMBIA</t>
  </si>
  <si>
    <t>COMPUTADORES</t>
  </si>
  <si>
    <t>Computadores de escritorio y portatiles</t>
  </si>
  <si>
    <t>DOCUXER</t>
  </si>
  <si>
    <t>SOTFWARE CONTABLE Y DE GESTION</t>
  </si>
  <si>
    <t>Sotfware contable y de gestion SAP Bussines One y Procesamiento de Facturación electronica y P-colab</t>
  </si>
  <si>
    <t>SAP BUSSINES ONE / HEISSON</t>
  </si>
  <si>
    <t>AMORTIZACIÓN</t>
  </si>
  <si>
    <t>TOTAL PRESUPUESTO</t>
  </si>
  <si>
    <t>COSTOS INDIRECTOS DE FABRICACIÓN VARIABLES</t>
  </si>
  <si>
    <t>COSTOS INDIRECTOS DE FABRICACIÓN FIJOS</t>
  </si>
  <si>
    <t>DETALLE</t>
  </si>
  <si>
    <t xml:space="preserve">VALOR MENSUAL </t>
  </si>
  <si>
    <t xml:space="preserve">DETALLE </t>
  </si>
  <si>
    <t>VALOR MENSUAL</t>
  </si>
  <si>
    <t xml:space="preserve">ACUEDUCTO Y ALCANTARILLADO </t>
  </si>
  <si>
    <t xml:space="preserve">ASEO VIGILANCIA </t>
  </si>
  <si>
    <t>ELECTRICIDAD</t>
  </si>
  <si>
    <t xml:space="preserve">ARRENDAMIENTOS </t>
  </si>
  <si>
    <t>TELEFONIA E INTERNET</t>
  </si>
  <si>
    <t xml:space="preserve">POLIZAS </t>
  </si>
  <si>
    <t xml:space="preserve">TELEFONÍA MOVIL </t>
  </si>
  <si>
    <t>DEPRECIACIÓN DE MAQUINARIA &amp;                              EQUIPO DE OFICNA</t>
  </si>
  <si>
    <t xml:space="preserve">MANTENIMIENTO MAQUINARIA &amp; EQUIPO </t>
  </si>
  <si>
    <t xml:space="preserve">AMOTIZACIÓN </t>
  </si>
  <si>
    <t xml:space="preserve">ASEO &amp; CAFETERIA </t>
  </si>
  <si>
    <t xml:space="preserve">UTILES, PAPELERIA Y FOTOCOPIAS </t>
  </si>
  <si>
    <t>TRANSPORTE, FLETES Y ACARREOS</t>
  </si>
  <si>
    <t>CANT. PERSONAL</t>
  </si>
  <si>
    <t xml:space="preserve">SALARIO      BASICO </t>
  </si>
  <si>
    <t>AUX.                                                       TRANSPORTE</t>
  </si>
  <si>
    <t>TOTAL PRESTACIONES SOCIALES</t>
  </si>
  <si>
    <t>TOTAL SEGURIDAD       SOCIAL</t>
  </si>
  <si>
    <t xml:space="preserve">VALOT TOTAL    EMPLEADO </t>
  </si>
  <si>
    <t>TOTAL NOMINA MES</t>
  </si>
  <si>
    <t>PRIMA       8,33%</t>
  </si>
  <si>
    <t>CESANTIAS 8,33%</t>
  </si>
  <si>
    <t>INT. CESANTIAS        1%</t>
  </si>
  <si>
    <t>VACACIONES             4,17%</t>
  </si>
  <si>
    <t>SALUD                  8,5%</t>
  </si>
  <si>
    <t>PENSION    12%</t>
  </si>
  <si>
    <t>ARL             6,96%</t>
  </si>
  <si>
    <t>CCF            5%</t>
  </si>
  <si>
    <t>ANALISTA DE PLANOS</t>
  </si>
  <si>
    <t>APRENDIZ SENA LECTIVO</t>
  </si>
  <si>
    <t>APRENDIZ SENA PRODUCTIVO</t>
  </si>
  <si>
    <t>ASESOR COMERCIAL</t>
  </si>
  <si>
    <t>AUXILIAR ADMINISTRATIVO</t>
  </si>
  <si>
    <t>AUXILIAR AMBIENTAL</t>
  </si>
  <si>
    <t>AUXILIAR CONTABLE</t>
  </si>
  <si>
    <t>AUXILIAR DE ACCESORIOS</t>
  </si>
  <si>
    <t>AUXILIAR DE CALIDAD</t>
  </si>
  <si>
    <t>AUXILIAR DE CARTERA</t>
  </si>
  <si>
    <t>AUXILIAR COMERCIO EXTERIOR</t>
  </si>
  <si>
    <t>AUXILIAR DE COMPRAS</t>
  </si>
  <si>
    <t>AUXILIAR DE FACTURACION</t>
  </si>
  <si>
    <t>AUXILIAR DE GESTION HUMANA</t>
  </si>
  <si>
    <t>AUXILIAR DE INVENTARIOS</t>
  </si>
  <si>
    <t>AUXILIAR DE LOGISTICA</t>
  </si>
  <si>
    <t>AUXILIAR DE MANTENIMIENTO</t>
  </si>
  <si>
    <t>AUXILIAR DE SISTEMAS</t>
  </si>
  <si>
    <t>AUXILIAR HSE</t>
  </si>
  <si>
    <t>AUXILIAR ORDEN DE FABRICACION</t>
  </si>
  <si>
    <t>CONTADOR</t>
  </si>
  <si>
    <t>COORDINADOR ACCESORIOS</t>
  </si>
  <si>
    <t>COORDINADOR CALIDAD</t>
  </si>
  <si>
    <t>COORDINADOR COMERCIO EXTERIOR</t>
  </si>
  <si>
    <t>COORDINADOR DE COMPRAS</t>
  </si>
  <si>
    <t>COORDINADOR LOGISTICA</t>
  </si>
  <si>
    <t>COORDINADOR SISTEMAS</t>
  </si>
  <si>
    <t>COORDINADOR GESTION PEDIDOS</t>
  </si>
  <si>
    <t>COORDINADOR RR.HH</t>
  </si>
  <si>
    <t>COORDINADOR SST</t>
  </si>
  <si>
    <t>COORDINADOR MERCADEO</t>
  </si>
  <si>
    <t>DIGITADOR</t>
  </si>
  <si>
    <t>DIRECTOR COMERCIAL</t>
  </si>
  <si>
    <t>DIRECTOR MEJORAMIENTO</t>
  </si>
  <si>
    <t>GERENTE</t>
  </si>
  <si>
    <t>GESTOR DE MANTENIMIENTO</t>
  </si>
  <si>
    <t>JEFE DE CARTERA</t>
  </si>
  <si>
    <t>JEFE DE PLANTA</t>
  </si>
  <si>
    <t>LIDER DE SOPORTE TECNICO</t>
  </si>
  <si>
    <t>MODULADOR</t>
  </si>
  <si>
    <t>PSICOLOGA</t>
  </si>
  <si>
    <t>RECEPCIONISTA</t>
  </si>
  <si>
    <t>SERVICIOS GENERALES</t>
  </si>
  <si>
    <t>SERVICLIENTES</t>
  </si>
  <si>
    <t>SUPERVISORES DE PLANTA</t>
  </si>
  <si>
    <t>INSUMOS</t>
  </si>
  <si>
    <t>UND DE MEDIDA</t>
  </si>
  <si>
    <t>CANT</t>
  </si>
  <si>
    <t>VLR UNT</t>
  </si>
  <si>
    <t>VLR TOTAL MES</t>
  </si>
  <si>
    <t xml:space="preserve">CORTE </t>
  </si>
  <si>
    <t>SACA RAYAS</t>
  </si>
  <si>
    <t>TOTAL INSUMOS AL MES</t>
  </si>
  <si>
    <t>VALOR</t>
  </si>
  <si>
    <t>VENTAS</t>
  </si>
  <si>
    <t xml:space="preserve">costo Materia Prima Indirecta </t>
  </si>
  <si>
    <t xml:space="preserve">costo Indirectos de Fabricación Variables  </t>
  </si>
  <si>
    <t>Costos Indirectos de Fabricación Variables</t>
  </si>
  <si>
    <t xml:space="preserve">Mano de Obra Indirecta </t>
  </si>
  <si>
    <t>CIF TOTALES</t>
  </si>
  <si>
    <t>VENTA ANUAL $</t>
  </si>
  <si>
    <t>TASA PREDETERMINADA</t>
  </si>
  <si>
    <t xml:space="preserve">VALOR MATERIA     PRIMA ANUAL </t>
  </si>
  <si>
    <t>VALOR PROMEDIO     MES</t>
  </si>
  <si>
    <t>inc 4</t>
  </si>
  <si>
    <t>inc 5</t>
  </si>
  <si>
    <t>inc 6</t>
  </si>
  <si>
    <t>inc 8</t>
  </si>
  <si>
    <t>inc 10</t>
  </si>
  <si>
    <t>SUPERVISOR</t>
  </si>
  <si>
    <t>JEFE PLANTA</t>
  </si>
  <si>
    <t>CANT PERSONAL</t>
  </si>
  <si>
    <t>HORAS HOMBRE</t>
  </si>
  <si>
    <t>MINUTOS</t>
  </si>
  <si>
    <t>m2 al año</t>
  </si>
  <si>
    <t>m2 *mes</t>
  </si>
  <si>
    <t>tiempo corte* m2</t>
  </si>
  <si>
    <t>H/m2</t>
  </si>
  <si>
    <t>VLR HORA PRODUCCION*M2</t>
  </si>
  <si>
    <t>TASA          PREDETERMINADA</t>
  </si>
  <si>
    <t>Etiquetas de fila</t>
  </si>
  <si>
    <t>Promedio de 100%</t>
  </si>
  <si>
    <t>(en blanco)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</si>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</sst>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-&quot;$&quot;\ * #,##0_-;\-&quot;$&quot;\ * #,##0_-;_-&quot;$&quot;\ * &quot;-&quot;_-;_-@_-"/>
    <numFmt numFmtId="43" formatCode="_-* #,##0.00_-;\-* #,##0.00_-;_-* &quot;-&quot;??_-;_-@_-"/>
    <numFmt numFmtId="164" formatCode="00000"/>
    <numFmt numFmtId="165" formatCode="_-&quot;$&quot;* #,##0_-;\-&quot;$&quot;* #,##0_-;_-&quot;$&quot;* &quot;-&quot;_-;_-@_-"/>
    <numFmt numFmtId="166" formatCode="_-[$$-240A]\ * #,##0.00_-;\-[$$-240A]\ * #,##0.00_-;_-[$$-240A]\ * &quot;-&quot;??_-;_-@_-"/>
    <numFmt numFmtId="167" formatCode="_-[$$-240A]\ * #,##0_-;\-[$$-240A]\ * #,##0_-;_-[$$-240A]\ * &quot;-&quot;??_-;_-@_-"/>
    <numFmt numFmtId="168" formatCode="#,##0.00_ ;\-#,##0.00\ 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26"/>
      <color theme="1"/>
      <name val="Lato"/>
      <family val="2"/>
    </font>
    <font>
      <b/>
      <sz val="11"/>
      <color theme="1"/>
      <name val="Lato"/>
      <family val="2"/>
    </font>
    <font>
      <sz val="11"/>
      <color theme="1"/>
      <name val="Lato"/>
      <family val="2"/>
    </font>
    <font>
      <b/>
      <sz val="14"/>
      <name val="Lato"/>
      <family val="2"/>
    </font>
    <font>
      <sz val="12"/>
      <color theme="1"/>
      <name val="Lato"/>
      <family val="2"/>
    </font>
    <font>
      <b/>
      <sz val="14"/>
      <color rgb="FFFF0000"/>
      <name val="Lato"/>
      <family val="2"/>
    </font>
    <font>
      <b/>
      <sz val="16"/>
      <color rgb="FFFF0000"/>
      <name val="Calibri"/>
      <family val="2"/>
      <scheme val="minor"/>
    </font>
    <font>
      <b/>
      <sz val="14"/>
      <color theme="1"/>
      <name val="Lato"/>
      <family val="2"/>
    </font>
    <font>
      <b/>
      <sz val="12"/>
      <color theme="1"/>
      <name val="Lato"/>
      <family val="2"/>
    </font>
    <font>
      <b/>
      <sz val="16"/>
      <color theme="1"/>
      <name val="Lato"/>
      <family val="2"/>
    </font>
    <font>
      <b/>
      <sz val="18"/>
      <color theme="1"/>
      <name val="Lato"/>
      <family val="2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24"/>
      <color theme="1"/>
      <name val="Times New Roman"/>
      <family val="1"/>
    </font>
    <font>
      <b/>
      <sz val="12"/>
      <color theme="0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0" tint="-0.34998626667073579"/>
      <name val="Times New Roman"/>
      <family val="1"/>
    </font>
    <font>
      <b/>
      <sz val="16"/>
      <color rgb="FFFF0000"/>
      <name val="Times New Roman"/>
      <family val="1"/>
    </font>
  </fonts>
  <fills count="14">
    <fill>
      <patternFill patternType="none"/>
    </fill>
    <fill>
      <patternFill patternType="gray125"/>
    </fill>
    <fill>
      <gradientFill degree="90">
        <stop position="0">
          <color theme="0" tint="-5.0965910824915313E-2"/>
        </stop>
        <stop position="1">
          <color theme="0" tint="-0.1490218817712943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thin">
        <color theme="6" tint="0.39997558519241921"/>
      </bottom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4" xfId="0" applyFont="1" applyBorder="1"/>
    <xf numFmtId="0" fontId="6" fillId="0" borderId="0" xfId="0" applyFont="1"/>
    <xf numFmtId="0" fontId="7" fillId="0" borderId="0" xfId="0" applyFont="1"/>
    <xf numFmtId="0" fontId="6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4" xfId="0" applyFont="1" applyBorder="1"/>
    <xf numFmtId="0" fontId="7" fillId="0" borderId="5" xfId="0" applyFont="1" applyBorder="1"/>
    <xf numFmtId="0" fontId="9" fillId="0" borderId="4" xfId="0" applyFont="1" applyBorder="1"/>
    <xf numFmtId="0" fontId="9" fillId="0" borderId="0" xfId="0" applyFont="1" applyAlignment="1">
      <alignment wrapText="1"/>
    </xf>
    <xf numFmtId="0" fontId="9" fillId="0" borderId="5" xfId="0" applyFont="1" applyBorder="1" applyAlignment="1">
      <alignment wrapText="1"/>
    </xf>
    <xf numFmtId="0" fontId="9" fillId="0" borderId="7" xfId="0" applyFont="1" applyBorder="1" applyAlignment="1">
      <alignment horizontal="center" wrapText="1"/>
    </xf>
    <xf numFmtId="0" fontId="9" fillId="0" borderId="7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0" xfId="0" applyFont="1" applyAlignment="1">
      <alignment vertical="center" wrapText="1"/>
    </xf>
    <xf numFmtId="0" fontId="6" fillId="5" borderId="0" xfId="0" applyFont="1" applyFill="1" applyAlignment="1">
      <alignment horizontal="center" wrapText="1"/>
    </xf>
    <xf numFmtId="0" fontId="6" fillId="5" borderId="0" xfId="0" applyFont="1" applyFill="1" applyAlignment="1">
      <alignment horizontal="center" vertical="center" shrinkToFit="1"/>
    </xf>
    <xf numFmtId="42" fontId="7" fillId="5" borderId="0" xfId="1" applyFont="1" applyFill="1" applyBorder="1" applyAlignment="1">
      <alignment shrinkToFit="1"/>
    </xf>
    <xf numFmtId="42" fontId="6" fillId="5" borderId="0" xfId="1" applyFont="1" applyFill="1" applyBorder="1" applyAlignment="1">
      <alignment shrinkToFi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42" fontId="6" fillId="5" borderId="0" xfId="1" applyFont="1" applyFill="1" applyBorder="1" applyAlignment="1">
      <alignment wrapText="1"/>
    </xf>
    <xf numFmtId="0" fontId="6" fillId="0" borderId="0" xfId="0" applyFont="1" applyAlignment="1">
      <alignment wrapText="1"/>
    </xf>
    <xf numFmtId="42" fontId="6" fillId="6" borderId="0" xfId="1" applyFont="1" applyFill="1" applyBorder="1" applyAlignment="1">
      <alignment wrapText="1"/>
    </xf>
    <xf numFmtId="42" fontId="6" fillId="0" borderId="0" xfId="1" applyFont="1" applyBorder="1" applyAlignment="1">
      <alignment wrapText="1"/>
    </xf>
    <xf numFmtId="0" fontId="9" fillId="0" borderId="7" xfId="0" applyFont="1" applyBorder="1" applyAlignment="1">
      <alignment shrinkToFit="1"/>
    </xf>
    <xf numFmtId="0" fontId="6" fillId="0" borderId="7" xfId="0" applyFont="1" applyBorder="1" applyAlignment="1">
      <alignment vertical="center" shrinkToFit="1"/>
    </xf>
    <xf numFmtId="0" fontId="9" fillId="0" borderId="0" xfId="0" applyFont="1" applyAlignment="1">
      <alignment shrinkToFit="1"/>
    </xf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9" xfId="0" applyFont="1" applyBorder="1"/>
    <xf numFmtId="0" fontId="9" fillId="0" borderId="11" xfId="0" applyFont="1" applyBorder="1"/>
    <xf numFmtId="0" fontId="2" fillId="8" borderId="29" xfId="0" applyFont="1" applyFill="1" applyBorder="1" applyAlignment="1">
      <alignment wrapText="1"/>
    </xf>
    <xf numFmtId="0" fontId="2" fillId="8" borderId="30" xfId="0" applyFont="1" applyFill="1" applyBorder="1"/>
    <xf numFmtId="0" fontId="2" fillId="8" borderId="30" xfId="0" applyFont="1" applyFill="1" applyBorder="1" applyAlignment="1">
      <alignment horizontal="center" vertical="center"/>
    </xf>
    <xf numFmtId="0" fontId="0" fillId="0" borderId="29" xfId="0" applyBorder="1" applyAlignment="1">
      <alignment wrapText="1"/>
    </xf>
    <xf numFmtId="0" fontId="0" fillId="0" borderId="30" xfId="0" applyBorder="1"/>
    <xf numFmtId="0" fontId="0" fillId="0" borderId="30" xfId="0" applyBorder="1" applyAlignment="1">
      <alignment horizontal="center" vertical="center"/>
    </xf>
    <xf numFmtId="0" fontId="16" fillId="0" borderId="0" xfId="0" applyFont="1"/>
    <xf numFmtId="0" fontId="3" fillId="9" borderId="31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7" fillId="0" borderId="0" xfId="0" applyFont="1"/>
    <xf numFmtId="0" fontId="19" fillId="5" borderId="0" xfId="0" applyFont="1" applyFill="1"/>
    <xf numFmtId="0" fontId="0" fillId="5" borderId="0" xfId="0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 wrapText="1"/>
    </xf>
    <xf numFmtId="0" fontId="21" fillId="0" borderId="0" xfId="0" applyFont="1"/>
    <xf numFmtId="0" fontId="21" fillId="0" borderId="0" xfId="0" applyFont="1" applyAlignment="1">
      <alignment wrapText="1"/>
    </xf>
    <xf numFmtId="167" fontId="21" fillId="0" borderId="0" xfId="0" applyNumberFormat="1" applyFont="1" applyAlignment="1">
      <alignment horizontal="right" vertical="center" wrapText="1"/>
    </xf>
    <xf numFmtId="167" fontId="21" fillId="0" borderId="0" xfId="0" applyNumberFormat="1" applyFont="1" applyAlignment="1">
      <alignment horizontal="right"/>
    </xf>
    <xf numFmtId="0" fontId="19" fillId="0" borderId="0" xfId="0" applyFont="1"/>
    <xf numFmtId="167" fontId="19" fillId="0" borderId="0" xfId="0" applyNumberFormat="1" applyFont="1" applyAlignment="1">
      <alignment horizontal="right"/>
    </xf>
    <xf numFmtId="166" fontId="20" fillId="0" borderId="0" xfId="0" applyNumberFormat="1" applyFont="1"/>
    <xf numFmtId="0" fontId="18" fillId="0" borderId="0" xfId="0" applyFont="1"/>
    <xf numFmtId="166" fontId="18" fillId="0" borderId="0" xfId="0" applyNumberFormat="1" applyFont="1"/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10" borderId="0" xfId="0" applyFont="1" applyFill="1"/>
    <xf numFmtId="0" fontId="20" fillId="0" borderId="36" xfId="0" applyFont="1" applyBorder="1" applyAlignment="1">
      <alignment horizontal="center"/>
    </xf>
    <xf numFmtId="0" fontId="20" fillId="0" borderId="36" xfId="0" applyFont="1" applyBorder="1"/>
    <xf numFmtId="0" fontId="20" fillId="0" borderId="36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/>
    </xf>
    <xf numFmtId="0" fontId="21" fillId="0" borderId="36" xfId="0" applyFont="1" applyBorder="1"/>
    <xf numFmtId="0" fontId="18" fillId="10" borderId="0" xfId="0" applyFont="1" applyFill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0" fontId="0" fillId="0" borderId="0" xfId="0" applyNumberFormat="1"/>
    <xf numFmtId="9" fontId="21" fillId="0" borderId="0" xfId="0" applyNumberFormat="1" applyFont="1"/>
    <xf numFmtId="10" fontId="21" fillId="0" borderId="0" xfId="0" applyNumberFormat="1" applyFont="1"/>
    <xf numFmtId="0" fontId="19" fillId="0" borderId="0" xfId="0" applyFont="1" applyAlignment="1">
      <alignment wrapText="1"/>
    </xf>
    <xf numFmtId="9" fontId="19" fillId="0" borderId="0" xfId="0" applyNumberFormat="1" applyFont="1"/>
    <xf numFmtId="10" fontId="19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2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0" fontId="0" fillId="12" borderId="0" xfId="0" applyFill="1"/>
    <xf numFmtId="0" fontId="4" fillId="12" borderId="0" xfId="0" applyFont="1" applyFill="1" applyAlignment="1">
      <alignment horizontal="center" wrapText="1"/>
    </xf>
    <xf numFmtId="0" fontId="4" fillId="12" borderId="0" xfId="0" applyFont="1" applyFill="1" applyAlignment="1">
      <alignment wrapText="1"/>
    </xf>
    <xf numFmtId="0" fontId="4" fillId="1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right"/>
    </xf>
    <xf numFmtId="164" fontId="11" fillId="0" borderId="0" xfId="0" applyNumberFormat="1" applyFont="1" applyAlignment="1">
      <alignment shrinkToFit="1"/>
    </xf>
    <xf numFmtId="0" fontId="9" fillId="0" borderId="0" xfId="0" applyFont="1" applyAlignment="1">
      <alignment horizontal="right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9" fillId="0" borderId="7" xfId="0" applyNumberFormat="1" applyFont="1" applyBorder="1" applyAlignment="1">
      <alignment wrapText="1"/>
    </xf>
    <xf numFmtId="0" fontId="6" fillId="5" borderId="0" xfId="0" applyFont="1" applyFill="1" applyAlignment="1">
      <alignment horizontal="center" vertical="center"/>
    </xf>
    <xf numFmtId="0" fontId="9" fillId="0" borderId="5" xfId="0" applyFont="1" applyBorder="1"/>
    <xf numFmtId="42" fontId="7" fillId="5" borderId="0" xfId="1" applyFont="1" applyFill="1" applyBorder="1" applyAlignment="1"/>
    <xf numFmtId="42" fontId="6" fillId="5" borderId="0" xfId="1" applyFont="1" applyFill="1" applyBorder="1" applyAlignment="1"/>
    <xf numFmtId="43" fontId="21" fillId="0" borderId="0" xfId="2" applyFont="1"/>
    <xf numFmtId="43" fontId="19" fillId="0" borderId="0" xfId="2" applyFont="1"/>
    <xf numFmtId="43" fontId="16" fillId="0" borderId="0" xfId="2" applyFont="1"/>
    <xf numFmtId="0" fontId="25" fillId="8" borderId="37" xfId="0" applyFont="1" applyFill="1" applyBorder="1" applyAlignment="1">
      <alignment horizontal="center" vertical="center"/>
    </xf>
    <xf numFmtId="0" fontId="25" fillId="8" borderId="38" xfId="0" applyFont="1" applyFill="1" applyBorder="1" applyAlignment="1">
      <alignment horizontal="center" vertical="center"/>
    </xf>
    <xf numFmtId="43" fontId="16" fillId="0" borderId="41" xfId="2" applyFont="1" applyBorder="1"/>
    <xf numFmtId="0" fontId="25" fillId="8" borderId="37" xfId="0" applyFont="1" applyFill="1" applyBorder="1" applyAlignment="1">
      <alignment horizontal="center" vertical="center" wrapText="1"/>
    </xf>
    <xf numFmtId="0" fontId="25" fillId="8" borderId="38" xfId="0" applyFont="1" applyFill="1" applyBorder="1" applyAlignment="1">
      <alignment horizontal="center" vertical="center" wrapText="1"/>
    </xf>
    <xf numFmtId="0" fontId="25" fillId="8" borderId="39" xfId="0" applyFont="1" applyFill="1" applyBorder="1" applyAlignment="1">
      <alignment horizontal="center" vertical="center" wrapText="1"/>
    </xf>
    <xf numFmtId="10" fontId="16" fillId="0" borderId="0" xfId="3" applyNumberFormat="1" applyFont="1"/>
    <xf numFmtId="9" fontId="16" fillId="0" borderId="0" xfId="3" applyFont="1"/>
    <xf numFmtId="0" fontId="6" fillId="0" borderId="0" xfId="0" applyFont="1" applyAlignment="1">
      <alignment vertical="center" shrinkToFit="1"/>
    </xf>
    <xf numFmtId="168" fontId="15" fillId="0" borderId="0" xfId="0" applyNumberFormat="1" applyFont="1" applyAlignment="1">
      <alignment horizontal="center" vertical="center" shrinkToFit="1"/>
    </xf>
    <xf numFmtId="0" fontId="9" fillId="0" borderId="7" xfId="0" applyFont="1" applyBorder="1" applyAlignment="1">
      <alignment horizontal="centerContinuous" wrapText="1"/>
    </xf>
    <xf numFmtId="0" fontId="31" fillId="0" borderId="0" xfId="0" applyFont="1"/>
    <xf numFmtId="0" fontId="28" fillId="1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Continuous"/>
    </xf>
    <xf numFmtId="0" fontId="28" fillId="13" borderId="0" xfId="0" applyFont="1" applyFill="1" applyAlignment="1">
      <alignment horizontal="center" wrapText="1"/>
    </xf>
    <xf numFmtId="0" fontId="27" fillId="0" borderId="15" xfId="0" applyFont="1" applyBorder="1" applyAlignment="1">
      <alignment horizontal="center" vertical="center" shrinkToFit="1"/>
    </xf>
    <xf numFmtId="0" fontId="27" fillId="0" borderId="16" xfId="0" applyFont="1" applyBorder="1" applyAlignment="1">
      <alignment horizontal="center" vertical="center" shrinkToFit="1"/>
    </xf>
    <xf numFmtId="0" fontId="27" fillId="0" borderId="1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 shrinkToFit="1"/>
    </xf>
    <xf numFmtId="0" fontId="27" fillId="0" borderId="17" xfId="0" applyFont="1" applyBorder="1" applyAlignment="1">
      <alignment horizontal="center" vertical="center" shrinkToFit="1"/>
    </xf>
    <xf numFmtId="0" fontId="22" fillId="0" borderId="18" xfId="0" applyFont="1" applyBorder="1"/>
    <xf numFmtId="0" fontId="22" fillId="0" borderId="19" xfId="0" applyFont="1" applyBorder="1"/>
    <xf numFmtId="42" fontId="22" fillId="0" borderId="19" xfId="1" applyFont="1" applyBorder="1" applyAlignment="1"/>
    <xf numFmtId="42" fontId="22" fillId="0" borderId="20" xfId="1" applyFont="1" applyBorder="1" applyAlignment="1"/>
    <xf numFmtId="0" fontId="22" fillId="0" borderId="21" xfId="0" applyFont="1" applyBorder="1"/>
    <xf numFmtId="0" fontId="22" fillId="0" borderId="22" xfId="0" applyFont="1" applyBorder="1"/>
    <xf numFmtId="42" fontId="22" fillId="0" borderId="23" xfId="1" applyFont="1" applyBorder="1" applyAlignment="1"/>
    <xf numFmtId="0" fontId="22" fillId="0" borderId="24" xfId="0" applyFont="1" applyBorder="1"/>
    <xf numFmtId="0" fontId="22" fillId="0" borderId="25" xfId="0" applyFont="1" applyBorder="1"/>
    <xf numFmtId="0" fontId="22" fillId="0" borderId="0" xfId="0" applyFont="1"/>
    <xf numFmtId="0" fontId="27" fillId="0" borderId="27" xfId="0" applyFont="1" applyBorder="1"/>
    <xf numFmtId="42" fontId="27" fillId="6" borderId="28" xfId="1" applyFont="1" applyFill="1" applyBorder="1" applyAlignment="1"/>
    <xf numFmtId="164" fontId="32" fillId="0" borderId="0" xfId="0" applyNumberFormat="1" applyFont="1" applyAlignment="1">
      <alignment shrinkToFit="1"/>
    </xf>
    <xf numFmtId="0" fontId="23" fillId="0" borderId="0" xfId="0" applyFont="1" applyAlignment="1">
      <alignment horizontal="left" wrapText="1"/>
    </xf>
    <xf numFmtId="0" fontId="23" fillId="0" borderId="0" xfId="0" applyFont="1" applyAlignment="1">
      <alignment wrapText="1"/>
    </xf>
    <xf numFmtId="0" fontId="32" fillId="0" borderId="0" xfId="0" applyFont="1" applyAlignment="1">
      <alignment horizontal="right"/>
    </xf>
    <xf numFmtId="0" fontId="23" fillId="0" borderId="7" xfId="0" applyFont="1" applyBorder="1" applyAlignment="1">
      <alignment horizontal="center" wrapText="1"/>
    </xf>
    <xf numFmtId="0" fontId="23" fillId="0" borderId="0" xfId="0" applyFont="1" applyAlignment="1">
      <alignment horizontal="right" wrapText="1"/>
    </xf>
    <xf numFmtId="2" fontId="23" fillId="0" borderId="7" xfId="0" applyNumberFormat="1" applyFont="1" applyBorder="1" applyAlignment="1">
      <alignment wrapText="1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2" fontId="22" fillId="0" borderId="19" xfId="0" applyNumberFormat="1" applyFont="1" applyBorder="1"/>
    <xf numFmtId="42" fontId="22" fillId="0" borderId="22" xfId="1" applyFont="1" applyBorder="1" applyAlignment="1"/>
    <xf numFmtId="42" fontId="22" fillId="0" borderId="25" xfId="1" applyFont="1" applyBorder="1" applyAlignment="1"/>
    <xf numFmtId="42" fontId="22" fillId="0" borderId="26" xfId="1" applyFont="1" applyBorder="1" applyAlignment="1"/>
    <xf numFmtId="42" fontId="27" fillId="0" borderId="27" xfId="1" applyFont="1" applyBorder="1" applyAlignment="1"/>
    <xf numFmtId="43" fontId="16" fillId="11" borderId="40" xfId="2" applyFont="1" applyFill="1" applyBorder="1"/>
    <xf numFmtId="43" fontId="16" fillId="0" borderId="40" xfId="2" applyFont="1" applyBorder="1"/>
    <xf numFmtId="0" fontId="16" fillId="11" borderId="42" xfId="0" applyFont="1" applyFill="1" applyBorder="1"/>
    <xf numFmtId="0" fontId="16" fillId="0" borderId="42" xfId="0" applyFont="1" applyBorder="1"/>
    <xf numFmtId="0" fontId="25" fillId="8" borderId="44" xfId="0" applyFont="1" applyFill="1" applyBorder="1"/>
    <xf numFmtId="0" fontId="25" fillId="8" borderId="45" xfId="0" applyFont="1" applyFill="1" applyBorder="1"/>
    <xf numFmtId="0" fontId="16" fillId="0" borderId="46" xfId="0" applyFont="1" applyBorder="1"/>
    <xf numFmtId="43" fontId="16" fillId="0" borderId="47" xfId="2" applyFont="1" applyBorder="1"/>
    <xf numFmtId="0" fontId="24" fillId="12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 vertical="center" wrapText="1"/>
    </xf>
    <xf numFmtId="0" fontId="0" fillId="12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left" wrapText="1"/>
    </xf>
    <xf numFmtId="14" fontId="9" fillId="0" borderId="7" xfId="0" applyNumberFormat="1" applyFont="1" applyBorder="1" applyAlignment="1">
      <alignment horizontal="center" wrapText="1"/>
    </xf>
    <xf numFmtId="0" fontId="9" fillId="0" borderId="0" xfId="0" applyFont="1" applyAlignment="1">
      <alignment horizontal="right" wrapText="1"/>
    </xf>
    <xf numFmtId="0" fontId="28" fillId="13" borderId="0" xfId="0" applyFont="1" applyFill="1" applyAlignment="1">
      <alignment horizontal="center"/>
    </xf>
    <xf numFmtId="0" fontId="12" fillId="3" borderId="9" xfId="0" applyFont="1" applyFill="1" applyBorder="1" applyAlignment="1">
      <alignment horizontal="center" wrapText="1"/>
    </xf>
    <xf numFmtId="0" fontId="12" fillId="3" borderId="10" xfId="0" applyFont="1" applyFill="1" applyBorder="1" applyAlignment="1">
      <alignment horizontal="center" wrapText="1"/>
    </xf>
    <xf numFmtId="0" fontId="12" fillId="3" borderId="11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13" fillId="0" borderId="0" xfId="0" applyFont="1" applyAlignment="1">
      <alignment horizontal="right" wrapText="1"/>
    </xf>
    <xf numFmtId="0" fontId="23" fillId="0" borderId="0" xfId="0" applyFont="1" applyAlignment="1">
      <alignment horizontal="left" wrapText="1"/>
    </xf>
    <xf numFmtId="0" fontId="23" fillId="0" borderId="7" xfId="0" applyFont="1" applyBorder="1" applyAlignment="1">
      <alignment horizontal="center" wrapText="1"/>
    </xf>
    <xf numFmtId="0" fontId="28" fillId="3" borderId="9" xfId="0" applyFont="1" applyFill="1" applyBorder="1" applyAlignment="1">
      <alignment horizontal="center" wrapText="1"/>
    </xf>
    <xf numFmtId="0" fontId="28" fillId="3" borderId="10" xfId="0" applyFont="1" applyFill="1" applyBorder="1" applyAlignment="1">
      <alignment horizontal="center" wrapText="1"/>
    </xf>
    <xf numFmtId="0" fontId="28" fillId="3" borderId="11" xfId="0" applyFont="1" applyFill="1" applyBorder="1" applyAlignment="1">
      <alignment horizontal="center" wrapText="1"/>
    </xf>
    <xf numFmtId="0" fontId="23" fillId="0" borderId="0" xfId="0" applyFont="1" applyAlignment="1">
      <alignment horizontal="right" wrapText="1"/>
    </xf>
    <xf numFmtId="0" fontId="28" fillId="0" borderId="0" xfId="0" applyFont="1" applyAlignment="1">
      <alignment horizontal="right" wrapText="1"/>
    </xf>
    <xf numFmtId="14" fontId="23" fillId="0" borderId="7" xfId="0" applyNumberFormat="1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165" fontId="14" fillId="7" borderId="7" xfId="0" applyNumberFormat="1" applyFont="1" applyFill="1" applyBorder="1" applyAlignment="1">
      <alignment horizontal="left" vertical="center" shrinkToFit="1"/>
    </xf>
    <xf numFmtId="0" fontId="13" fillId="4" borderId="12" xfId="0" applyFont="1" applyFill="1" applyBorder="1" applyAlignment="1">
      <alignment horizontal="left" vertical="center" wrapText="1"/>
    </xf>
    <xf numFmtId="0" fontId="13" fillId="4" borderId="13" xfId="0" applyFont="1" applyFill="1" applyBorder="1" applyAlignment="1">
      <alignment horizontal="left" vertical="center" wrapText="1"/>
    </xf>
    <xf numFmtId="0" fontId="13" fillId="4" borderId="14" xfId="0" applyFont="1" applyFill="1" applyBorder="1" applyAlignment="1">
      <alignment horizontal="left" vertical="center" wrapText="1"/>
    </xf>
    <xf numFmtId="0" fontId="27" fillId="2" borderId="15" xfId="0" applyFont="1" applyFill="1" applyBorder="1" applyAlignment="1">
      <alignment horizontal="center" wrapText="1"/>
    </xf>
    <xf numFmtId="0" fontId="27" fillId="2" borderId="16" xfId="0" applyFont="1" applyFill="1" applyBorder="1" applyAlignment="1">
      <alignment horizontal="center" wrapText="1"/>
    </xf>
    <xf numFmtId="0" fontId="27" fillId="2" borderId="17" xfId="0" applyFont="1" applyFill="1" applyBorder="1" applyAlignment="1">
      <alignment horizontal="center" wrapText="1"/>
    </xf>
    <xf numFmtId="168" fontId="15" fillId="7" borderId="7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9" fillId="10" borderId="34" xfId="0" applyFont="1" applyFill="1" applyBorder="1" applyAlignment="1">
      <alignment horizontal="center"/>
    </xf>
    <xf numFmtId="0" fontId="19" fillId="10" borderId="35" xfId="0" applyFont="1" applyFill="1" applyBorder="1" applyAlignment="1">
      <alignment horizontal="center"/>
    </xf>
    <xf numFmtId="0" fontId="19" fillId="10" borderId="33" xfId="0" applyFont="1" applyFill="1" applyBorder="1" applyAlignment="1">
      <alignment horizontal="center"/>
    </xf>
    <xf numFmtId="0" fontId="19" fillId="10" borderId="32" xfId="0" applyFont="1" applyFill="1" applyBorder="1" applyAlignment="1">
      <alignment horizontal="center"/>
    </xf>
    <xf numFmtId="0" fontId="3" fillId="9" borderId="43" xfId="0" applyFont="1" applyFill="1" applyBorder="1" applyAlignment="1">
      <alignment horizontal="left"/>
    </xf>
    <xf numFmtId="0" fontId="3" fillId="9" borderId="0" xfId="0" applyFont="1" applyFill="1" applyAlignment="1">
      <alignment horizontal="left"/>
    </xf>
    <xf numFmtId="0" fontId="26" fillId="9" borderId="43" xfId="0" applyFont="1" applyFill="1" applyBorder="1" applyAlignment="1">
      <alignment horizontal="left"/>
    </xf>
    <xf numFmtId="0" fontId="26" fillId="9" borderId="0" xfId="0" applyFont="1" applyFill="1" applyAlignment="1">
      <alignment horizontal="left"/>
    </xf>
  </cellXfs>
  <cellStyles count="4">
    <cellStyle name="Millares" xfId="2" builtinId="3"/>
    <cellStyle name="Moneda [0]" xfId="1" builtinId="7"/>
    <cellStyle name="Normal" xfId="0" builtinId="0"/>
    <cellStyle name="Porcentaje" xfId="3" builtinId="5"/>
  </cellStyles>
  <dxfs count="1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border diagonalUp="0" diagonalDown="0">
        <left style="thin">
          <color theme="6" tint="0.39997558519241921"/>
        </left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family val="1"/>
        <scheme val="none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family val="1"/>
        <scheme val="none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theme="6" tint="0.59999389629810485"/>
          <bgColor theme="6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theme="6" tint="0.59999389629810485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  <alignment horizontal="center" vertical="center" wrapText="1"/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b/>
        <sz val="12"/>
        <name val="Times New Roman"/>
      </font>
      <alignment horizontal="center" vertical="center" wrapText="1"/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  <alignment horizontal="center" vertical="center" wrapText="1"/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sz val="12"/>
        <name val="Times New Roman"/>
      </font>
    </dxf>
    <dxf>
      <font>
        <sz val="12"/>
        <name val="Times New Roman"/>
      </font>
      <alignment horizontal="center" vertical="center" wrapText="1"/>
    </dxf>
    <dxf>
      <font>
        <sz val="12"/>
        <name val="Times New Roman"/>
      </font>
      <numFmt numFmtId="14" formatCode="0.00%"/>
    </dxf>
    <dxf>
      <font>
        <sz val="12"/>
        <name val="Times New Roman"/>
      </font>
      <alignment horizontal="general" vertical="bottom" textRotation="0" wrapText="1" indent="0" justifyLastLine="0" shrinkToFit="0" readingOrder="0"/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  <alignment horizontal="center" vertical="center"/>
    </dxf>
    <dxf>
      <font>
        <name val="Times New Roman"/>
      </font>
    </dxf>
    <dxf>
      <font>
        <name val="Times New Roman"/>
      </font>
      <alignment horizontal="center" vertical="bottom" textRotation="0" wrapText="0" indent="0" justifyLastLine="0" shrinkToFit="0" readingOrder="0"/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</dxf>
    <dxf>
      <font>
        <name val="Times New Roman"/>
      </font>
      <alignment horizontal="center" vertical="center"/>
    </dxf>
    <dxf>
      <font>
        <name val="Times New Roman"/>
      </font>
    </dxf>
    <dxf>
      <font>
        <name val="Times New Roman"/>
      </font>
    </dxf>
    <dxf>
      <font>
        <name val="Times New Roman"/>
      </font>
      <alignment horizontal="center" vertical="center" wrapText="1"/>
    </dxf>
    <dxf>
      <font>
        <sz val="12"/>
        <name val="Times New Roman"/>
      </font>
      <numFmt numFmtId="167" formatCode="_-[$$-240A]\ * #,##0_-;\-[$$-240A]\ * #,##0_-;_-[$$-240A]\ * &quot;-&quot;??_-;_-@_-"/>
      <alignment horizontal="right"/>
    </dxf>
    <dxf>
      <font>
        <sz val="12"/>
        <name val="Times New Roman"/>
      </font>
    </dxf>
    <dxf>
      <border outline="0">
        <top style="medium">
          <color rgb="FF000000"/>
        </top>
      </border>
    </dxf>
    <dxf>
      <font>
        <sz val="12"/>
        <name val="Times New Roman"/>
      </font>
    </dxf>
    <dxf>
      <font>
        <sz val="12"/>
        <name val="Times New Roman"/>
      </font>
      <alignment horizontal="center" vertical="center"/>
    </dxf>
    <dxf>
      <font>
        <name val="Times New Roman"/>
      </font>
      <numFmt numFmtId="166" formatCode="_-[$$-240A]\ * #,##0.00_-;\-[$$-240A]\ * #,##0.00_-;_-[$$-240A]\ * &quot;-&quot;??_-;_-@_-"/>
    </dxf>
    <dxf>
      <font>
        <name val="Times New Roman"/>
      </font>
    </dxf>
    <dxf>
      <font>
        <name val="Times New Roman"/>
      </font>
    </dxf>
    <dxf>
      <font>
        <name val="Times New Roman"/>
      </font>
      <alignment horizontal="center" vertical="center" wrapText="1"/>
    </dxf>
    <dxf>
      <alignment horizontal="center" vertical="center"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Continuous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Continuous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6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 tint="-0.34998626667073579"/>
        <name val="Times New Roman"/>
        <family val="1"/>
        <scheme val="none"/>
      </font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7" Type="http://schemas.openxmlformats.org/officeDocument/2006/relationships/image" Target="../media/image4.svg"/><Relationship Id="rId2" Type="http://schemas.openxmlformats.org/officeDocument/2006/relationships/hyperlink" Target="#'ORDEN DE PRODUCCION'!A1"/><Relationship Id="rId1" Type="http://schemas.openxmlformats.org/officeDocument/2006/relationships/hyperlink" Target="#'HOJA DE COSTO'!A1"/><Relationship Id="rId6" Type="http://schemas.openxmlformats.org/officeDocument/2006/relationships/image" Target="../media/image3.png"/><Relationship Id="rId5" Type="http://schemas.openxmlformats.org/officeDocument/2006/relationships/hyperlink" Target="#'INFORMACION DE COSTOS'!A1"/><Relationship Id="rId4" Type="http://schemas.openxmlformats.org/officeDocument/2006/relationships/image" Target="../media/image2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hyperlink" Target="#'TABLERO DE MANDO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hyperlink" Target="#'TABLERO DE MANDO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svg"/><Relationship Id="rId2" Type="http://schemas.openxmlformats.org/officeDocument/2006/relationships/image" Target="../media/image5.png"/><Relationship Id="rId1" Type="http://schemas.openxmlformats.org/officeDocument/2006/relationships/hyperlink" Target="#'TABLERO DE MAND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645300</xdr:colOff>
      <xdr:row>5</xdr:row>
      <xdr:rowOff>111900</xdr:rowOff>
    </xdr:from>
    <xdr:to>
      <xdr:col>1</xdr:col>
      <xdr:colOff>1235850</xdr:colOff>
      <xdr:row>9</xdr:row>
      <xdr:rowOff>111900</xdr:rowOff>
    </xdr:to>
    <xdr:grpSp>
      <xdr:nvGrpSpPr>
        <xdr:cNvPr id="22" name="Gráfico 8" descr="Lista de comprobación con relleno sóli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6B6547-87C0-7D6C-8AAF-CB2651F4A7F7}"/>
            </a:ext>
          </a:extLst>
        </xdr:cNvPr>
        <xdr:cNvGrpSpPr/>
      </xdr:nvGrpSpPr>
      <xdr:grpSpPr>
        <a:xfrm>
          <a:off x="1407300" y="1445400"/>
          <a:ext cx="590550" cy="762000"/>
          <a:chOff x="2807475" y="1635900"/>
          <a:chExt cx="590550" cy="762000"/>
        </a:xfrm>
        <a:solidFill>
          <a:srgbClr val="000000"/>
        </a:solidFill>
        <a:effectLst>
          <a:glow rad="63500">
            <a:schemeClr val="accent5">
              <a:satMod val="175000"/>
              <a:alpha val="40000"/>
            </a:schemeClr>
          </a:glow>
        </a:effectLst>
      </xdr:grpSpPr>
      <xdr:sp macro="" textlink="">
        <xdr:nvSpPr>
          <xdr:cNvPr id="23" name="Forma libre: forma 22">
            <a:extLst>
              <a:ext uri="{FF2B5EF4-FFF2-40B4-BE49-F238E27FC236}">
                <a16:creationId xmlns:a16="http://schemas.microsoft.com/office/drawing/2014/main" id="{8891C198-C533-3538-387F-F56018F3FC71}"/>
              </a:ext>
            </a:extLst>
          </xdr:cNvPr>
          <xdr:cNvSpPr/>
        </xdr:nvSpPr>
        <xdr:spPr>
          <a:xfrm>
            <a:off x="2807475" y="1635900"/>
            <a:ext cx="590550" cy="762000"/>
          </a:xfrm>
          <a:custGeom>
            <a:avLst/>
            <a:gdLst>
              <a:gd name="connsiteX0" fmla="*/ 57150 w 590550"/>
              <a:gd name="connsiteY0" fmla="*/ 57150 h 762000"/>
              <a:gd name="connsiteX1" fmla="*/ 533400 w 590550"/>
              <a:gd name="connsiteY1" fmla="*/ 57150 h 762000"/>
              <a:gd name="connsiteX2" fmla="*/ 533400 w 590550"/>
              <a:gd name="connsiteY2" fmla="*/ 704850 h 762000"/>
              <a:gd name="connsiteX3" fmla="*/ 57150 w 590550"/>
              <a:gd name="connsiteY3" fmla="*/ 704850 h 762000"/>
              <a:gd name="connsiteX4" fmla="*/ 57150 w 590550"/>
              <a:gd name="connsiteY4" fmla="*/ 57150 h 762000"/>
              <a:gd name="connsiteX5" fmla="*/ 0 w 590550"/>
              <a:gd name="connsiteY5" fmla="*/ 762000 h 762000"/>
              <a:gd name="connsiteX6" fmla="*/ 590550 w 590550"/>
              <a:gd name="connsiteY6" fmla="*/ 762000 h 762000"/>
              <a:gd name="connsiteX7" fmla="*/ 590550 w 590550"/>
              <a:gd name="connsiteY7" fmla="*/ 0 h 762000"/>
              <a:gd name="connsiteX8" fmla="*/ 0 w 590550"/>
              <a:gd name="connsiteY8" fmla="*/ 0 h 762000"/>
              <a:gd name="connsiteX9" fmla="*/ 0 w 590550"/>
              <a:gd name="connsiteY9" fmla="*/ 762000 h 76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590550" h="762000">
                <a:moveTo>
                  <a:pt x="57150" y="57150"/>
                </a:moveTo>
                <a:lnTo>
                  <a:pt x="533400" y="57150"/>
                </a:lnTo>
                <a:lnTo>
                  <a:pt x="533400" y="704850"/>
                </a:lnTo>
                <a:lnTo>
                  <a:pt x="57150" y="704850"/>
                </a:lnTo>
                <a:lnTo>
                  <a:pt x="57150" y="57150"/>
                </a:lnTo>
                <a:close/>
                <a:moveTo>
                  <a:pt x="0" y="762000"/>
                </a:moveTo>
                <a:lnTo>
                  <a:pt x="590550" y="762000"/>
                </a:lnTo>
                <a:lnTo>
                  <a:pt x="590550" y="0"/>
                </a:lnTo>
                <a:lnTo>
                  <a:pt x="0" y="0"/>
                </a:lnTo>
                <a:lnTo>
                  <a:pt x="0" y="762000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4" name="Forma libre: forma 23">
            <a:extLst>
              <a:ext uri="{FF2B5EF4-FFF2-40B4-BE49-F238E27FC236}">
                <a16:creationId xmlns:a16="http://schemas.microsoft.com/office/drawing/2014/main" id="{853DD18F-BC03-9385-7EFB-62FB6C7AE7C1}"/>
              </a:ext>
            </a:extLst>
          </xdr:cNvPr>
          <xdr:cNvSpPr/>
        </xdr:nvSpPr>
        <xdr:spPr>
          <a:xfrm>
            <a:off x="3121800" y="1778775"/>
            <a:ext cx="161925" cy="38100"/>
          </a:xfrm>
          <a:custGeom>
            <a:avLst/>
            <a:gdLst>
              <a:gd name="connsiteX0" fmla="*/ 0 w 161925"/>
              <a:gd name="connsiteY0" fmla="*/ 0 h 38100"/>
              <a:gd name="connsiteX1" fmla="*/ 161925 w 161925"/>
              <a:gd name="connsiteY1" fmla="*/ 0 h 38100"/>
              <a:gd name="connsiteX2" fmla="*/ 161925 w 161925"/>
              <a:gd name="connsiteY2" fmla="*/ 38100 h 38100"/>
              <a:gd name="connsiteX3" fmla="*/ 0 w 161925"/>
              <a:gd name="connsiteY3" fmla="*/ 38100 h 381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61925" h="38100">
                <a:moveTo>
                  <a:pt x="0" y="0"/>
                </a:moveTo>
                <a:lnTo>
                  <a:pt x="161925" y="0"/>
                </a:lnTo>
                <a:lnTo>
                  <a:pt x="161925" y="38100"/>
                </a:lnTo>
                <a:lnTo>
                  <a:pt x="0" y="38100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5" name="Forma libre: forma 24">
            <a:extLst>
              <a:ext uri="{FF2B5EF4-FFF2-40B4-BE49-F238E27FC236}">
                <a16:creationId xmlns:a16="http://schemas.microsoft.com/office/drawing/2014/main" id="{89ECC851-64FA-48EE-9208-3080DD45D966}"/>
              </a:ext>
            </a:extLst>
          </xdr:cNvPr>
          <xdr:cNvSpPr/>
        </xdr:nvSpPr>
        <xdr:spPr>
          <a:xfrm>
            <a:off x="3121800" y="1931175"/>
            <a:ext cx="161925" cy="38100"/>
          </a:xfrm>
          <a:custGeom>
            <a:avLst/>
            <a:gdLst>
              <a:gd name="connsiteX0" fmla="*/ 0 w 161925"/>
              <a:gd name="connsiteY0" fmla="*/ 0 h 38100"/>
              <a:gd name="connsiteX1" fmla="*/ 161925 w 161925"/>
              <a:gd name="connsiteY1" fmla="*/ 0 h 38100"/>
              <a:gd name="connsiteX2" fmla="*/ 161925 w 161925"/>
              <a:gd name="connsiteY2" fmla="*/ 38100 h 38100"/>
              <a:gd name="connsiteX3" fmla="*/ 0 w 161925"/>
              <a:gd name="connsiteY3" fmla="*/ 38100 h 381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61925" h="38100">
                <a:moveTo>
                  <a:pt x="0" y="0"/>
                </a:moveTo>
                <a:lnTo>
                  <a:pt x="161925" y="0"/>
                </a:lnTo>
                <a:lnTo>
                  <a:pt x="161925" y="38100"/>
                </a:lnTo>
                <a:lnTo>
                  <a:pt x="0" y="38100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6" name="Forma libre: forma 25">
            <a:extLst>
              <a:ext uri="{FF2B5EF4-FFF2-40B4-BE49-F238E27FC236}">
                <a16:creationId xmlns:a16="http://schemas.microsoft.com/office/drawing/2014/main" id="{E71C24AA-6BE2-6B05-A439-E5C9DED57C6A}"/>
              </a:ext>
            </a:extLst>
          </xdr:cNvPr>
          <xdr:cNvSpPr/>
        </xdr:nvSpPr>
        <xdr:spPr>
          <a:xfrm>
            <a:off x="3121800" y="2235975"/>
            <a:ext cx="161925" cy="38100"/>
          </a:xfrm>
          <a:custGeom>
            <a:avLst/>
            <a:gdLst>
              <a:gd name="connsiteX0" fmla="*/ 0 w 161925"/>
              <a:gd name="connsiteY0" fmla="*/ 0 h 38100"/>
              <a:gd name="connsiteX1" fmla="*/ 161925 w 161925"/>
              <a:gd name="connsiteY1" fmla="*/ 0 h 38100"/>
              <a:gd name="connsiteX2" fmla="*/ 161925 w 161925"/>
              <a:gd name="connsiteY2" fmla="*/ 38100 h 38100"/>
              <a:gd name="connsiteX3" fmla="*/ 0 w 161925"/>
              <a:gd name="connsiteY3" fmla="*/ 38100 h 381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61925" h="38100">
                <a:moveTo>
                  <a:pt x="0" y="0"/>
                </a:moveTo>
                <a:lnTo>
                  <a:pt x="161925" y="0"/>
                </a:lnTo>
                <a:lnTo>
                  <a:pt x="161925" y="38100"/>
                </a:lnTo>
                <a:lnTo>
                  <a:pt x="0" y="38100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7" name="Forma libre: forma 26">
            <a:extLst>
              <a:ext uri="{FF2B5EF4-FFF2-40B4-BE49-F238E27FC236}">
                <a16:creationId xmlns:a16="http://schemas.microsoft.com/office/drawing/2014/main" id="{CF1AA648-EA60-31C8-EEAC-0AF287C3BC6D}"/>
              </a:ext>
            </a:extLst>
          </xdr:cNvPr>
          <xdr:cNvSpPr/>
        </xdr:nvSpPr>
        <xdr:spPr>
          <a:xfrm>
            <a:off x="3121800" y="2083575"/>
            <a:ext cx="161925" cy="38100"/>
          </a:xfrm>
          <a:custGeom>
            <a:avLst/>
            <a:gdLst>
              <a:gd name="connsiteX0" fmla="*/ 0 w 161925"/>
              <a:gd name="connsiteY0" fmla="*/ 0 h 38100"/>
              <a:gd name="connsiteX1" fmla="*/ 161925 w 161925"/>
              <a:gd name="connsiteY1" fmla="*/ 0 h 38100"/>
              <a:gd name="connsiteX2" fmla="*/ 161925 w 161925"/>
              <a:gd name="connsiteY2" fmla="*/ 38100 h 38100"/>
              <a:gd name="connsiteX3" fmla="*/ 0 w 161925"/>
              <a:gd name="connsiteY3" fmla="*/ 38100 h 381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161925" h="38100">
                <a:moveTo>
                  <a:pt x="0" y="0"/>
                </a:moveTo>
                <a:lnTo>
                  <a:pt x="161925" y="0"/>
                </a:lnTo>
                <a:lnTo>
                  <a:pt x="161925" y="38100"/>
                </a:lnTo>
                <a:lnTo>
                  <a:pt x="0" y="38100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8" name="Forma libre: forma 27">
            <a:extLst>
              <a:ext uri="{FF2B5EF4-FFF2-40B4-BE49-F238E27FC236}">
                <a16:creationId xmlns:a16="http://schemas.microsoft.com/office/drawing/2014/main" id="{A52FD4B0-753D-F591-F848-31607AB5EF82}"/>
              </a:ext>
            </a:extLst>
          </xdr:cNvPr>
          <xdr:cNvSpPr/>
        </xdr:nvSpPr>
        <xdr:spPr>
          <a:xfrm>
            <a:off x="2921775" y="1731150"/>
            <a:ext cx="140969" cy="116205"/>
          </a:xfrm>
          <a:custGeom>
            <a:avLst/>
            <a:gdLst>
              <a:gd name="connsiteX0" fmla="*/ 140970 w 140969"/>
              <a:gd name="connsiteY0" fmla="*/ 26670 h 116205"/>
              <a:gd name="connsiteX1" fmla="*/ 114300 w 140969"/>
              <a:gd name="connsiteY1" fmla="*/ 0 h 116205"/>
              <a:gd name="connsiteX2" fmla="*/ 51435 w 140969"/>
              <a:gd name="connsiteY2" fmla="*/ 62865 h 116205"/>
              <a:gd name="connsiteX3" fmla="*/ 26670 w 140969"/>
              <a:gd name="connsiteY3" fmla="*/ 38100 h 116205"/>
              <a:gd name="connsiteX4" fmla="*/ 0 w 140969"/>
              <a:gd name="connsiteY4" fmla="*/ 64770 h 116205"/>
              <a:gd name="connsiteX5" fmla="*/ 51435 w 140969"/>
              <a:gd name="connsiteY5" fmla="*/ 116205 h 1162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0969" h="116205">
                <a:moveTo>
                  <a:pt x="140970" y="26670"/>
                </a:moveTo>
                <a:lnTo>
                  <a:pt x="114300" y="0"/>
                </a:lnTo>
                <a:lnTo>
                  <a:pt x="51435" y="62865"/>
                </a:lnTo>
                <a:lnTo>
                  <a:pt x="26670" y="38100"/>
                </a:lnTo>
                <a:lnTo>
                  <a:pt x="0" y="64770"/>
                </a:lnTo>
                <a:lnTo>
                  <a:pt x="51435" y="116205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29" name="Forma libre: forma 28">
            <a:extLst>
              <a:ext uri="{FF2B5EF4-FFF2-40B4-BE49-F238E27FC236}">
                <a16:creationId xmlns:a16="http://schemas.microsoft.com/office/drawing/2014/main" id="{189B05E3-EC5D-656F-5255-A1D8702570C2}"/>
              </a:ext>
            </a:extLst>
          </xdr:cNvPr>
          <xdr:cNvSpPr/>
        </xdr:nvSpPr>
        <xdr:spPr>
          <a:xfrm>
            <a:off x="2921775" y="1883550"/>
            <a:ext cx="140969" cy="116205"/>
          </a:xfrm>
          <a:custGeom>
            <a:avLst/>
            <a:gdLst>
              <a:gd name="connsiteX0" fmla="*/ 140970 w 140969"/>
              <a:gd name="connsiteY0" fmla="*/ 26670 h 116205"/>
              <a:gd name="connsiteX1" fmla="*/ 114300 w 140969"/>
              <a:gd name="connsiteY1" fmla="*/ 0 h 116205"/>
              <a:gd name="connsiteX2" fmla="*/ 51435 w 140969"/>
              <a:gd name="connsiteY2" fmla="*/ 62865 h 116205"/>
              <a:gd name="connsiteX3" fmla="*/ 26670 w 140969"/>
              <a:gd name="connsiteY3" fmla="*/ 38100 h 116205"/>
              <a:gd name="connsiteX4" fmla="*/ 0 w 140969"/>
              <a:gd name="connsiteY4" fmla="*/ 64770 h 116205"/>
              <a:gd name="connsiteX5" fmla="*/ 51435 w 140969"/>
              <a:gd name="connsiteY5" fmla="*/ 116205 h 1162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0969" h="116205">
                <a:moveTo>
                  <a:pt x="140970" y="26670"/>
                </a:moveTo>
                <a:lnTo>
                  <a:pt x="114300" y="0"/>
                </a:lnTo>
                <a:lnTo>
                  <a:pt x="51435" y="62865"/>
                </a:lnTo>
                <a:lnTo>
                  <a:pt x="26670" y="38100"/>
                </a:lnTo>
                <a:lnTo>
                  <a:pt x="0" y="64770"/>
                </a:lnTo>
                <a:lnTo>
                  <a:pt x="51435" y="116205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30" name="Forma libre: forma 29">
            <a:extLst>
              <a:ext uri="{FF2B5EF4-FFF2-40B4-BE49-F238E27FC236}">
                <a16:creationId xmlns:a16="http://schemas.microsoft.com/office/drawing/2014/main" id="{A31B43AF-DEF6-CFC6-A2B3-C2C4C210C558}"/>
              </a:ext>
            </a:extLst>
          </xdr:cNvPr>
          <xdr:cNvSpPr/>
        </xdr:nvSpPr>
        <xdr:spPr>
          <a:xfrm>
            <a:off x="2921775" y="2035950"/>
            <a:ext cx="140969" cy="116205"/>
          </a:xfrm>
          <a:custGeom>
            <a:avLst/>
            <a:gdLst>
              <a:gd name="connsiteX0" fmla="*/ 140970 w 140969"/>
              <a:gd name="connsiteY0" fmla="*/ 26670 h 116205"/>
              <a:gd name="connsiteX1" fmla="*/ 114300 w 140969"/>
              <a:gd name="connsiteY1" fmla="*/ 0 h 116205"/>
              <a:gd name="connsiteX2" fmla="*/ 51435 w 140969"/>
              <a:gd name="connsiteY2" fmla="*/ 62865 h 116205"/>
              <a:gd name="connsiteX3" fmla="*/ 26670 w 140969"/>
              <a:gd name="connsiteY3" fmla="*/ 38100 h 116205"/>
              <a:gd name="connsiteX4" fmla="*/ 0 w 140969"/>
              <a:gd name="connsiteY4" fmla="*/ 64770 h 116205"/>
              <a:gd name="connsiteX5" fmla="*/ 51435 w 140969"/>
              <a:gd name="connsiteY5" fmla="*/ 116205 h 11620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0969" h="116205">
                <a:moveTo>
                  <a:pt x="140970" y="26670"/>
                </a:moveTo>
                <a:lnTo>
                  <a:pt x="114300" y="0"/>
                </a:lnTo>
                <a:lnTo>
                  <a:pt x="51435" y="62865"/>
                </a:lnTo>
                <a:lnTo>
                  <a:pt x="26670" y="38100"/>
                </a:lnTo>
                <a:lnTo>
                  <a:pt x="0" y="64770"/>
                </a:lnTo>
                <a:lnTo>
                  <a:pt x="51435" y="116205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  <xdr:sp macro="" textlink="">
        <xdr:nvSpPr>
          <xdr:cNvPr id="31" name="Forma libre: forma 30">
            <a:extLst>
              <a:ext uri="{FF2B5EF4-FFF2-40B4-BE49-F238E27FC236}">
                <a16:creationId xmlns:a16="http://schemas.microsoft.com/office/drawing/2014/main" id="{023B7B0E-9A79-E967-988C-A9A814930197}"/>
              </a:ext>
            </a:extLst>
          </xdr:cNvPr>
          <xdr:cNvSpPr/>
        </xdr:nvSpPr>
        <xdr:spPr>
          <a:xfrm>
            <a:off x="2921775" y="2186445"/>
            <a:ext cx="140969" cy="116204"/>
          </a:xfrm>
          <a:custGeom>
            <a:avLst/>
            <a:gdLst>
              <a:gd name="connsiteX0" fmla="*/ 140970 w 140969"/>
              <a:gd name="connsiteY0" fmla="*/ 26670 h 116204"/>
              <a:gd name="connsiteX1" fmla="*/ 114300 w 140969"/>
              <a:gd name="connsiteY1" fmla="*/ 0 h 116204"/>
              <a:gd name="connsiteX2" fmla="*/ 51435 w 140969"/>
              <a:gd name="connsiteY2" fmla="*/ 62865 h 116204"/>
              <a:gd name="connsiteX3" fmla="*/ 26670 w 140969"/>
              <a:gd name="connsiteY3" fmla="*/ 38100 h 116204"/>
              <a:gd name="connsiteX4" fmla="*/ 0 w 140969"/>
              <a:gd name="connsiteY4" fmla="*/ 64770 h 116204"/>
              <a:gd name="connsiteX5" fmla="*/ 51435 w 140969"/>
              <a:gd name="connsiteY5" fmla="*/ 116205 h 1162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40969" h="116204">
                <a:moveTo>
                  <a:pt x="140970" y="26670"/>
                </a:moveTo>
                <a:lnTo>
                  <a:pt x="114300" y="0"/>
                </a:lnTo>
                <a:lnTo>
                  <a:pt x="51435" y="62865"/>
                </a:lnTo>
                <a:lnTo>
                  <a:pt x="26670" y="38100"/>
                </a:lnTo>
                <a:lnTo>
                  <a:pt x="0" y="64770"/>
                </a:lnTo>
                <a:lnTo>
                  <a:pt x="51435" y="116205"/>
                </a:lnTo>
                <a:close/>
              </a:path>
            </a:pathLst>
          </a:custGeom>
          <a:solidFill>
            <a:srgbClr val="000000"/>
          </a:solidFill>
          <a:ln w="9525" cap="flat">
            <a:noFill/>
            <a:prstDash val="solid"/>
            <a:miter/>
          </a:ln>
          <a:scene3d>
            <a:camera prst="orthographicFront"/>
            <a:lightRig rig="threePt" dir="t"/>
          </a:scene3d>
          <a:sp3d>
            <a:bevelT prst="angle"/>
          </a:sp3d>
        </xdr:spPr>
        <xdr:txBody>
          <a:bodyPr rtlCol="0" anchor="ctr"/>
          <a:lstStyle/>
          <a:p>
            <a:endParaRPr lang="es-CO"/>
          </a:p>
        </xdr:txBody>
      </xdr:sp>
    </xdr:grpSp>
    <xdr:clientData/>
  </xdr:twoCellAnchor>
  <xdr:twoCellAnchor editAs="oneCell">
    <xdr:from>
      <xdr:col>3</xdr:col>
      <xdr:colOff>314325</xdr:colOff>
      <xdr:row>14</xdr:row>
      <xdr:rowOff>1333500</xdr:rowOff>
    </xdr:from>
    <xdr:to>
      <xdr:col>4</xdr:col>
      <xdr:colOff>466725</xdr:colOff>
      <xdr:row>19</xdr:row>
      <xdr:rowOff>57150</xdr:rowOff>
    </xdr:to>
    <xdr:pic>
      <xdr:nvPicPr>
        <xdr:cNvPr id="53" name="Gráfico 52" descr="Portapapeles contorn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51A7DD-810B-D3AC-0D3F-09E478E81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495675" y="4476750"/>
          <a:ext cx="914400" cy="914400"/>
        </a:xfrm>
        <a:prstGeom prst="rect">
          <a:avLst/>
        </a:prstGeom>
        <a:effectLst>
          <a:glow rad="63500">
            <a:schemeClr val="accent2">
              <a:satMod val="175000"/>
              <a:alpha val="40000"/>
            </a:schemeClr>
          </a:glow>
        </a:effectLst>
      </xdr:spPr>
    </xdr:pic>
    <xdr:clientData/>
  </xdr:twoCellAnchor>
  <xdr:twoCellAnchor editAs="oneCell">
    <xdr:from>
      <xdr:col>5</xdr:col>
      <xdr:colOff>400050</xdr:colOff>
      <xdr:row>5</xdr:row>
      <xdr:rowOff>19050</xdr:rowOff>
    </xdr:from>
    <xdr:to>
      <xdr:col>5</xdr:col>
      <xdr:colOff>1314450</xdr:colOff>
      <xdr:row>9</xdr:row>
      <xdr:rowOff>171450</xdr:rowOff>
    </xdr:to>
    <xdr:pic>
      <xdr:nvPicPr>
        <xdr:cNvPr id="57" name="Gráfico 56" descr="Documento con relleno sóli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2675293-C66B-D679-3122-A4824A941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5543550" y="781050"/>
          <a:ext cx="914400" cy="914400"/>
        </a:xfrm>
        <a:prstGeom prst="rect">
          <a:avLst/>
        </a:prstGeom>
        <a:effectLst>
          <a:glow rad="63500">
            <a:schemeClr val="accent5">
              <a:satMod val="175000"/>
              <a:alpha val="40000"/>
            </a:schemeClr>
          </a:glo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66675</xdr:rowOff>
    </xdr:from>
    <xdr:to>
      <xdr:col>2</xdr:col>
      <xdr:colOff>742950</xdr:colOff>
      <xdr:row>4</xdr:row>
      <xdr:rowOff>85725</xdr:rowOff>
    </xdr:to>
    <xdr:pic>
      <xdr:nvPicPr>
        <xdr:cNvPr id="2" name="Gráfico 1" descr="Se vende con relleno sóli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EDAC06-0046-4DAF-A696-F8AF87F51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76300" y="66675"/>
          <a:ext cx="781050" cy="781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85725</xdr:rowOff>
    </xdr:from>
    <xdr:to>
      <xdr:col>3</xdr:col>
      <xdr:colOff>295275</xdr:colOff>
      <xdr:row>4</xdr:row>
      <xdr:rowOff>104775</xdr:rowOff>
    </xdr:to>
    <xdr:pic>
      <xdr:nvPicPr>
        <xdr:cNvPr id="2" name="Gráfico 1" descr="Se vende con relleno sóli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984810-DE69-435F-BBAC-EE40810B3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42975" y="85725"/>
          <a:ext cx="781050" cy="781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66675</xdr:rowOff>
    </xdr:from>
    <xdr:to>
      <xdr:col>1</xdr:col>
      <xdr:colOff>895350</xdr:colOff>
      <xdr:row>4</xdr:row>
      <xdr:rowOff>85725</xdr:rowOff>
    </xdr:to>
    <xdr:pic>
      <xdr:nvPicPr>
        <xdr:cNvPr id="2" name="Gráfico 1" descr="Se vende con relleno sóli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4D5F6F-7ECB-48FE-8662-2CB3D5F90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876300" y="66675"/>
          <a:ext cx="781050" cy="78105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172.982050925923" createdVersion="8" refreshedVersion="8" minRefreshableVersion="3" recordCount="8" xr:uid="{00000000-000A-0000-FFFF-FFFF00000000}">
  <cacheSource type="worksheet">
    <worksheetSource ref="B249:C257" sheet="INFORMACION DE COSTOS"/>
  </cacheSource>
  <cacheFields count="2">
    <cacheField name="VENTAS" numFmtId="0">
      <sharedItems containsBlank="1" count="7">
        <s v="costo Materia Prima Indirecta "/>
        <s v="costo Indirectos de Fabricación Variables  "/>
        <s v="Costos Indirectos de Fabricación Variables"/>
        <s v="Mano de Obra Indirecta "/>
        <m/>
        <s v="VENTAS"/>
        <s v="CIF TOTALES"/>
      </sharedItems>
    </cacheField>
    <cacheField name="100%" numFmtId="0">
      <sharedItems containsString="0" containsBlank="1" containsNumber="1" minValue="4.7999999999999996E-3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4.7999999999999996E-3"/>
  </r>
  <r>
    <x v="1"/>
    <n v="3.32E-2"/>
  </r>
  <r>
    <x v="2"/>
    <n v="2.4400000000000002E-2"/>
  </r>
  <r>
    <x v="3"/>
    <n v="0.14380000000000001"/>
  </r>
  <r>
    <x v="4"/>
    <n v="0.20619999999999999"/>
  </r>
  <r>
    <x v="4"/>
    <m/>
  </r>
  <r>
    <x v="5"/>
    <n v="1"/>
  </r>
  <r>
    <x v="6"/>
    <n v="0.2061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a 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1">
  <location ref="A2:B10" firstHeaderRow="1" firstDataRow="1" firstDataCol="1"/>
  <pivotFields count="2">
    <pivotField axis="axisRow" showAll="0" sortType="descending">
      <items count="8">
        <item x="6"/>
        <item x="1"/>
        <item x="0"/>
        <item x="2"/>
        <item x="3"/>
        <item x="5"/>
        <item x="4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8">
    <i>
      <x v="5"/>
    </i>
    <i>
      <x v="6"/>
    </i>
    <i>
      <x/>
    </i>
    <i>
      <x v="4"/>
    </i>
    <i>
      <x v="1"/>
    </i>
    <i>
      <x v="3"/>
    </i>
    <i>
      <x v="2"/>
    </i>
    <i t="grand">
      <x/>
    </i>
  </rowItems>
  <colItems count="1">
    <i/>
  </colItems>
  <dataFields count="1">
    <dataField name="Promedio de 100%" fld="1" subtotal="average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RDENPRODUCCION" displayName="ORDENPRODUCCION" ref="C21:P27" totalsRowCount="1" headerRowDxfId="165" dataDxfId="164" totalsRowDxfId="163">
  <tableColumns count="14">
    <tableColumn id="1" xr3:uid="{00000000-0010-0000-0000-000001000000}" name="Columna1" totalsRowLabel="Total" dataDxfId="162" totalsRowDxfId="161"/>
    <tableColumn id="2" xr3:uid="{00000000-0010-0000-0000-000002000000}" name="Columna2" dataDxfId="160" totalsRowDxfId="159"/>
    <tableColumn id="3" xr3:uid="{00000000-0010-0000-0000-000003000000}" name="Columna3" dataDxfId="158" totalsRowDxfId="157"/>
    <tableColumn id="4" xr3:uid="{00000000-0010-0000-0000-000004000000}" name="Columna4" totalsRowFunction="sum" dataDxfId="156" totalsRowDxfId="155"/>
    <tableColumn id="5" xr3:uid="{00000000-0010-0000-0000-000005000000}" name="Columna5" totalsRowFunction="sum" dataDxfId="154" totalsRowDxfId="153"/>
    <tableColumn id="6" xr3:uid="{00000000-0010-0000-0000-000006000000}" name="Columna6" totalsRowFunction="sum" dataDxfId="152" totalsRowDxfId="151"/>
    <tableColumn id="7" xr3:uid="{00000000-0010-0000-0000-000007000000}" name="Columna7" totalsRowFunction="sum" dataDxfId="150" totalsRowDxfId="149">
      <calculatedColumnFormula>+ORDENPRODUCCION[[#This Row],[Columna4]]*ORDENPRODUCCION[[#This Row],[Columna5]]*ORDENPRODUCCION[[#This Row],[Columna6]]</calculatedColumnFormula>
    </tableColumn>
    <tableColumn id="8" xr3:uid="{00000000-0010-0000-0000-000008000000}" name="Columna8" totalsRowFunction="custom" dataDxfId="148" totalsRowDxfId="147">
      <totalsRowFormula array="1">SUM(ORDENPRODUCCION[Columna4]*ORDENPRODUCCION[Columna8])</totalsRowFormula>
    </tableColumn>
    <tableColumn id="9" xr3:uid="{00000000-0010-0000-0000-000009000000}" name="Columna9" totalsRowFunction="custom" dataDxfId="146" totalsRowDxfId="145">
      <totalsRowFormula array="1">SUM(ORDENPRODUCCION[Columna4]*ORDENPRODUCCION[Columna9])</totalsRowFormula>
    </tableColumn>
    <tableColumn id="10" xr3:uid="{00000000-0010-0000-0000-00000A000000}" name="Columna10" dataDxfId="144" totalsRowDxfId="143"/>
    <tableColumn id="11" xr3:uid="{00000000-0010-0000-0000-00000B000000}" name="Columna11" dataDxfId="142" totalsRowDxfId="141"/>
    <tableColumn id="12" xr3:uid="{00000000-0010-0000-0000-00000C000000}" name="Columna12" totalsRowFunction="custom" dataDxfId="140" totalsRowDxfId="139">
      <totalsRowFormula>SUM(ORDENPRODUCCION[[#Totals],[Columna5]:[Columna6]])*4</totalsRowFormula>
    </tableColumn>
    <tableColumn id="13" xr3:uid="{00000000-0010-0000-0000-00000D000000}" name="Columna13" dataDxfId="138" totalsRowDxfId="137"/>
    <tableColumn id="14" xr3:uid="{00000000-0010-0000-0000-00000E000000}" name="Columna14" dataDxfId="136" totalsRowDxfId="13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4" displayName="Tabla4" ref="B60:R70" totalsRowShown="0" headerRowDxfId="134">
  <autoFilter ref="B60:R70" xr:uid="{00000000-0009-0000-0100-000004000000}"/>
  <tableColumns count="17">
    <tableColumn id="1" xr3:uid="{00000000-0010-0000-0100-000001000000}" name="PROCESO"/>
    <tableColumn id="2" xr3:uid="{00000000-0010-0000-0100-000002000000}" name="CARGO "/>
    <tableColumn id="3" xr3:uid="{00000000-0010-0000-0100-000003000000}" name="SALARIO BASICO + TRANSPORTE"/>
    <tableColumn id="4" xr3:uid="{00000000-0010-0000-0100-000004000000}" name="total prestaciones sociales"/>
    <tableColumn id="5" xr3:uid="{00000000-0010-0000-0100-000005000000}" name="total seguridad social"/>
    <tableColumn id="6" xr3:uid="{00000000-0010-0000-0100-000006000000}" name="valor total empleado"/>
    <tableColumn id="7" xr3:uid="{00000000-0010-0000-0100-000007000000}" name="cant personal"/>
    <tableColumn id="8" xr3:uid="{00000000-0010-0000-0100-000008000000}" name="total nomina mes"/>
    <tableColumn id="9" xr3:uid="{00000000-0010-0000-0100-000009000000}" name="VALOR HORA"/>
    <tableColumn id="10" xr3:uid="{00000000-0010-0000-0100-00000A000000}" name="prima 8,33%"/>
    <tableColumn id="11" xr3:uid="{00000000-0010-0000-0100-00000B000000}" name="cesantias 8,33%"/>
    <tableColumn id="12" xr3:uid="{00000000-0010-0000-0100-00000C000000}" name="intereses cesantias 1%"/>
    <tableColumn id="13" xr3:uid="{00000000-0010-0000-0100-00000D000000}" name="vacaciones 4,17%"/>
    <tableColumn id="14" xr3:uid="{00000000-0010-0000-0100-00000E000000}" name="salud 8,5%"/>
    <tableColumn id="15" xr3:uid="{00000000-0010-0000-0100-00000F000000}" name="pension 12%"/>
    <tableColumn id="16" xr3:uid="{00000000-0010-0000-0100-000010000000}" name="arl 6,96%"/>
    <tableColumn id="17" xr3:uid="{00000000-0010-0000-0100-000011000000}" name="ccf 5%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a2" displayName="Tabla2" ref="B75:I131" totalsRowShown="0" headerRowDxfId="133">
  <autoFilter ref="B75:I131" xr:uid="{00000000-0009-0000-0100-000002000000}"/>
  <tableColumns count="8">
    <tableColumn id="1" xr3:uid="{00000000-0010-0000-0200-000001000000}" name="PRESUPUESTO MAQUINARIA/                           MUEBLES Y ENSERES"/>
    <tableColumn id="2" xr3:uid="{00000000-0010-0000-0200-000002000000}" name="ESPECIFICACIONES"/>
    <tableColumn id="3" xr3:uid="{00000000-0010-0000-0200-000003000000}" name="UNIDAD DE MEDIDA"/>
    <tableColumn id="4" xr3:uid="{00000000-0010-0000-0200-000004000000}" name="CANTIDAD"/>
    <tableColumn id="5" xr3:uid="{00000000-0010-0000-0200-000005000000}" name="CU_x000a_Costo Unitario_x000a_(Pesos)"/>
    <tableColumn id="6" xr3:uid="{00000000-0010-0000-0200-000006000000}" name="PROVEEDOR"/>
    <tableColumn id="7" xr3:uid="{00000000-0010-0000-0200-000007000000}" name="VUC (AÑO)_x000a_Vida Util Contable"/>
    <tableColumn id="8" xr3:uid="{00000000-0010-0000-0200-000008000000}" name="Columna7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a5" displayName="Tabla5" ref="B137:C146" totalsRowShown="0" headerRowDxfId="132" dataDxfId="131">
  <autoFilter ref="B137:C146" xr:uid="{00000000-0009-0000-0100-000005000000}"/>
  <tableColumns count="2">
    <tableColumn id="1" xr3:uid="{00000000-0010-0000-0300-000001000000}" name="DETALLE" dataDxfId="130"/>
    <tableColumn id="2" xr3:uid="{00000000-0010-0000-0300-000002000000}" name="VALOR MENSUAL " dataDxfId="129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a6" displayName="Tabla6" ref="E137:F143" totalsRowShown="0" headerRowDxfId="128" dataDxfId="127" tableBorderDxfId="126">
  <autoFilter ref="E137:F143" xr:uid="{00000000-0009-0000-0100-000006000000}"/>
  <tableColumns count="2">
    <tableColumn id="1" xr3:uid="{00000000-0010-0000-0400-000001000000}" name="DETALLE " dataDxfId="125"/>
    <tableColumn id="2" xr3:uid="{00000000-0010-0000-0400-000002000000}" name="VALOR MENSUAL" dataDxfId="124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a7" displayName="Tabla7" ref="B152:Q198" totalsRowShown="0" headerRowDxfId="123" dataDxfId="122">
  <autoFilter ref="B152:Q198" xr:uid="{00000000-0009-0000-0100-000007000000}"/>
  <tableColumns count="16">
    <tableColumn id="1" xr3:uid="{00000000-0010-0000-0500-000001000000}" name="CARGO " dataDxfId="121"/>
    <tableColumn id="2" xr3:uid="{00000000-0010-0000-0500-000002000000}" name="CANT. PERSONAL" dataDxfId="120"/>
    <tableColumn id="3" xr3:uid="{00000000-0010-0000-0500-000003000000}" name="SALARIO      BASICO " dataDxfId="119"/>
    <tableColumn id="4" xr3:uid="{00000000-0010-0000-0500-000004000000}" name="AUX.                                                       TRANSPORTE" dataDxfId="118"/>
    <tableColumn id="5" xr3:uid="{00000000-0010-0000-0500-000005000000}" name="TOTAL PRESTACIONES SOCIALES" dataDxfId="117"/>
    <tableColumn id="6" xr3:uid="{00000000-0010-0000-0500-000006000000}" name="TOTAL SEGURIDAD       SOCIAL" dataDxfId="116"/>
    <tableColumn id="7" xr3:uid="{00000000-0010-0000-0500-000007000000}" name="VALOT TOTAL    EMPLEADO " dataDxfId="115"/>
    <tableColumn id="8" xr3:uid="{00000000-0010-0000-0500-000008000000}" name="TOTAL NOMINA MES" dataDxfId="114"/>
    <tableColumn id="9" xr3:uid="{00000000-0010-0000-0500-000009000000}" name="PRIMA       8,33%" dataDxfId="113"/>
    <tableColumn id="10" xr3:uid="{00000000-0010-0000-0500-00000A000000}" name="CESANTIAS 8,33%" dataDxfId="112"/>
    <tableColumn id="11" xr3:uid="{00000000-0010-0000-0500-00000B000000}" name="INT. CESANTIAS        1%" dataDxfId="111"/>
    <tableColumn id="12" xr3:uid="{00000000-0010-0000-0500-00000C000000}" name="VACACIONES             4,17%" dataDxfId="110"/>
    <tableColumn id="13" xr3:uid="{00000000-0010-0000-0500-00000D000000}" name="SALUD                  8,5%" dataDxfId="109"/>
    <tableColumn id="14" xr3:uid="{00000000-0010-0000-0500-00000E000000}" name="PENSION    12%" dataDxfId="108"/>
    <tableColumn id="15" xr3:uid="{00000000-0010-0000-0500-00000F000000}" name="ARL             6,96%" dataDxfId="107"/>
    <tableColumn id="16" xr3:uid="{00000000-0010-0000-0500-000010000000}" name="CCF            5%" dataDxfId="106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a13" displayName="Tabla13" ref="B208:G242" totalsRowShown="0" headerRowDxfId="105" dataDxfId="104">
  <autoFilter ref="B208:G242" xr:uid="{00000000-0009-0000-0100-00000D000000}"/>
  <tableColumns count="6">
    <tableColumn id="1" xr3:uid="{00000000-0010-0000-0600-000001000000}" name="PROCESO" dataDxfId="103"/>
    <tableColumn id="2" xr3:uid="{00000000-0010-0000-0600-000002000000}" name="INSUMOS" dataDxfId="102"/>
    <tableColumn id="3" xr3:uid="{00000000-0010-0000-0600-000003000000}" name="UND DE MEDIDA" dataDxfId="101"/>
    <tableColumn id="4" xr3:uid="{00000000-0010-0000-0600-000004000000}" name="CANT" dataDxfId="100"/>
    <tableColumn id="5" xr3:uid="{00000000-0010-0000-0600-000005000000}" name="VLR UNT" dataDxfId="99"/>
    <tableColumn id="6" xr3:uid="{00000000-0010-0000-0600-000006000000}" name="VLR TOTAL MES" dataDxfId="98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7000000}" name="Tabla14" displayName="Tabla14" ref="B248:C257" totalsRowShown="0" headerRowDxfId="97" dataDxfId="96">
  <autoFilter ref="B248:C257" xr:uid="{00000000-0009-0000-0100-00000E000000}"/>
  <tableColumns count="2">
    <tableColumn id="1" xr3:uid="{00000000-0010-0000-0700-000001000000}" name="DETALLE" dataDxfId="95"/>
    <tableColumn id="2" xr3:uid="{00000000-0010-0000-0700-000002000000}" name="VALOR" dataDxfId="94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abla8" displayName="Tabla8" ref="B263:F269" totalsRowShown="0" headerRowDxfId="93" dataDxfId="92">
  <autoFilter ref="B263:F269" xr:uid="{00000000-0009-0000-0100-000008000000}"/>
  <tableColumns count="5">
    <tableColumn id="1" xr3:uid="{00000000-0010-0000-0800-000001000000}" name="REFERENCIA" dataDxfId="91"/>
    <tableColumn id="2" xr3:uid="{00000000-0010-0000-0800-000002000000}" name="VENTA ANUAL $" dataDxfId="90"/>
    <tableColumn id="3" xr3:uid="{00000000-0010-0000-0800-000003000000}" name="TASA PREDETERMINADA" dataDxfId="89"/>
    <tableColumn id="4" xr3:uid="{00000000-0010-0000-0800-000004000000}" name="VALOR MATERIA     PRIMA ANUAL " dataDxfId="88"/>
    <tableColumn id="5" xr3:uid="{00000000-0010-0000-0800-000005000000}" name="VALOR PROMEDIO     MES" dataDxfId="87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abla9" displayName="Tabla9" ref="B274:M280" totalsRowShown="0" headerRowDxfId="86" dataDxfId="85">
  <autoFilter ref="B274:M280" xr:uid="{00000000-0009-0000-0100-000009000000}"/>
  <tableColumns count="12">
    <tableColumn id="1" xr3:uid="{00000000-0010-0000-0900-000001000000}" name="REFERENCIA" dataDxfId="84"/>
    <tableColumn id="2" xr3:uid="{00000000-0010-0000-0900-000002000000}" name="TASA PREDETERMINADA" dataDxfId="83"/>
    <tableColumn id="3" xr3:uid="{00000000-0010-0000-0900-000003000000}" name="CORTE" dataDxfId="82"/>
    <tableColumn id="4" xr3:uid="{00000000-0010-0000-0900-000004000000}" name="RECTILINEAS" dataDxfId="81"/>
    <tableColumn id="5" xr3:uid="{00000000-0010-0000-0900-000005000000}" name="MAQUINADO" dataDxfId="80"/>
    <tableColumn id="6" xr3:uid="{00000000-0010-0000-0900-000006000000}" name="LAVADORA" dataDxfId="79"/>
    <tableColumn id="7" xr3:uid="{00000000-0010-0000-0900-000007000000}" name="INSPECCION" dataDxfId="78"/>
    <tableColumn id="8" xr3:uid="{00000000-0010-0000-0900-000008000000}" name="SACARAYAS" dataDxfId="77"/>
    <tableColumn id="9" xr3:uid="{00000000-0010-0000-0900-000009000000}" name="HORNO" dataDxfId="76"/>
    <tableColumn id="10" xr3:uid="{00000000-0010-0000-0900-00000A000000}" name="SUPERVISOR" dataDxfId="75"/>
    <tableColumn id="11" xr3:uid="{00000000-0010-0000-0900-00000B000000}" name="JEFE PLANTA" dataDxfId="74"/>
    <tableColumn id="12" xr3:uid="{00000000-0010-0000-0900-00000C000000}" name="TOTAL" dataDxfId="73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abla10" displayName="Tabla10" ref="B285:G293" totalsRowShown="0" headerRowDxfId="72" dataDxfId="71">
  <autoFilter ref="B285:G293" xr:uid="{00000000-0009-0000-0100-00000A000000}"/>
  <tableColumns count="6">
    <tableColumn id="1" xr3:uid="{00000000-0010-0000-0A00-000001000000}" name="PROCESO" dataDxfId="70"/>
    <tableColumn id="2" xr3:uid="{00000000-0010-0000-0A00-000002000000}" name="VALOR NOMINA" dataDxfId="69"/>
    <tableColumn id="3" xr3:uid="{00000000-0010-0000-0A00-000003000000}" name="CANT PERSONAL" dataDxfId="68"/>
    <tableColumn id="4" xr3:uid="{00000000-0010-0000-0A00-000004000000}" name="HORAS HOMBRE" dataDxfId="67"/>
    <tableColumn id="6" xr3:uid="{00000000-0010-0000-0A00-000006000000}" name="Columna1" dataDxfId="66" dataCellStyle="Millares">
      <calculatedColumnFormula>+Tabla10[[#This Row],[VALOR NOMINA]]/Tabla10[[#This Row],[HORAS HOMBRE]]</calculatedColumnFormula>
    </tableColumn>
    <tableColumn id="5" xr3:uid="{00000000-0010-0000-0A00-000005000000}" name="MINUTOS" dataDxfId="65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B000000}" name="Tabla11" displayName="Tabla11" ref="B298:P304" totalsRowShown="0" headerRowDxfId="64" dataDxfId="63">
  <autoFilter ref="B298:P304" xr:uid="{00000000-0009-0000-0100-00000B000000}"/>
  <tableColumns count="15">
    <tableColumn id="1" xr3:uid="{00000000-0010-0000-0B00-000001000000}" name="Columna1" dataDxfId="62"/>
    <tableColumn id="2" xr3:uid="{00000000-0010-0000-0B00-000002000000}" name="PROCESO" dataDxfId="61"/>
    <tableColumn id="3" xr3:uid="{00000000-0010-0000-0B00-000003000000}" name="m2 al año" dataDxfId="60"/>
    <tableColumn id="4" xr3:uid="{00000000-0010-0000-0B00-000004000000}" name="m2 *mes" dataDxfId="59"/>
    <tableColumn id="5" xr3:uid="{00000000-0010-0000-0B00-000005000000}" name="tiempo corte* m2" dataDxfId="58"/>
    <tableColumn id="6" xr3:uid="{00000000-0010-0000-0B00-000006000000}" name="RECTILINEAS" dataDxfId="57"/>
    <tableColumn id="7" xr3:uid="{00000000-0010-0000-0B00-000007000000}" name="MAQUINADO" dataDxfId="56"/>
    <tableColumn id="8" xr3:uid="{00000000-0010-0000-0B00-000008000000}" name="LAVADORA" dataDxfId="55"/>
    <tableColumn id="9" xr3:uid="{00000000-0010-0000-0B00-000009000000}" name="INSPECCION" dataDxfId="54"/>
    <tableColumn id="10" xr3:uid="{00000000-0010-0000-0B00-00000A000000}" name="SACARAYAS" dataDxfId="53"/>
    <tableColumn id="11" xr3:uid="{00000000-0010-0000-0B00-00000B000000}" name="HORNO" dataDxfId="52"/>
    <tableColumn id="12" xr3:uid="{00000000-0010-0000-0B00-00000C000000}" name="SUPERVISOR" dataDxfId="51"/>
    <tableColumn id="13" xr3:uid="{00000000-0010-0000-0B00-00000D000000}" name="JEFE PLANTA" dataDxfId="50"/>
    <tableColumn id="14" xr3:uid="{00000000-0010-0000-0B00-00000E000000}" name="H/m2" dataDxfId="49"/>
    <tableColumn id="15" xr3:uid="{00000000-0010-0000-0B00-00000F000000}" name="TOTAL " dataDxfId="48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C000000}" name="Tabla12" displayName="Tabla12" ref="B308:K314" totalsRowShown="0" headerRowDxfId="47" dataDxfId="46">
  <autoFilter ref="B308:K314" xr:uid="{00000000-0009-0000-0100-00000C000000}"/>
  <tableColumns count="10">
    <tableColumn id="1" xr3:uid="{00000000-0010-0000-0C00-000001000000}" name="REFERENCIA" dataDxfId="45"/>
    <tableColumn id="2" xr3:uid="{00000000-0010-0000-0C00-000002000000}" name="TIEMPO CORTE                    *M2" dataDxfId="44"/>
    <tableColumn id="3" xr3:uid="{00000000-0010-0000-0C00-000003000000}" name="TIEMPO RECTILINEA *M2" dataDxfId="43"/>
    <tableColumn id="4" xr3:uid="{00000000-0010-0000-0C00-000004000000}" name="TIEMPO MAQUINADO* M2" dataDxfId="42"/>
    <tableColumn id="5" xr3:uid="{00000000-0010-0000-0C00-000005000000}" name="TIEMPO LAVADORA    *M2" dataDxfId="41"/>
    <tableColumn id="6" xr3:uid="{00000000-0010-0000-0C00-000006000000}" name="TIEMPO INSPECCION *M2" dataDxfId="40"/>
    <tableColumn id="7" xr3:uid="{00000000-0010-0000-0C00-000007000000}" name="TIEMPO SACARAYAS *M2" dataDxfId="39"/>
    <tableColumn id="8" xr3:uid="{00000000-0010-0000-0C00-000008000000}" name="TIEMPO HORNO* M2" dataDxfId="38"/>
    <tableColumn id="9" xr3:uid="{00000000-0010-0000-0C00-000009000000}" name="TOTAL TIEMPO       PRODUCCION *M2" dataDxfId="37"/>
    <tableColumn id="10" xr3:uid="{00000000-0010-0000-0C00-00000A000000}" name="VLR HORA PRODUCCION*M2" dataDxfId="36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Tabla15" displayName="Tabla15" ref="B319:G325" totalsRowShown="0" headerRowDxfId="35" dataDxfId="34">
  <autoFilter ref="B319:G325" xr:uid="{00000000-0009-0000-0100-00000F000000}"/>
  <tableColumns count="6">
    <tableColumn id="1" xr3:uid="{00000000-0010-0000-0D00-000001000000}" name="REFERENCIA" dataDxfId="33"/>
    <tableColumn id="2" xr3:uid="{00000000-0010-0000-0D00-000002000000}" name="TASA          PREDETERMINADA" dataDxfId="32"/>
    <tableColumn id="3" xr3:uid="{00000000-0010-0000-0D00-000003000000}" name="MPI (INSUMOS)" dataDxfId="31"/>
    <tableColumn id="4" xr3:uid="{00000000-0010-0000-0D00-000004000000}" name="CIF VARIABLES" dataDxfId="30"/>
    <tableColumn id="5" xr3:uid="{00000000-0010-0000-0D00-000005000000}" name="CIF FIJOS" dataDxfId="29"/>
    <tableColumn id="6" xr3:uid="{00000000-0010-0000-0D00-000006000000}" name="MOI" dataDxfId="28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E000000}" name="MATERIA_PRIMA" displayName="MATERIA_PRIMA" ref="B8:E13" totalsRowShown="0" headerRowDxfId="27" dataDxfId="26">
  <autoFilter ref="B8:E13" xr:uid="{00000000-0009-0000-0100-000011000000}"/>
  <tableColumns count="4">
    <tableColumn id="1" xr3:uid="{00000000-0010-0000-0E00-000001000000}" name="DESCRIPCION" dataDxfId="25"/>
    <tableColumn id="3" xr3:uid="{00000000-0010-0000-0E00-000003000000}" name="MEDIDA LAMINA" dataDxfId="24"/>
    <tableColumn id="2" xr3:uid="{00000000-0010-0000-0E00-000002000000}" name="AREA" dataDxfId="23" dataCellStyle="Millares"/>
    <tableColumn id="4" xr3:uid="{00000000-0010-0000-0E00-000004000000}" name="VALOR M2" dataDxfId="22"/>
  </tableColumns>
  <tableStyleInfo name="TableStyleMedium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F000000}" name="VALOR_HRHOMBRE" displayName="VALOR_HRHOMBRE" ref="J8:L15" totalsRowShown="0">
  <autoFilter ref="J8:L15" xr:uid="{00000000-0009-0000-0100-000012000000}"/>
  <tableColumns count="3">
    <tableColumn id="1" xr3:uid="{00000000-0010-0000-0F00-000001000000}" name="PROCESO" dataDxfId="21"/>
    <tableColumn id="2" xr3:uid="{00000000-0010-0000-0F00-000002000000}" name="VALOR NOMINA" dataDxfId="20"/>
    <tableColumn id="3" xr3:uid="{00000000-0010-0000-0F00-000003000000}" name="VALOR HORA" dataDxfId="19" dataCellStyle="Millares"/>
  </tableColumns>
  <tableStyleInfo name="TableStyleMedium4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ESTIMACIONTIEMPO" displayName="ESTIMACIONTIEMPO" ref="B21:J27" totalsRowShown="0" headerRowDxfId="18" headerRowBorderDxfId="17" tableBorderDxfId="16" totalsRowBorderDxfId="15">
  <autoFilter ref="B21:J27" xr:uid="{00000000-0009-0000-0100-000013000000}"/>
  <tableColumns count="9">
    <tableColumn id="1" xr3:uid="{00000000-0010-0000-1000-000001000000}" name="REFERENCIA"/>
    <tableColumn id="2" xr3:uid="{00000000-0010-0000-1000-000002000000}" name="TIEMPO CORTE                    *M2"/>
    <tableColumn id="3" xr3:uid="{00000000-0010-0000-1000-000003000000}" name="TIEMPO RECTILINEA *M2"/>
    <tableColumn id="4" xr3:uid="{00000000-0010-0000-1000-000004000000}" name="TIEMPO MAQUINADO* M2"/>
    <tableColumn id="5" xr3:uid="{00000000-0010-0000-1000-000005000000}" name="TIEMPO LAVADORA    *M2"/>
    <tableColumn id="6" xr3:uid="{00000000-0010-0000-1000-000006000000}" name="TIEMPO INSPECCION *M2"/>
    <tableColumn id="7" xr3:uid="{00000000-0010-0000-1000-000007000000}" name="TIEMPO SACARAYAS *M2"/>
    <tableColumn id="8" xr3:uid="{00000000-0010-0000-1000-000008000000}" name="TIEMPO HORNO* M2"/>
    <tableColumn id="9" xr3:uid="{00000000-0010-0000-1000-000009000000}" name="TOTAL TIEMPO       PRODUCCION *M2"/>
  </tableColumns>
  <tableStyleInfo name="TableStyleMedium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1000000}" name="DISTRIBUCION_CIF" displayName="DISTRIBUCION_CIF" ref="B32:H38" totalsRowShown="0" headerRowDxfId="14" dataDxfId="13">
  <autoFilter ref="B32:H38" xr:uid="{00000000-0009-0000-0100-000014000000}"/>
  <tableColumns count="7">
    <tableColumn id="1" xr3:uid="{00000000-0010-0000-1100-000001000000}" name="REFERENCIA" dataDxfId="12"/>
    <tableColumn id="2" xr3:uid="{00000000-0010-0000-1100-000002000000}" name="Tasa predeterminada" dataDxfId="11" dataCellStyle="Porcentaje"/>
    <tableColumn id="3" xr3:uid="{00000000-0010-0000-1100-000003000000}" name="MPI (INSUMOS)" dataDxfId="10" dataCellStyle="Millares"/>
    <tableColumn id="6" xr3:uid="{00000000-0010-0000-1100-000006000000}" name="MOI" dataDxfId="9" dataCellStyle="Millares"/>
    <tableColumn id="4" xr3:uid="{00000000-0010-0000-1100-000004000000}" name="CIF VARIABLES" dataDxfId="8" dataCellStyle="Millares"/>
    <tableColumn id="5" xr3:uid="{00000000-0010-0000-1100-000005000000}" name="CIF FIJOS" dataDxfId="7" dataCellStyle="Millares"/>
    <tableColumn id="7" xr3:uid="{00000000-0010-0000-1100-000007000000}" name="GASTOS DIVERSOS" dataDxfId="6" dataCellStyle="Millares"/>
  </tableColumns>
  <tableStyleInfo name="TableStyleMedium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2000000}" name="VOLUMEN_VENTA" displayName="VOLUMEN_VENTA" ref="G8:H14" totalsRowShown="0" headerRowDxfId="5" headerRowBorderDxfId="4" tableBorderDxfId="3" totalsRowBorderDxfId="2">
  <autoFilter ref="G8:H14" xr:uid="{00000000-0009-0000-0100-000015000000}"/>
  <tableColumns count="2">
    <tableColumn id="1" xr3:uid="{00000000-0010-0000-1200-000001000000}" name="REFERENCIA" dataDxfId="1"/>
    <tableColumn id="2" xr3:uid="{00000000-0010-0000-1200-000002000000}" name="m2" dataDxfId="0" dataCellStyle="Millare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drawing" Target="../drawings/drawing4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K22"/>
  <sheetViews>
    <sheetView tabSelected="1" topLeftCell="A4" zoomScaleNormal="100" workbookViewId="0"/>
  </sheetViews>
  <sheetFormatPr baseColWidth="10" defaultColWidth="0" defaultRowHeight="15" zeroHeight="1" x14ac:dyDescent="0.25"/>
  <cols>
    <col min="1" max="1" width="11.42578125" style="88" customWidth="1"/>
    <col min="2" max="2" width="24.85546875" style="88" customWidth="1"/>
    <col min="3" max="4" width="11.42578125" style="88" customWidth="1"/>
    <col min="5" max="5" width="13.28515625" style="88" customWidth="1"/>
    <col min="6" max="6" width="27" style="88" customWidth="1"/>
    <col min="7" max="11" width="11.42578125" style="88" customWidth="1"/>
    <col min="12" max="16384" width="11.42578125" style="88" hidden="1"/>
  </cols>
  <sheetData>
    <row r="1" spans="2:9" x14ac:dyDescent="0.25">
      <c r="B1" s="164" t="s">
        <v>0</v>
      </c>
      <c r="C1" s="164"/>
      <c r="D1" s="164"/>
      <c r="E1" s="164"/>
      <c r="F1" s="164"/>
      <c r="G1" s="164"/>
      <c r="H1" s="164"/>
      <c r="I1" s="164"/>
    </row>
    <row r="2" spans="2:9" x14ac:dyDescent="0.25">
      <c r="B2" s="164"/>
      <c r="C2" s="164"/>
      <c r="D2" s="164"/>
      <c r="E2" s="164"/>
      <c r="F2" s="164"/>
      <c r="G2" s="164"/>
      <c r="H2" s="164"/>
      <c r="I2" s="164"/>
    </row>
    <row r="3" spans="2:9" x14ac:dyDescent="0.25">
      <c r="B3" s="164"/>
      <c r="C3" s="164"/>
      <c r="D3" s="164"/>
      <c r="E3" s="164"/>
      <c r="F3" s="164"/>
      <c r="G3" s="164"/>
      <c r="H3" s="164"/>
      <c r="I3" s="164"/>
    </row>
    <row r="4" spans="2:9" x14ac:dyDescent="0.25"/>
    <row r="5" spans="2:9" ht="45" x14ac:dyDescent="0.3">
      <c r="B5" s="89" t="s">
        <v>1</v>
      </c>
      <c r="F5" s="89" t="s">
        <v>2</v>
      </c>
    </row>
    <row r="6" spans="2:9" x14ac:dyDescent="0.25">
      <c r="B6" s="166"/>
      <c r="F6" s="166"/>
    </row>
    <row r="7" spans="2:9" x14ac:dyDescent="0.25">
      <c r="B7" s="166"/>
      <c r="F7" s="166"/>
    </row>
    <row r="8" spans="2:9" x14ac:dyDescent="0.25">
      <c r="B8" s="166"/>
      <c r="F8" s="166"/>
    </row>
    <row r="9" spans="2:9" x14ac:dyDescent="0.25">
      <c r="B9" s="166"/>
      <c r="F9" s="166"/>
    </row>
    <row r="10" spans="2:9" x14ac:dyDescent="0.25">
      <c r="B10" s="166"/>
      <c r="F10" s="166"/>
    </row>
    <row r="11" spans="2:9" x14ac:dyDescent="0.25"/>
    <row r="12" spans="2:9" x14ac:dyDescent="0.25"/>
    <row r="13" spans="2:9" x14ac:dyDescent="0.25"/>
    <row r="14" spans="2:9" ht="22.5" x14ac:dyDescent="0.3">
      <c r="F14" s="90"/>
    </row>
    <row r="15" spans="2:9" ht="112.5" customHeight="1" x14ac:dyDescent="0.3">
      <c r="C15" s="90"/>
      <c r="D15" s="165" t="s">
        <v>3</v>
      </c>
      <c r="E15" s="165"/>
      <c r="F15" s="91"/>
    </row>
    <row r="16" spans="2:9" x14ac:dyDescent="0.25">
      <c r="B16" s="166"/>
      <c r="C16" s="166"/>
      <c r="F16" s="166"/>
    </row>
    <row r="17" spans="2:6" x14ac:dyDescent="0.25">
      <c r="B17" s="166"/>
      <c r="C17" s="166"/>
      <c r="F17" s="166"/>
    </row>
    <row r="18" spans="2:6" x14ac:dyDescent="0.25">
      <c r="B18" s="166"/>
      <c r="C18" s="166"/>
      <c r="F18" s="166"/>
    </row>
    <row r="19" spans="2:6" x14ac:dyDescent="0.25">
      <c r="B19" s="166"/>
      <c r="C19" s="166"/>
      <c r="F19" s="166"/>
    </row>
    <row r="20" spans="2:6" x14ac:dyDescent="0.25">
      <c r="B20" s="166"/>
      <c r="C20" s="166"/>
      <c r="F20" s="166"/>
    </row>
    <row r="21" spans="2:6" x14ac:dyDescent="0.25">
      <c r="B21" s="166"/>
      <c r="C21" s="166"/>
      <c r="F21" s="166"/>
    </row>
    <row r="22" spans="2:6" x14ac:dyDescent="0.25"/>
  </sheetData>
  <mergeCells count="7">
    <mergeCell ref="B1:I3"/>
    <mergeCell ref="D15:E15"/>
    <mergeCell ref="B6:B10"/>
    <mergeCell ref="F6:F10"/>
    <mergeCell ref="B16:B21"/>
    <mergeCell ref="C16:C21"/>
    <mergeCell ref="F16:F21"/>
  </mergeCells>
  <pageMargins left="0.7" right="0.7" top="0.75" bottom="0.75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U35"/>
  <sheetViews>
    <sheetView showGridLines="0" zoomScale="85" zoomScaleNormal="85" workbookViewId="0"/>
  </sheetViews>
  <sheetFormatPr baseColWidth="10" defaultColWidth="0" defaultRowHeight="15" zeroHeight="1" x14ac:dyDescent="0.25"/>
  <cols>
    <col min="1" max="1" width="1.7109375" customWidth="1"/>
    <col min="2" max="2" width="2.28515625" customWidth="1"/>
    <col min="3" max="3" width="12" customWidth="1"/>
    <col min="4" max="4" width="12.7109375" customWidth="1"/>
    <col min="5" max="11" width="12" customWidth="1"/>
    <col min="12" max="15" width="13" customWidth="1"/>
    <col min="16" max="16" width="13.28515625" customWidth="1"/>
    <col min="17" max="17" width="9" customWidth="1"/>
    <col min="18" max="18" width="10.7109375" customWidth="1"/>
    <col min="19" max="19" width="2.28515625" customWidth="1"/>
    <col min="20" max="21" width="0" hidden="1" customWidth="1"/>
    <col min="22" max="16384" width="11.42578125" hidden="1"/>
  </cols>
  <sheetData>
    <row r="1" spans="1:19" x14ac:dyDescent="0.25">
      <c r="B1" s="167"/>
      <c r="D1" s="167"/>
    </row>
    <row r="2" spans="1:19" x14ac:dyDescent="0.25">
      <c r="B2" s="167"/>
      <c r="D2" s="167"/>
    </row>
    <row r="3" spans="1:19" x14ac:dyDescent="0.25">
      <c r="B3" s="167"/>
      <c r="D3" s="167"/>
    </row>
    <row r="4" spans="1:19" x14ac:dyDescent="0.25">
      <c r="B4" s="167"/>
      <c r="D4" s="167"/>
    </row>
    <row r="5" spans="1:19" x14ac:dyDescent="0.25">
      <c r="B5" s="167"/>
      <c r="D5" s="167"/>
    </row>
    <row r="6" spans="1:19" x14ac:dyDescent="0.25"/>
    <row r="7" spans="1:19" x14ac:dyDescent="0.25"/>
    <row r="8" spans="1:19" ht="40.5" x14ac:dyDescent="0.25">
      <c r="A8" s="1"/>
      <c r="B8" s="2"/>
      <c r="C8" s="2"/>
      <c r="D8" s="2"/>
      <c r="E8" s="168" t="s">
        <v>4</v>
      </c>
      <c r="F8" s="168"/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2"/>
      <c r="S8" s="3"/>
    </row>
    <row r="9" spans="1:19" ht="22.5" x14ac:dyDescent="0.35">
      <c r="A9" s="4"/>
      <c r="B9" s="5"/>
      <c r="C9" s="5"/>
      <c r="D9" s="6"/>
      <c r="E9" s="169" t="s">
        <v>3</v>
      </c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6"/>
      <c r="S9" s="7"/>
    </row>
    <row r="10" spans="1:19" ht="18" x14ac:dyDescent="0.3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10"/>
    </row>
    <row r="11" spans="1:19" ht="18" x14ac:dyDescent="0.3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2"/>
    </row>
    <row r="12" spans="1:19" ht="22.5" x14ac:dyDescent="0.45">
      <c r="A12" s="13"/>
      <c r="B12" s="170" t="s">
        <v>5</v>
      </c>
      <c r="C12" s="170"/>
      <c r="D12" s="170"/>
      <c r="E12" s="171">
        <v>45173</v>
      </c>
      <c r="F12" s="171"/>
      <c r="G12" s="14"/>
      <c r="H12" s="14"/>
      <c r="I12" s="14"/>
      <c r="J12" s="14"/>
      <c r="K12" s="14"/>
      <c r="L12" s="14"/>
      <c r="M12" s="14"/>
      <c r="N12" s="14"/>
      <c r="O12" s="14"/>
      <c r="P12" s="92" t="s">
        <v>6</v>
      </c>
      <c r="Q12" s="93">
        <v>1</v>
      </c>
      <c r="R12" s="14"/>
      <c r="S12" s="15"/>
    </row>
    <row r="13" spans="1:19" ht="19.5" customHeight="1" x14ac:dyDescent="0.4">
      <c r="A13" s="13"/>
      <c r="B13" s="170" t="s">
        <v>7</v>
      </c>
      <c r="C13" s="170"/>
      <c r="D13" s="170"/>
      <c r="E13" s="118" t="s">
        <v>8</v>
      </c>
      <c r="F13" s="118"/>
      <c r="G13" s="118"/>
      <c r="H13" s="118"/>
      <c r="I13" s="118"/>
      <c r="J13" s="118"/>
      <c r="K13" s="118"/>
      <c r="L13" s="14"/>
      <c r="M13" s="14"/>
      <c r="N13" s="14"/>
      <c r="O13" s="14"/>
      <c r="P13" s="14"/>
      <c r="Q13" s="14"/>
      <c r="R13" s="14"/>
      <c r="S13" s="15"/>
    </row>
    <row r="14" spans="1:19" ht="19.5" x14ac:dyDescent="0.4">
      <c r="A14" s="13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5"/>
    </row>
    <row r="15" spans="1:19" ht="22.5" x14ac:dyDescent="0.45">
      <c r="A15" s="13"/>
      <c r="B15" s="174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6"/>
      <c r="S15" s="15"/>
    </row>
    <row r="16" spans="1:19" ht="19.5" x14ac:dyDescent="0.4">
      <c r="A16" s="13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5"/>
    </row>
    <row r="17" spans="1:19" ht="19.5" x14ac:dyDescent="0.4">
      <c r="A17" s="13"/>
      <c r="B17" s="172" t="s">
        <v>9</v>
      </c>
      <c r="C17" s="172"/>
      <c r="D17" s="172"/>
      <c r="E17" s="177" t="s">
        <v>10</v>
      </c>
      <c r="F17" s="177"/>
      <c r="G17" s="177"/>
      <c r="H17" s="177"/>
      <c r="I17" s="177"/>
      <c r="J17" s="177"/>
      <c r="K17" s="178" t="s">
        <v>11</v>
      </c>
      <c r="L17" s="178"/>
      <c r="M17" s="178"/>
      <c r="N17" s="94"/>
      <c r="O17" s="100">
        <f>+ORDENPRODUCCION[[#Totals],[Columna7]]</f>
        <v>22.438119999999998</v>
      </c>
      <c r="P17" s="172" t="s">
        <v>12</v>
      </c>
      <c r="Q17" s="172"/>
      <c r="R17" s="16" t="s">
        <v>13</v>
      </c>
      <c r="S17" s="15"/>
    </row>
    <row r="18" spans="1:19" ht="19.5" x14ac:dyDescent="0.4">
      <c r="A18" s="13"/>
      <c r="B18" s="94"/>
      <c r="C18" s="172"/>
      <c r="D18" s="172"/>
      <c r="E18" s="18"/>
      <c r="F18" s="18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5"/>
    </row>
    <row r="19" spans="1:19" x14ac:dyDescent="0.25">
      <c r="A19" s="95"/>
      <c r="S19" s="96"/>
    </row>
    <row r="20" spans="1:19" ht="40.5" x14ac:dyDescent="0.3">
      <c r="A20" s="95"/>
      <c r="C20" s="120" t="s">
        <v>14</v>
      </c>
      <c r="D20" s="120" t="s">
        <v>15</v>
      </c>
      <c r="E20" s="120" t="s">
        <v>16</v>
      </c>
      <c r="F20" s="120" t="s">
        <v>17</v>
      </c>
      <c r="G20" s="120" t="s">
        <v>18</v>
      </c>
      <c r="H20" s="120" t="s">
        <v>19</v>
      </c>
      <c r="I20" s="120" t="s">
        <v>20</v>
      </c>
      <c r="J20" s="120" t="s">
        <v>21</v>
      </c>
      <c r="K20" s="120" t="s">
        <v>22</v>
      </c>
      <c r="L20" s="173" t="s">
        <v>23</v>
      </c>
      <c r="M20" s="173"/>
      <c r="N20" s="173" t="s">
        <v>24</v>
      </c>
      <c r="O20" s="173"/>
      <c r="P20" s="123" t="s">
        <v>25</v>
      </c>
      <c r="S20" s="96"/>
    </row>
    <row r="21" spans="1:19" ht="15.75" x14ac:dyDescent="0.25">
      <c r="A21" s="95"/>
      <c r="C21" s="119" t="s">
        <v>26</v>
      </c>
      <c r="D21" s="119" t="s">
        <v>27</v>
      </c>
      <c r="E21" s="119" t="s">
        <v>28</v>
      </c>
      <c r="F21" s="119" t="s">
        <v>29</v>
      </c>
      <c r="G21" s="119" t="s">
        <v>30</v>
      </c>
      <c r="H21" s="119" t="s">
        <v>31</v>
      </c>
      <c r="I21" s="119" t="s">
        <v>32</v>
      </c>
      <c r="J21" s="119" t="s">
        <v>33</v>
      </c>
      <c r="K21" s="119" t="s">
        <v>34</v>
      </c>
      <c r="L21" s="119" t="s">
        <v>35</v>
      </c>
      <c r="M21" s="119" t="s">
        <v>36</v>
      </c>
      <c r="N21" s="119" t="s">
        <v>37</v>
      </c>
      <c r="O21" s="119" t="s">
        <v>38</v>
      </c>
      <c r="P21" s="119" t="s">
        <v>39</v>
      </c>
      <c r="S21" s="96"/>
    </row>
    <row r="22" spans="1:19" ht="20.25" x14ac:dyDescent="0.3">
      <c r="A22" s="95"/>
      <c r="C22" s="121">
        <v>1</v>
      </c>
      <c r="D22" s="121" t="s">
        <v>40</v>
      </c>
      <c r="E22" s="121">
        <v>10</v>
      </c>
      <c r="F22" s="121">
        <v>2</v>
      </c>
      <c r="G22" s="121">
        <v>1.335</v>
      </c>
      <c r="H22" s="121">
        <v>2.71</v>
      </c>
      <c r="I22" s="121">
        <f>+ORDENPRODUCCION[[#This Row],[Columna4]]*ORDENPRODUCCION[[#This Row],[Columna5]]*ORDENPRODUCCION[[#This Row],[Columna6]]</f>
        <v>7.2356999999999996</v>
      </c>
      <c r="J22" s="121">
        <v>0</v>
      </c>
      <c r="K22" s="121">
        <v>0</v>
      </c>
      <c r="L22" s="121">
        <v>0</v>
      </c>
      <c r="M22" s="121">
        <v>0</v>
      </c>
      <c r="N22" s="121">
        <v>2</v>
      </c>
      <c r="O22" s="121">
        <v>2</v>
      </c>
      <c r="P22" s="121"/>
      <c r="S22" s="96"/>
    </row>
    <row r="23" spans="1:19" ht="20.25" x14ac:dyDescent="0.3">
      <c r="A23" s="95"/>
      <c r="C23" s="121">
        <v>2</v>
      </c>
      <c r="D23" s="121" t="s">
        <v>40</v>
      </c>
      <c r="E23" s="121">
        <v>10</v>
      </c>
      <c r="F23" s="121">
        <v>2</v>
      </c>
      <c r="G23" s="121">
        <v>0.99299999999999999</v>
      </c>
      <c r="H23" s="121">
        <v>2.0499999999999998</v>
      </c>
      <c r="I23" s="121">
        <f>+ORDENPRODUCCION[[#This Row],[Columna4]]*ORDENPRODUCCION[[#This Row],[Columna5]]*ORDENPRODUCCION[[#This Row],[Columna6]]</f>
        <v>4.0712999999999999</v>
      </c>
      <c r="J23" s="121">
        <v>2</v>
      </c>
      <c r="K23" s="121">
        <v>1</v>
      </c>
      <c r="L23" s="121">
        <v>0</v>
      </c>
      <c r="M23" s="121">
        <v>0</v>
      </c>
      <c r="N23" s="121">
        <v>2</v>
      </c>
      <c r="O23" s="121">
        <v>2</v>
      </c>
      <c r="P23" s="121">
        <v>16</v>
      </c>
      <c r="S23" s="96"/>
    </row>
    <row r="24" spans="1:19" ht="20.25" x14ac:dyDescent="0.3">
      <c r="A24" s="95"/>
      <c r="C24" s="121">
        <v>3</v>
      </c>
      <c r="D24" s="121" t="s">
        <v>40</v>
      </c>
      <c r="E24" s="121">
        <v>10</v>
      </c>
      <c r="F24" s="121">
        <v>2</v>
      </c>
      <c r="G24" s="121">
        <v>1.954</v>
      </c>
      <c r="H24" s="121">
        <v>0.67</v>
      </c>
      <c r="I24" s="121">
        <f>+ORDENPRODUCCION[[#This Row],[Columna4]]*ORDENPRODUCCION[[#This Row],[Columna5]]*ORDENPRODUCCION[[#This Row],[Columna6]]</f>
        <v>2.61836</v>
      </c>
      <c r="J24" s="121">
        <v>2</v>
      </c>
      <c r="K24" s="121">
        <v>4</v>
      </c>
      <c r="L24" s="121">
        <v>0</v>
      </c>
      <c r="M24" s="121">
        <v>0</v>
      </c>
      <c r="N24" s="121">
        <v>2</v>
      </c>
      <c r="O24" s="121">
        <v>2</v>
      </c>
      <c r="P24" s="121"/>
      <c r="S24" s="96"/>
    </row>
    <row r="25" spans="1:19" ht="20.25" x14ac:dyDescent="0.3">
      <c r="A25" s="95"/>
      <c r="C25" s="121">
        <v>4</v>
      </c>
      <c r="D25" s="121" t="s">
        <v>40</v>
      </c>
      <c r="E25" s="121">
        <v>10</v>
      </c>
      <c r="F25" s="121">
        <v>2</v>
      </c>
      <c r="G25" s="121">
        <v>0.97399999999999998</v>
      </c>
      <c r="H25" s="121">
        <v>2.1850000000000001</v>
      </c>
      <c r="I25" s="121">
        <f>+ORDENPRODUCCION[[#This Row],[Columna4]]*ORDENPRODUCCION[[#This Row],[Columna5]]*ORDENPRODUCCION[[#This Row],[Columna6]]</f>
        <v>4.2563800000000001</v>
      </c>
      <c r="J25" s="121">
        <v>0</v>
      </c>
      <c r="K25" s="121">
        <v>4</v>
      </c>
      <c r="L25" s="121">
        <v>0</v>
      </c>
      <c r="M25" s="121">
        <v>0</v>
      </c>
      <c r="N25" s="121">
        <v>2</v>
      </c>
      <c r="O25" s="121">
        <v>2</v>
      </c>
      <c r="P25" s="121">
        <v>16</v>
      </c>
      <c r="S25" s="96"/>
    </row>
    <row r="26" spans="1:19" ht="20.25" x14ac:dyDescent="0.3">
      <c r="A26" s="95"/>
      <c r="C26" s="121">
        <v>5</v>
      </c>
      <c r="D26" s="121" t="s">
        <v>40</v>
      </c>
      <c r="E26" s="121">
        <v>10</v>
      </c>
      <c r="F26" s="121">
        <v>2</v>
      </c>
      <c r="G26" s="121">
        <v>0.97399999999999998</v>
      </c>
      <c r="H26" s="121">
        <v>2.1850000000000001</v>
      </c>
      <c r="I26" s="121">
        <f>+ORDENPRODUCCION[[#This Row],[Columna4]]*ORDENPRODUCCION[[#This Row],[Columna5]]*ORDENPRODUCCION[[#This Row],[Columna6]]</f>
        <v>4.2563800000000001</v>
      </c>
      <c r="J26" s="121">
        <v>2</v>
      </c>
      <c r="K26" s="121">
        <v>2</v>
      </c>
      <c r="L26" s="121">
        <v>0</v>
      </c>
      <c r="M26" s="121">
        <v>0</v>
      </c>
      <c r="N26" s="121">
        <v>2</v>
      </c>
      <c r="O26" s="121">
        <v>2</v>
      </c>
      <c r="P26" s="121">
        <v>16</v>
      </c>
      <c r="S26" s="96"/>
    </row>
    <row r="27" spans="1:19" ht="20.25" x14ac:dyDescent="0.3">
      <c r="A27" s="95"/>
      <c r="C27" s="121" t="s">
        <v>41</v>
      </c>
      <c r="D27" s="121"/>
      <c r="E27" s="121"/>
      <c r="F27" s="121">
        <f>SUBTOTAL(109,ORDENPRODUCCION[Columna4])</f>
        <v>10</v>
      </c>
      <c r="G27" s="121">
        <f>SUBTOTAL(109,ORDENPRODUCCION[Columna5])</f>
        <v>6.23</v>
      </c>
      <c r="H27" s="121">
        <f>SUBTOTAL(109,ORDENPRODUCCION[Columna6])</f>
        <v>9.8000000000000007</v>
      </c>
      <c r="I27" s="121">
        <f>SUBTOTAL(109,ORDENPRODUCCION[Columna7])</f>
        <v>22.438119999999998</v>
      </c>
      <c r="J27" s="121" cm="1">
        <f t="array" ref="J27">SUM(ORDENPRODUCCION[Columna4]*ORDENPRODUCCION[Columna8])</f>
        <v>12</v>
      </c>
      <c r="K27" s="121" cm="1">
        <f t="array" ref="K27">SUM(ORDENPRODUCCION[Columna4]*ORDENPRODUCCION[Columna9])</f>
        <v>22</v>
      </c>
      <c r="L27" s="121"/>
      <c r="M27" s="121"/>
      <c r="N27" s="122">
        <f>SUM(ORDENPRODUCCION[[#Totals],[Columna5]:[Columna6]])*4</f>
        <v>64.12</v>
      </c>
      <c r="O27" s="122"/>
      <c r="P27" s="121"/>
      <c r="S27" s="96"/>
    </row>
    <row r="28" spans="1:19" x14ac:dyDescent="0.25">
      <c r="A28" s="95"/>
      <c r="S28" s="96"/>
    </row>
    <row r="29" spans="1:19" x14ac:dyDescent="0.25">
      <c r="A29" s="95"/>
      <c r="S29" s="96"/>
    </row>
    <row r="30" spans="1:19" x14ac:dyDescent="0.25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19" x14ac:dyDescent="0.25"/>
    <row r="32" spans="1:19" x14ac:dyDescent="0.25"/>
    <row r="33" x14ac:dyDescent="0.25"/>
    <row r="34" x14ac:dyDescent="0.25"/>
    <row r="35" x14ac:dyDescent="0.25"/>
  </sheetData>
  <mergeCells count="15">
    <mergeCell ref="C18:D18"/>
    <mergeCell ref="L20:M20"/>
    <mergeCell ref="N20:O20"/>
    <mergeCell ref="B13:D13"/>
    <mergeCell ref="B15:R15"/>
    <mergeCell ref="B17:D17"/>
    <mergeCell ref="E17:J17"/>
    <mergeCell ref="K17:M17"/>
    <mergeCell ref="P17:Q17"/>
    <mergeCell ref="B1:B5"/>
    <mergeCell ref="D1:D5"/>
    <mergeCell ref="E8:Q8"/>
    <mergeCell ref="E9:Q9"/>
    <mergeCell ref="B12:D12"/>
    <mergeCell ref="E12:F12"/>
  </mergeCells>
  <pageMargins left="0.7" right="0.7" top="0.75" bottom="0.75" header="0.3" footer="0.3"/>
  <pageSetup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Hoja7!$F$5:$F$9</xm:f>
          </x14:formula1>
          <xm:sqref>E17:J17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C4:F10"/>
  <sheetViews>
    <sheetView zoomScale="130" zoomScaleNormal="130" workbookViewId="0">
      <selection activeCell="F5" sqref="F5:F9"/>
    </sheetView>
  </sheetViews>
  <sheetFormatPr baseColWidth="10" defaultColWidth="11.42578125" defaultRowHeight="15" x14ac:dyDescent="0.25"/>
  <cols>
    <col min="3" max="3" width="14.85546875" customWidth="1"/>
    <col min="6" max="6" width="30" bestFit="1" customWidth="1"/>
  </cols>
  <sheetData>
    <row r="4" spans="3:6" x14ac:dyDescent="0.25">
      <c r="C4" s="38" t="s">
        <v>42</v>
      </c>
      <c r="D4" s="39" t="s">
        <v>43</v>
      </c>
      <c r="E4" s="40" t="s">
        <v>44</v>
      </c>
    </row>
    <row r="5" spans="3:6" ht="30" x14ac:dyDescent="0.25">
      <c r="C5" s="41" t="s">
        <v>45</v>
      </c>
      <c r="D5" s="42" t="s">
        <v>46</v>
      </c>
      <c r="E5" s="43" t="s">
        <v>47</v>
      </c>
      <c r="F5" t="str">
        <f>CONCATENATE(C5," ",D5)</f>
        <v>VIDRIO INCOLORO 4MM</v>
      </c>
    </row>
    <row r="6" spans="3:6" ht="30" x14ac:dyDescent="0.25">
      <c r="C6" s="41" t="s">
        <v>45</v>
      </c>
      <c r="D6" s="42" t="s">
        <v>48</v>
      </c>
      <c r="E6" s="43" t="s">
        <v>49</v>
      </c>
      <c r="F6" t="str">
        <f t="shared" ref="F6:F9" si="0">CONCATENATE(C6," ",D6)</f>
        <v>VIDRIO INCOLORO 5MM</v>
      </c>
    </row>
    <row r="7" spans="3:6" ht="30" x14ac:dyDescent="0.25">
      <c r="C7" s="41" t="s">
        <v>45</v>
      </c>
      <c r="D7" s="42" t="s">
        <v>50</v>
      </c>
      <c r="E7" s="43" t="s">
        <v>51</v>
      </c>
      <c r="F7" t="str">
        <f t="shared" si="0"/>
        <v>VIDRIO INCOLORO 6MM</v>
      </c>
    </row>
    <row r="8" spans="3:6" ht="30" x14ac:dyDescent="0.25">
      <c r="C8" s="41" t="s">
        <v>45</v>
      </c>
      <c r="D8" s="42" t="s">
        <v>52</v>
      </c>
      <c r="E8" s="43" t="s">
        <v>53</v>
      </c>
      <c r="F8" t="str">
        <f t="shared" si="0"/>
        <v>VIDRIO INCOLORO 8MM</v>
      </c>
    </row>
    <row r="9" spans="3:6" ht="30" x14ac:dyDescent="0.25">
      <c r="C9" s="41" t="s">
        <v>45</v>
      </c>
      <c r="D9" s="42" t="s">
        <v>54</v>
      </c>
      <c r="E9" s="43" t="s">
        <v>53</v>
      </c>
      <c r="F9" t="str">
        <f t="shared" si="0"/>
        <v>VIDRIO INCOLORO 10MM</v>
      </c>
    </row>
    <row r="10" spans="3:6" x14ac:dyDescent="0.25">
      <c r="C10" s="41"/>
      <c r="D10" s="42"/>
      <c r="E10" s="4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pageSetUpPr fitToPage="1"/>
  </sheetPr>
  <dimension ref="A1:T51"/>
  <sheetViews>
    <sheetView showGridLines="0" zoomScale="70" zoomScaleNormal="70" workbookViewId="0"/>
  </sheetViews>
  <sheetFormatPr baseColWidth="10" defaultColWidth="0" defaultRowHeight="15" zeroHeight="1" x14ac:dyDescent="0.25"/>
  <cols>
    <col min="1" max="1" width="1.7109375" customWidth="1"/>
    <col min="2" max="2" width="2.28515625" customWidth="1"/>
    <col min="3" max="3" width="7.28515625" customWidth="1"/>
    <col min="4" max="5" width="16.140625" customWidth="1"/>
    <col min="6" max="6" width="9.42578125" customWidth="1"/>
    <col min="7" max="7" width="17.42578125" customWidth="1"/>
    <col min="8" max="8" width="19.28515625" customWidth="1"/>
    <col min="9" max="9" width="1" customWidth="1"/>
    <col min="10" max="10" width="5.140625" customWidth="1"/>
    <col min="11" max="11" width="12.7109375" customWidth="1"/>
    <col min="12" max="12" width="15.42578125" bestFit="1" customWidth="1"/>
    <col min="13" max="13" width="15.5703125" bestFit="1" customWidth="1"/>
    <col min="14" max="14" width="15.7109375" bestFit="1" customWidth="1"/>
    <col min="15" max="15" width="1" customWidth="1"/>
    <col min="16" max="16" width="23.85546875" customWidth="1"/>
    <col min="17" max="17" width="8.7109375" customWidth="1"/>
    <col min="18" max="18" width="22.42578125" customWidth="1"/>
    <col min="19" max="19" width="19.5703125" bestFit="1" customWidth="1"/>
    <col min="20" max="20" width="2.28515625" customWidth="1"/>
    <col min="21" max="16384" width="11.42578125" hidden="1"/>
  </cols>
  <sheetData>
    <row r="1" spans="1:20" x14ac:dyDescent="0.25">
      <c r="B1" s="167"/>
    </row>
    <row r="2" spans="1:20" x14ac:dyDescent="0.25">
      <c r="B2" s="167"/>
    </row>
    <row r="3" spans="1:20" x14ac:dyDescent="0.25">
      <c r="B3" s="167"/>
    </row>
    <row r="4" spans="1:20" x14ac:dyDescent="0.25">
      <c r="B4" s="167"/>
    </row>
    <row r="5" spans="1:20" x14ac:dyDescent="0.25">
      <c r="B5" s="167"/>
    </row>
    <row r="6" spans="1:20" x14ac:dyDescent="0.25"/>
    <row r="7" spans="1:20" x14ac:dyDescent="0.25"/>
    <row r="8" spans="1:20" ht="40.5" x14ac:dyDescent="0.25">
      <c r="A8" s="1"/>
      <c r="B8" s="2"/>
      <c r="C8" s="2"/>
      <c r="D8" s="2"/>
      <c r="E8" s="2"/>
      <c r="F8" s="168" t="s">
        <v>4</v>
      </c>
      <c r="G8" s="168"/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2"/>
      <c r="T8" s="3"/>
    </row>
    <row r="9" spans="1:20" ht="22.5" x14ac:dyDescent="0.35">
      <c r="A9" s="4"/>
      <c r="B9" s="5"/>
      <c r="C9" s="5"/>
      <c r="D9" s="6"/>
      <c r="E9" s="6"/>
      <c r="F9" s="169" t="s">
        <v>55</v>
      </c>
      <c r="G9" s="169"/>
      <c r="H9" s="169"/>
      <c r="I9" s="169"/>
      <c r="J9" s="169"/>
      <c r="K9" s="169"/>
      <c r="L9" s="169"/>
      <c r="M9" s="169"/>
      <c r="N9" s="169"/>
      <c r="O9" s="169"/>
      <c r="P9" s="169"/>
      <c r="Q9" s="169"/>
      <c r="R9" s="169"/>
      <c r="S9" s="6"/>
      <c r="T9" s="7"/>
    </row>
    <row r="10" spans="1:20" ht="18" x14ac:dyDescent="0.3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10"/>
    </row>
    <row r="11" spans="1:20" ht="18" x14ac:dyDescent="0.35">
      <c r="A11" s="11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12"/>
    </row>
    <row r="12" spans="1:20" ht="21.75" x14ac:dyDescent="0.4">
      <c r="A12" s="13"/>
      <c r="B12" s="179" t="s">
        <v>5</v>
      </c>
      <c r="C12" s="179"/>
      <c r="D12" s="179"/>
      <c r="E12" s="142"/>
      <c r="F12" s="186">
        <v>45173</v>
      </c>
      <c r="G12" s="186"/>
      <c r="H12" s="143"/>
      <c r="I12" s="143"/>
      <c r="J12" s="143"/>
      <c r="K12" s="143"/>
      <c r="L12" s="143"/>
      <c r="M12" s="143"/>
      <c r="N12" s="143"/>
      <c r="O12" s="143"/>
      <c r="P12" s="143"/>
      <c r="Q12" s="144" t="s">
        <v>6</v>
      </c>
      <c r="R12" s="141">
        <v>1</v>
      </c>
      <c r="S12" s="143"/>
      <c r="T12" s="15"/>
    </row>
    <row r="13" spans="1:20" ht="21.75" x14ac:dyDescent="0.4">
      <c r="A13" s="13"/>
      <c r="B13" s="179" t="s">
        <v>7</v>
      </c>
      <c r="C13" s="179"/>
      <c r="D13" s="179"/>
      <c r="E13" s="142"/>
      <c r="F13" s="180" t="str">
        <f>'ORDEN DE PRODUCCION'!E13</f>
        <v>ALUTEMP SAS</v>
      </c>
      <c r="G13" s="180"/>
      <c r="H13" s="180"/>
      <c r="I13" s="180"/>
      <c r="J13" s="180"/>
      <c r="K13" s="180"/>
      <c r="L13" s="180"/>
      <c r="M13" s="143"/>
      <c r="N13" s="143"/>
      <c r="O13" s="143"/>
      <c r="P13" s="143"/>
      <c r="Q13" s="143"/>
      <c r="R13" s="143"/>
      <c r="S13" s="143"/>
      <c r="T13" s="15"/>
    </row>
    <row r="14" spans="1:20" ht="21.75" x14ac:dyDescent="0.4">
      <c r="A14" s="13"/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5"/>
    </row>
    <row r="15" spans="1:20" ht="21.75" x14ac:dyDescent="0.4">
      <c r="A15" s="13"/>
      <c r="B15" s="181" t="s">
        <v>56</v>
      </c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3"/>
      <c r="T15" s="15"/>
    </row>
    <row r="16" spans="1:20" ht="21.75" x14ac:dyDescent="0.4">
      <c r="A16" s="13"/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5"/>
    </row>
    <row r="17" spans="1:20" ht="21.75" x14ac:dyDescent="0.4">
      <c r="A17" s="13"/>
      <c r="B17" s="184" t="s">
        <v>57</v>
      </c>
      <c r="C17" s="184"/>
      <c r="D17" s="184"/>
      <c r="E17" s="146"/>
      <c r="F17" s="180" t="s">
        <v>58</v>
      </c>
      <c r="G17" s="180"/>
      <c r="H17" s="180"/>
      <c r="I17" s="180"/>
      <c r="J17" s="180"/>
      <c r="K17" s="180"/>
      <c r="L17" s="185" t="s">
        <v>11</v>
      </c>
      <c r="M17" s="185"/>
      <c r="N17" s="185"/>
      <c r="O17" s="146"/>
      <c r="P17" s="147">
        <f>+'ORDEN DE PRODUCCION'!O17</f>
        <v>22.438119999999998</v>
      </c>
      <c r="Q17" s="184" t="s">
        <v>12</v>
      </c>
      <c r="R17" s="184"/>
      <c r="S17" s="145" t="str">
        <f>+'ORDEN DE PRODUCCION'!R17</f>
        <v>m2</v>
      </c>
      <c r="T17" s="15"/>
    </row>
    <row r="18" spans="1:20" ht="19.5" x14ac:dyDescent="0.4">
      <c r="A18" s="13"/>
      <c r="B18" s="19"/>
      <c r="C18" s="190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91"/>
      <c r="O18" s="191"/>
      <c r="P18" s="191"/>
      <c r="Q18" s="191"/>
      <c r="R18" s="191"/>
      <c r="S18" s="192"/>
      <c r="T18" s="15"/>
    </row>
    <row r="19" spans="1:20" ht="19.5" x14ac:dyDescent="0.4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5"/>
    </row>
    <row r="20" spans="1:20" ht="20.25" x14ac:dyDescent="0.4">
      <c r="A20" s="13"/>
      <c r="B20" s="14"/>
      <c r="C20" s="193" t="s">
        <v>59</v>
      </c>
      <c r="D20" s="194"/>
      <c r="E20" s="194"/>
      <c r="F20" s="194"/>
      <c r="G20" s="194"/>
      <c r="H20" s="195"/>
      <c r="I20" s="20"/>
      <c r="J20" s="193" t="s">
        <v>60</v>
      </c>
      <c r="K20" s="194"/>
      <c r="L20" s="194"/>
      <c r="M20" s="194"/>
      <c r="N20" s="195"/>
      <c r="O20" s="20"/>
      <c r="P20" s="193" t="s">
        <v>61</v>
      </c>
      <c r="Q20" s="194"/>
      <c r="R20" s="194"/>
      <c r="S20" s="195"/>
      <c r="T20" s="15"/>
    </row>
    <row r="21" spans="1:20" ht="75" x14ac:dyDescent="0.4">
      <c r="A21" s="13"/>
      <c r="B21" s="14"/>
      <c r="C21" s="124" t="s">
        <v>6</v>
      </c>
      <c r="D21" s="125" t="s">
        <v>15</v>
      </c>
      <c r="E21" s="126" t="s">
        <v>62</v>
      </c>
      <c r="F21" s="125" t="s">
        <v>63</v>
      </c>
      <c r="G21" s="127" t="s">
        <v>64</v>
      </c>
      <c r="H21" s="128" t="s">
        <v>65</v>
      </c>
      <c r="I21" s="21"/>
      <c r="J21" s="148" t="s">
        <v>6</v>
      </c>
      <c r="K21" s="149" t="s">
        <v>66</v>
      </c>
      <c r="L21" s="149" t="s">
        <v>67</v>
      </c>
      <c r="M21" s="149" t="s">
        <v>68</v>
      </c>
      <c r="N21" s="150" t="s">
        <v>69</v>
      </c>
      <c r="O21" s="101"/>
      <c r="P21" s="148" t="s">
        <v>70</v>
      </c>
      <c r="Q21" s="126" t="s">
        <v>71</v>
      </c>
      <c r="R21" s="126" t="s">
        <v>72</v>
      </c>
      <c r="S21" s="150" t="s">
        <v>69</v>
      </c>
      <c r="T21" s="102"/>
    </row>
    <row r="22" spans="1:20" ht="20.25" x14ac:dyDescent="0.4">
      <c r="A22" s="13"/>
      <c r="B22" s="14"/>
      <c r="C22" s="129"/>
      <c r="D22" s="130" t="s">
        <v>73</v>
      </c>
      <c r="E22" s="131" t="str">
        <f>IFERROR(VLOOKUP(D22,MATERIA_PRIMA[],2,FALSE)," ")</f>
        <v>330*220</v>
      </c>
      <c r="F22" s="130">
        <f>+$P$17*1.01</f>
        <v>22.662501199999998</v>
      </c>
      <c r="G22" s="131">
        <f>IFERROR(VLOOKUP(D22,MATERIA_PRIMA[],4,FALSE)," ")</f>
        <v>84124</v>
      </c>
      <c r="H22" s="132">
        <f>F22*G22</f>
        <v>1906460.2509487998</v>
      </c>
      <c r="I22" s="22"/>
      <c r="J22" s="129"/>
      <c r="K22" s="130" t="s">
        <v>74</v>
      </c>
      <c r="L22" s="151">
        <f>VLOOKUP($D$22,ESTIMACIONTIEMPO[],2,FALSE)*ORDENPRODUCCION[[#Totals],[Columna7]]</f>
        <v>4.8021626046737254</v>
      </c>
      <c r="M22" s="131">
        <f>VLOOKUP(K22,VALOR_HRHOMBRE[],3,FALSE)</f>
        <v>9430.3277652777779</v>
      </c>
      <c r="N22" s="132">
        <f>L22*M22</f>
        <v>45285.967344233286</v>
      </c>
      <c r="O22" s="103"/>
      <c r="P22" s="129" t="s">
        <v>75</v>
      </c>
      <c r="Q22" s="151">
        <f>+$P$17</f>
        <v>22.438119999999998</v>
      </c>
      <c r="R22" s="131">
        <f>VLOOKUP($D$22,DISTRIBUCION_CIF[],3,FALSE)/VLOOKUP($D$22,VOLUMEN_VENTA[],2,FALSE)</f>
        <v>71.605077141426918</v>
      </c>
      <c r="S22" s="132">
        <f>Q22*R22</f>
        <v>1606.683313508594</v>
      </c>
      <c r="T22" s="102"/>
    </row>
    <row r="23" spans="1:20" ht="20.25" x14ac:dyDescent="0.4">
      <c r="A23" s="13"/>
      <c r="B23" s="14"/>
      <c r="C23" s="133"/>
      <c r="D23" s="134"/>
      <c r="E23" s="131" t="str">
        <f>IFERROR(VLOOKUP(D23,MATERIA_PRIMA[],2,FALSE)," ")</f>
        <v xml:space="preserve"> </v>
      </c>
      <c r="F23" s="130"/>
      <c r="G23" s="131" t="str">
        <f>IFERROR(VLOOKUP(D23,MATERIA_PRIMA[],4,FALSE)," ")</f>
        <v xml:space="preserve"> </v>
      </c>
      <c r="H23" s="135" t="str">
        <f>IFERROR(F23*G23," ")</f>
        <v xml:space="preserve"> </v>
      </c>
      <c r="I23" s="22"/>
      <c r="J23" s="133"/>
      <c r="K23" s="134" t="s">
        <v>76</v>
      </c>
      <c r="L23" s="151">
        <f>VLOOKUP($D$22,ESTIMACIONTIEMPO[],3,FALSE)*SUM(ORDENPRODUCCION[[#Totals],[Columna12]:[Columna13]])</f>
        <v>9.1485580851301069</v>
      </c>
      <c r="M23" s="131">
        <f>VLOOKUP(K23,VALOR_HRHOMBRE[],3,FALSE)</f>
        <v>9658.6100761270845</v>
      </c>
      <c r="N23" s="135">
        <f t="shared" ref="N23:N30" si="0">L23*M23</f>
        <v>88362.355303071556</v>
      </c>
      <c r="O23" s="103"/>
      <c r="P23" s="133" t="s">
        <v>77</v>
      </c>
      <c r="Q23" s="151">
        <f t="shared" ref="Q23:Q26" si="1">+$P$17</f>
        <v>22.438119999999998</v>
      </c>
      <c r="R23" s="131">
        <f>VLOOKUP($D$22,DISTRIBUCION_CIF[],4,FALSE)/VLOOKUP($D$22,VOLUMEN_VENTA[],2,FALSE)</f>
        <v>484.21081465182829</v>
      </c>
      <c r="S23" s="135">
        <f t="shared" ref="S23:S30" si="2">Q23*R23</f>
        <v>10864.780364455481</v>
      </c>
      <c r="T23" s="102"/>
    </row>
    <row r="24" spans="1:20" ht="20.25" x14ac:dyDescent="0.4">
      <c r="A24" s="13"/>
      <c r="B24" s="14"/>
      <c r="C24" s="133"/>
      <c r="D24" s="134"/>
      <c r="E24" s="131" t="str">
        <f>IFERROR(VLOOKUP(D24,MATERIA_PRIMA[],2,FALSE)," ")</f>
        <v xml:space="preserve"> </v>
      </c>
      <c r="F24" s="130"/>
      <c r="G24" s="131" t="str">
        <f>IFERROR(VLOOKUP(D24,MATERIA_PRIMA[],4,FALSE)," ")</f>
        <v xml:space="preserve"> </v>
      </c>
      <c r="H24" s="135" t="str">
        <f t="shared" ref="H24:H30" si="3">IFERROR(F24*G24," ")</f>
        <v xml:space="preserve"> </v>
      </c>
      <c r="I24" s="22"/>
      <c r="J24" s="133"/>
      <c r="K24" s="134" t="s">
        <v>78</v>
      </c>
      <c r="L24" s="151">
        <f>VLOOKUP($D$22,ESTIMACIONTIEMPO[],4,FALSE)*SUM(ORDENPRODUCCION[[#Totals],[Columna8]:[Columna9]])</f>
        <v>7.2766135736374835</v>
      </c>
      <c r="M24" s="131">
        <f>VLOOKUP(K24,VALOR_HRHOMBRE[],3,FALSE)</f>
        <v>9783.3568887374986</v>
      </c>
      <c r="N24" s="135">
        <f t="shared" si="0"/>
        <v>71189.707532327055</v>
      </c>
      <c r="O24" s="103"/>
      <c r="P24" s="133" t="s">
        <v>79</v>
      </c>
      <c r="Q24" s="151">
        <f t="shared" si="1"/>
        <v>22.438119999999998</v>
      </c>
      <c r="R24" s="131">
        <f>VLOOKUP($D$22,DISTRIBUCION_CIF[],5,FALSE)/VLOOKUP($D$22,VOLUMEN_VENTA[],2,FALSE)</f>
        <v>499.95831833647196</v>
      </c>
      <c r="S24" s="135">
        <f t="shared" si="2"/>
        <v>11218.124741831956</v>
      </c>
      <c r="T24" s="102"/>
    </row>
    <row r="25" spans="1:20" ht="20.25" x14ac:dyDescent="0.4">
      <c r="A25" s="13"/>
      <c r="B25" s="14"/>
      <c r="C25" s="133"/>
      <c r="D25" s="134"/>
      <c r="E25" s="131" t="str">
        <f>IFERROR(VLOOKUP(D25,MATERIA_PRIMA[],2,FALSE)," ")</f>
        <v xml:space="preserve"> </v>
      </c>
      <c r="F25" s="130"/>
      <c r="G25" s="131" t="str">
        <f>IFERROR(VLOOKUP(D25,MATERIA_PRIMA[],4,FALSE)," ")</f>
        <v xml:space="preserve"> </v>
      </c>
      <c r="H25" s="135" t="str">
        <f t="shared" si="3"/>
        <v xml:space="preserve"> </v>
      </c>
      <c r="I25" s="22"/>
      <c r="J25" s="133"/>
      <c r="K25" s="134" t="s">
        <v>80</v>
      </c>
      <c r="L25" s="151">
        <f>VLOOKUP($D$22,ESTIMACIONTIEMPO[],5,FALSE)*ORDENPRODUCCION[[#Totals],[Columna7]]</f>
        <v>1.600720868224575</v>
      </c>
      <c r="M25" s="131">
        <f>VLOOKUP(K25,VALOR_HRHOMBRE[],3,FALSE)</f>
        <v>8946.775833333335</v>
      </c>
      <c r="N25" s="135">
        <f t="shared" si="0"/>
        <v>14321.290779743982</v>
      </c>
      <c r="O25" s="103"/>
      <c r="P25" s="133" t="s">
        <v>81</v>
      </c>
      <c r="Q25" s="151">
        <f t="shared" si="1"/>
        <v>22.438119999999998</v>
      </c>
      <c r="R25" s="131">
        <f>VLOOKUP($D$22,DISTRIBUCION_CIF[],6,FALSE)/VLOOKUP($D$22,VOLUMEN_VENTA[],2,FALSE)</f>
        <v>367.10116270315558</v>
      </c>
      <c r="S25" s="135">
        <f t="shared" si="2"/>
        <v>8237.0599408729286</v>
      </c>
      <c r="T25" s="102"/>
    </row>
    <row r="26" spans="1:20" ht="20.25" x14ac:dyDescent="0.4">
      <c r="A26" s="13"/>
      <c r="B26" s="14"/>
      <c r="C26" s="133"/>
      <c r="D26" s="134"/>
      <c r="E26" s="131" t="str">
        <f>IFERROR(VLOOKUP(D26,MATERIA_PRIMA[],2,FALSE)," ")</f>
        <v xml:space="preserve"> </v>
      </c>
      <c r="F26" s="130"/>
      <c r="G26" s="131" t="str">
        <f>IFERROR(VLOOKUP(D26,MATERIA_PRIMA[],4,FALSE)," ")</f>
        <v xml:space="preserve"> </v>
      </c>
      <c r="H26" s="135" t="str">
        <f t="shared" si="3"/>
        <v xml:space="preserve"> </v>
      </c>
      <c r="I26" s="22"/>
      <c r="J26" s="133"/>
      <c r="K26" s="134" t="s">
        <v>82</v>
      </c>
      <c r="L26" s="151">
        <f>VLOOKUP($D$22,ESTIMACIONTIEMPO[],6,FALSE)*ORDENPRODUCCION[[#Totals],[Columna7]]</f>
        <v>1.600720868224575</v>
      </c>
      <c r="M26" s="131">
        <f>VLOOKUP(K26,VALOR_HRHOMBRE[],3,FALSE)</f>
        <v>9521.9257083333323</v>
      </c>
      <c r="N26" s="135">
        <f t="shared" si="0"/>
        <v>15241.945187013232</v>
      </c>
      <c r="O26" s="103"/>
      <c r="P26" s="133" t="s">
        <v>83</v>
      </c>
      <c r="Q26" s="151">
        <f t="shared" si="1"/>
        <v>22.438119999999998</v>
      </c>
      <c r="R26" s="131">
        <f>VLOOKUP($D$22,DISTRIBUCION_CIF[],7,FALSE)/VLOOKUP($D$22,VOLUMEN_VENTA[],2,FALSE)</f>
        <v>1490.9260267455359</v>
      </c>
      <c r="S26" s="135">
        <f t="shared" si="2"/>
        <v>33453.577099239541</v>
      </c>
      <c r="T26" s="102"/>
    </row>
    <row r="27" spans="1:20" ht="20.25" x14ac:dyDescent="0.4">
      <c r="A27" s="13"/>
      <c r="B27" s="14"/>
      <c r="C27" s="133"/>
      <c r="D27" s="134"/>
      <c r="E27" s="131" t="str">
        <f>IFERROR(VLOOKUP(D27,MATERIA_PRIMA[],2,FALSE)," ")</f>
        <v xml:space="preserve"> </v>
      </c>
      <c r="F27" s="130"/>
      <c r="G27" s="131" t="str">
        <f>IFERROR(VLOOKUP(D27,MATERIA_PRIMA[],4,FALSE)," ")</f>
        <v xml:space="preserve"> </v>
      </c>
      <c r="H27" s="135" t="str">
        <f t="shared" si="3"/>
        <v xml:space="preserve"> </v>
      </c>
      <c r="I27" s="22"/>
      <c r="J27" s="133"/>
      <c r="K27" s="134" t="s">
        <v>84</v>
      </c>
      <c r="L27" s="151">
        <f>VLOOKUP($D$22,ESTIMACIONTIEMPO[],7,FALSE)*ORDENPRODUCCION[[#Totals],[Columna7]]</f>
        <v>0.53357362274152509</v>
      </c>
      <c r="M27" s="131">
        <f>VLOOKUP(K27,VALOR_HRHOMBRE[],3,FALSE)</f>
        <v>7668.665</v>
      </c>
      <c r="N27" s="135">
        <f t="shared" si="0"/>
        <v>4091.7973656411373</v>
      </c>
      <c r="O27" s="103"/>
      <c r="P27" s="133"/>
      <c r="Q27" s="134"/>
      <c r="R27" s="152"/>
      <c r="S27" s="135">
        <f t="shared" si="2"/>
        <v>0</v>
      </c>
      <c r="T27" s="102"/>
    </row>
    <row r="28" spans="1:20" ht="20.25" x14ac:dyDescent="0.4">
      <c r="A28" s="13"/>
      <c r="B28" s="14"/>
      <c r="C28" s="133"/>
      <c r="D28" s="134"/>
      <c r="E28" s="131" t="str">
        <f>IFERROR(VLOOKUP(D28,MATERIA_PRIMA[],2,FALSE)," ")</f>
        <v xml:space="preserve"> </v>
      </c>
      <c r="F28" s="130"/>
      <c r="G28" s="131" t="str">
        <f>IFERROR(VLOOKUP(D28,MATERIA_PRIMA[],4,FALSE)," ")</f>
        <v xml:space="preserve"> </v>
      </c>
      <c r="H28" s="135" t="str">
        <f t="shared" si="3"/>
        <v xml:space="preserve"> </v>
      </c>
      <c r="I28" s="22"/>
      <c r="J28" s="133"/>
      <c r="K28" s="134" t="s">
        <v>85</v>
      </c>
      <c r="L28" s="151">
        <f>VLOOKUP($D$22,ESTIMACIONTIEMPO[],8,FALSE)*ORDENPRODUCCION[[#Totals],[Columna7]]</f>
        <v>3.2014417364491501</v>
      </c>
      <c r="M28" s="131">
        <f>VLOOKUP(K28,VALOR_HRHOMBRE[],3,FALSE)</f>
        <v>10327.135533333332</v>
      </c>
      <c r="N28" s="135">
        <f t="shared" si="0"/>
        <v>33061.722714380383</v>
      </c>
      <c r="O28" s="103"/>
      <c r="P28" s="133"/>
      <c r="Q28" s="134"/>
      <c r="R28" s="152"/>
      <c r="S28" s="135">
        <f t="shared" si="2"/>
        <v>0</v>
      </c>
      <c r="T28" s="102"/>
    </row>
    <row r="29" spans="1:20" ht="20.25" x14ac:dyDescent="0.4">
      <c r="A29" s="13"/>
      <c r="B29" s="14"/>
      <c r="C29" s="133"/>
      <c r="D29" s="134"/>
      <c r="E29" s="131" t="str">
        <f>IFERROR(VLOOKUP(D29,MATERIA_PRIMA[],2,FALSE)," ")</f>
        <v xml:space="preserve"> </v>
      </c>
      <c r="F29" s="130"/>
      <c r="G29" s="131" t="str">
        <f>IFERROR(VLOOKUP(D29,MATERIA_PRIMA[],4,FALSE)," ")</f>
        <v xml:space="preserve"> </v>
      </c>
      <c r="H29" s="135" t="str">
        <f t="shared" si="3"/>
        <v xml:space="preserve"> </v>
      </c>
      <c r="I29" s="22"/>
      <c r="J29" s="133"/>
      <c r="K29" s="134"/>
      <c r="L29" s="134"/>
      <c r="M29" s="152"/>
      <c r="N29" s="135">
        <f t="shared" si="0"/>
        <v>0</v>
      </c>
      <c r="O29" s="103"/>
      <c r="P29" s="133"/>
      <c r="Q29" s="134"/>
      <c r="R29" s="152"/>
      <c r="S29" s="135">
        <f t="shared" si="2"/>
        <v>0</v>
      </c>
      <c r="T29" s="102"/>
    </row>
    <row r="30" spans="1:20" ht="20.25" x14ac:dyDescent="0.4">
      <c r="A30" s="13"/>
      <c r="B30" s="14"/>
      <c r="C30" s="136"/>
      <c r="D30" s="137"/>
      <c r="E30" s="131" t="str">
        <f>IFERROR(VLOOKUP(D30,MATERIA_PRIMA[],2,FALSE)," ")</f>
        <v xml:space="preserve"> </v>
      </c>
      <c r="F30" s="130"/>
      <c r="G30" s="131" t="str">
        <f>IFERROR(VLOOKUP(D30,MATERIA_PRIMA[],4,FALSE)," ")</f>
        <v xml:space="preserve"> </v>
      </c>
      <c r="H30" s="135" t="str">
        <f t="shared" si="3"/>
        <v xml:space="preserve"> </v>
      </c>
      <c r="I30" s="22"/>
      <c r="J30" s="136"/>
      <c r="K30" s="137"/>
      <c r="L30" s="137"/>
      <c r="M30" s="153"/>
      <c r="N30" s="154">
        <f t="shared" si="0"/>
        <v>0</v>
      </c>
      <c r="O30" s="103"/>
      <c r="P30" s="136"/>
      <c r="Q30" s="137"/>
      <c r="R30" s="153"/>
      <c r="S30" s="154">
        <f t="shared" si="2"/>
        <v>0</v>
      </c>
      <c r="T30" s="102"/>
    </row>
    <row r="31" spans="1:20" ht="21" thickBot="1" x14ac:dyDescent="0.45">
      <c r="A31" s="13"/>
      <c r="B31" s="14"/>
      <c r="C31" s="138"/>
      <c r="D31" s="138"/>
      <c r="E31" s="138"/>
      <c r="F31" s="138"/>
      <c r="G31" s="139" t="s">
        <v>86</v>
      </c>
      <c r="H31" s="140">
        <f>SUM(H22:H30)</f>
        <v>1906460.2509487998</v>
      </c>
      <c r="I31" s="23"/>
      <c r="J31" s="138"/>
      <c r="K31" s="138"/>
      <c r="L31" s="138"/>
      <c r="M31" s="139" t="s">
        <v>86</v>
      </c>
      <c r="N31" s="140">
        <f>SUM(N22:N30)</f>
        <v>271554.78622641065</v>
      </c>
      <c r="O31" s="104"/>
      <c r="P31" s="138"/>
      <c r="Q31" s="138"/>
      <c r="R31" s="155" t="s">
        <v>86</v>
      </c>
      <c r="S31" s="140">
        <f>SUM(S22:S30)</f>
        <v>65380.225459908499</v>
      </c>
      <c r="T31" s="102"/>
    </row>
    <row r="32" spans="1:20" ht="19.5" x14ac:dyDescent="0.4">
      <c r="A32" s="13"/>
      <c r="B32" s="14"/>
      <c r="C32" s="24"/>
      <c r="D32" s="24"/>
      <c r="E32" s="24"/>
      <c r="F32" s="24"/>
      <c r="G32" s="25"/>
      <c r="H32" s="26"/>
      <c r="I32" s="26"/>
      <c r="J32" s="24"/>
      <c r="K32" s="24"/>
      <c r="L32" s="24"/>
      <c r="M32" s="27"/>
      <c r="N32" s="28"/>
      <c r="O32" s="26"/>
      <c r="P32" s="24"/>
      <c r="Q32" s="24"/>
      <c r="R32" s="29"/>
      <c r="S32" s="28"/>
      <c r="T32" s="15"/>
    </row>
    <row r="33" spans="1:20" ht="19.5" x14ac:dyDescent="0.4">
      <c r="A33" s="13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5"/>
    </row>
    <row r="34" spans="1:20" ht="19.5" x14ac:dyDescent="0.4">
      <c r="A34" s="13"/>
      <c r="B34" s="187" t="s">
        <v>87</v>
      </c>
      <c r="C34" s="187"/>
      <c r="D34" s="187"/>
      <c r="E34" s="187"/>
      <c r="F34" s="187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</row>
    <row r="35" spans="1:20" ht="19.5" x14ac:dyDescent="0.4">
      <c r="A35" s="13"/>
      <c r="B35" s="188"/>
      <c r="C35" s="188"/>
      <c r="D35" s="188"/>
      <c r="E35" s="188"/>
      <c r="F35" s="188"/>
      <c r="G35" s="30"/>
      <c r="H35" s="30"/>
      <c r="I35" s="30"/>
      <c r="J35" s="30"/>
      <c r="K35" s="30"/>
      <c r="L35" s="30"/>
      <c r="M35" s="30"/>
      <c r="N35" s="178" t="s">
        <v>88</v>
      </c>
      <c r="O35" s="178"/>
      <c r="P35" s="178"/>
      <c r="Q35" s="189">
        <f>+H31+N31+S31</f>
        <v>2243395.2626351188</v>
      </c>
      <c r="R35" s="189"/>
      <c r="S35" s="189"/>
      <c r="T35" s="15"/>
    </row>
    <row r="36" spans="1:20" ht="19.5" x14ac:dyDescent="0.4">
      <c r="A36" s="13"/>
      <c r="B36" s="31"/>
      <c r="C36" s="31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178"/>
      <c r="O36" s="178"/>
      <c r="P36" s="178"/>
      <c r="Q36" s="189"/>
      <c r="R36" s="189"/>
      <c r="S36" s="189"/>
      <c r="T36" s="15"/>
    </row>
    <row r="37" spans="1:20" ht="19.5" x14ac:dyDescent="0.4">
      <c r="A37" s="13"/>
      <c r="B37" s="31"/>
      <c r="C37" s="31"/>
      <c r="D37" s="31"/>
      <c r="E37" s="31"/>
      <c r="F37" s="31"/>
      <c r="G37" s="30"/>
      <c r="H37" s="30"/>
      <c r="I37" s="30"/>
      <c r="J37" s="30"/>
      <c r="K37" s="30"/>
      <c r="L37" s="30"/>
      <c r="M37" s="30"/>
      <c r="N37" s="32"/>
      <c r="O37" s="32"/>
      <c r="P37" s="14"/>
      <c r="Q37" s="6"/>
      <c r="R37" s="6"/>
      <c r="S37" s="6"/>
      <c r="T37" s="15"/>
    </row>
    <row r="38" spans="1:20" ht="19.5" x14ac:dyDescent="0.4">
      <c r="A38" s="13"/>
      <c r="B38" s="31"/>
      <c r="C38" s="31"/>
      <c r="D38" s="31"/>
      <c r="E38" s="31"/>
      <c r="F38" s="31"/>
      <c r="G38" s="30"/>
      <c r="H38" s="30"/>
      <c r="I38" s="30"/>
      <c r="J38" s="30"/>
      <c r="K38" s="30"/>
      <c r="L38" s="30"/>
      <c r="M38" s="30"/>
      <c r="N38" s="178" t="s">
        <v>89</v>
      </c>
      <c r="O38" s="178"/>
      <c r="P38" s="178"/>
      <c r="Q38" s="196">
        <f>+P17</f>
        <v>22.438119999999998</v>
      </c>
      <c r="R38" s="196"/>
      <c r="S38" s="196"/>
      <c r="T38" s="15"/>
    </row>
    <row r="39" spans="1:20" ht="19.5" x14ac:dyDescent="0.4">
      <c r="A39" s="13"/>
      <c r="B39" s="31"/>
      <c r="C39" s="31"/>
      <c r="D39" s="31"/>
      <c r="E39" s="31"/>
      <c r="F39" s="31"/>
      <c r="G39" s="30"/>
      <c r="H39" s="30"/>
      <c r="I39" s="30"/>
      <c r="J39" s="30"/>
      <c r="K39" s="30"/>
      <c r="L39" s="30"/>
      <c r="M39" s="30"/>
      <c r="N39" s="178"/>
      <c r="O39" s="178"/>
      <c r="P39" s="178"/>
      <c r="Q39" s="196"/>
      <c r="R39" s="196"/>
      <c r="S39" s="196"/>
      <c r="T39" s="15"/>
    </row>
    <row r="40" spans="1:20" ht="28.5" x14ac:dyDescent="0.4">
      <c r="A40" s="13"/>
      <c r="B40" s="116"/>
      <c r="C40" s="116"/>
      <c r="D40" s="116"/>
      <c r="E40" s="116"/>
      <c r="F40" s="116"/>
      <c r="G40" s="32"/>
      <c r="H40" s="32"/>
      <c r="I40" s="32"/>
      <c r="J40" s="32"/>
      <c r="K40" s="32"/>
      <c r="L40" s="32"/>
      <c r="M40" s="32"/>
      <c r="N40" s="87"/>
      <c r="O40" s="87"/>
      <c r="P40" s="87"/>
      <c r="Q40" s="117"/>
      <c r="R40" s="117"/>
      <c r="S40" s="117"/>
      <c r="T40" s="15"/>
    </row>
    <row r="41" spans="1:20" ht="19.5" x14ac:dyDescent="0.4">
      <c r="A41" s="13"/>
      <c r="B41" s="116"/>
      <c r="C41" s="116"/>
      <c r="D41" s="116"/>
      <c r="E41" s="116"/>
      <c r="F41" s="116"/>
      <c r="G41" s="32"/>
      <c r="H41" s="32"/>
      <c r="I41" s="32"/>
      <c r="J41" s="32"/>
      <c r="K41" s="32"/>
      <c r="L41" s="32"/>
      <c r="M41" s="32"/>
      <c r="N41" s="178" t="s">
        <v>90</v>
      </c>
      <c r="O41" s="178"/>
      <c r="P41" s="178"/>
      <c r="Q41" s="189">
        <f>+Q35/Q38</f>
        <v>99981.427260176832</v>
      </c>
      <c r="R41" s="189"/>
      <c r="S41" s="189"/>
      <c r="T41" s="15"/>
    </row>
    <row r="42" spans="1:20" ht="19.5" x14ac:dyDescent="0.4">
      <c r="A42" s="13"/>
      <c r="B42" s="116"/>
      <c r="C42" s="116"/>
      <c r="D42" s="116"/>
      <c r="E42" s="116"/>
      <c r="F42" s="116"/>
      <c r="G42" s="32"/>
      <c r="H42" s="32"/>
      <c r="I42" s="32"/>
      <c r="J42" s="32"/>
      <c r="K42" s="32"/>
      <c r="L42" s="32"/>
      <c r="M42" s="32"/>
      <c r="N42" s="178"/>
      <c r="O42" s="178"/>
      <c r="P42" s="178"/>
      <c r="Q42" s="189"/>
      <c r="R42" s="189"/>
      <c r="S42" s="189"/>
      <c r="T42" s="15"/>
    </row>
    <row r="43" spans="1:20" ht="28.5" x14ac:dyDescent="0.4">
      <c r="A43" s="13"/>
      <c r="B43" s="116"/>
      <c r="C43" s="116"/>
      <c r="D43" s="116"/>
      <c r="E43" s="116"/>
      <c r="F43" s="116"/>
      <c r="G43" s="32"/>
      <c r="H43" s="32"/>
      <c r="I43" s="32"/>
      <c r="J43" s="32"/>
      <c r="K43" s="32"/>
      <c r="L43" s="32"/>
      <c r="M43" s="32"/>
      <c r="N43" s="87"/>
      <c r="O43" s="87"/>
      <c r="P43" s="87"/>
      <c r="Q43" s="117"/>
      <c r="R43" s="117"/>
      <c r="S43" s="117"/>
      <c r="T43" s="15"/>
    </row>
    <row r="44" spans="1:20" ht="19.5" x14ac:dyDescent="0.4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97"/>
      <c r="O44" s="197"/>
      <c r="P44" s="197"/>
      <c r="Q44" s="6"/>
      <c r="R44" s="6"/>
      <c r="S44" s="6"/>
      <c r="T44" s="15"/>
    </row>
    <row r="45" spans="1:20" ht="19.5" x14ac:dyDescent="0.4">
      <c r="A45" s="33" t="s">
        <v>91</v>
      </c>
      <c r="B45" s="34"/>
      <c r="C45" s="34"/>
      <c r="D45" s="34"/>
      <c r="E45" s="34"/>
      <c r="F45" s="35"/>
      <c r="G45" s="33" t="s">
        <v>92</v>
      </c>
      <c r="H45" s="34"/>
      <c r="I45" s="34"/>
      <c r="J45" s="34"/>
      <c r="K45" s="34"/>
      <c r="L45" s="35"/>
      <c r="M45" s="33" t="s">
        <v>93</v>
      </c>
      <c r="N45" s="34"/>
      <c r="O45" s="34"/>
      <c r="P45" s="34"/>
      <c r="Q45" s="35"/>
      <c r="R45" s="198" t="s">
        <v>94</v>
      </c>
      <c r="S45" s="199"/>
      <c r="T45" s="35"/>
    </row>
    <row r="46" spans="1:20" x14ac:dyDescent="0.25">
      <c r="A46" s="200"/>
      <c r="B46" s="201"/>
      <c r="C46" s="201"/>
      <c r="D46" s="201"/>
      <c r="E46" s="201"/>
      <c r="F46" s="202"/>
      <c r="G46" s="200"/>
      <c r="H46" s="201"/>
      <c r="I46" s="201"/>
      <c r="J46" s="201"/>
      <c r="K46" s="201"/>
      <c r="L46" s="202"/>
      <c r="M46" s="200"/>
      <c r="N46" s="201"/>
      <c r="O46" s="201"/>
      <c r="P46" s="201"/>
      <c r="Q46" s="202"/>
      <c r="R46" s="200"/>
      <c r="S46" s="201"/>
      <c r="T46" s="202"/>
    </row>
    <row r="47" spans="1:20" x14ac:dyDescent="0.25">
      <c r="A47" s="200"/>
      <c r="B47" s="201"/>
      <c r="C47" s="201"/>
      <c r="D47" s="201"/>
      <c r="E47" s="201"/>
      <c r="F47" s="202"/>
      <c r="G47" s="203"/>
      <c r="H47" s="204"/>
      <c r="I47" s="204"/>
      <c r="J47" s="204"/>
      <c r="K47" s="204"/>
      <c r="L47" s="205"/>
      <c r="M47" s="203"/>
      <c r="N47" s="204"/>
      <c r="O47" s="204"/>
      <c r="P47" s="204"/>
      <c r="Q47" s="205"/>
      <c r="R47" s="203"/>
      <c r="S47" s="204"/>
      <c r="T47" s="205"/>
    </row>
    <row r="48" spans="1:20" ht="19.5" x14ac:dyDescent="0.4">
      <c r="A48" s="203"/>
      <c r="B48" s="204"/>
      <c r="C48" s="204"/>
      <c r="D48" s="204"/>
      <c r="E48" s="204"/>
      <c r="F48" s="205"/>
      <c r="G48" s="36" t="s">
        <v>95</v>
      </c>
      <c r="H48" s="206"/>
      <c r="I48" s="206"/>
      <c r="J48" s="206"/>
      <c r="K48" s="206"/>
      <c r="L48" s="207"/>
      <c r="M48" s="36" t="s">
        <v>95</v>
      </c>
      <c r="N48" s="206"/>
      <c r="O48" s="206"/>
      <c r="P48" s="206"/>
      <c r="Q48" s="207"/>
      <c r="R48" s="208" t="s">
        <v>95</v>
      </c>
      <c r="S48" s="209"/>
      <c r="T48" s="37"/>
    </row>
    <row r="49" x14ac:dyDescent="0.25"/>
    <row r="50" x14ac:dyDescent="0.25"/>
    <row r="51" x14ac:dyDescent="0.25"/>
  </sheetData>
  <mergeCells count="32">
    <mergeCell ref="N38:P39"/>
    <mergeCell ref="Q38:S39"/>
    <mergeCell ref="N44:P44"/>
    <mergeCell ref="R45:S45"/>
    <mergeCell ref="A46:F48"/>
    <mergeCell ref="G46:L47"/>
    <mergeCell ref="M46:Q47"/>
    <mergeCell ref="R46:T47"/>
    <mergeCell ref="H48:L48"/>
    <mergeCell ref="N48:Q48"/>
    <mergeCell ref="R48:S48"/>
    <mergeCell ref="Q41:S42"/>
    <mergeCell ref="N41:P42"/>
    <mergeCell ref="B34:F35"/>
    <mergeCell ref="N35:P36"/>
    <mergeCell ref="Q35:S36"/>
    <mergeCell ref="C18:S18"/>
    <mergeCell ref="C20:H20"/>
    <mergeCell ref="J20:N20"/>
    <mergeCell ref="P20:S20"/>
    <mergeCell ref="B1:B5"/>
    <mergeCell ref="F8:R8"/>
    <mergeCell ref="F9:R9"/>
    <mergeCell ref="B12:D12"/>
    <mergeCell ref="F12:G12"/>
    <mergeCell ref="B13:D13"/>
    <mergeCell ref="F13:L13"/>
    <mergeCell ref="B15:S15"/>
    <mergeCell ref="B17:D17"/>
    <mergeCell ref="F17:K17"/>
    <mergeCell ref="L17:N17"/>
    <mergeCell ref="Q17:R17"/>
  </mergeCells>
  <pageMargins left="0.7" right="0.7" top="0.75" bottom="0.75" header="0.3" footer="0.3"/>
  <pageSetup scale="38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Hoja7!$F$5:$F$9</xm:f>
          </x14:formula1>
          <xm:sqref>F17:K17</xm:sqref>
        </x14:dataValidation>
        <x14:dataValidation type="list" allowBlank="1" showInputMessage="1" showErrorMessage="1" xr:uid="{00000000-0002-0000-0300-000001000000}">
          <x14:formula1>
            <xm:f>'INFORMACION DE COSTOS'!$B$9:$B$13</xm:f>
          </x14:formula1>
          <xm:sqref>D22:D30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Z325"/>
  <sheetViews>
    <sheetView showGridLines="0" topLeftCell="A19" zoomScale="80" zoomScaleNormal="80" workbookViewId="0"/>
  </sheetViews>
  <sheetFormatPr baseColWidth="10" defaultColWidth="11.42578125" defaultRowHeight="15" x14ac:dyDescent="0.25"/>
  <cols>
    <col min="1" max="1" width="5.140625" customWidth="1"/>
    <col min="2" max="2" width="44.42578125" customWidth="1"/>
    <col min="3" max="3" width="23.7109375" customWidth="1"/>
    <col min="4" max="4" width="22" customWidth="1"/>
    <col min="5" max="5" width="21.28515625" customWidth="1"/>
    <col min="6" max="6" width="24" customWidth="1"/>
    <col min="7" max="7" width="22.140625" customWidth="1"/>
    <col min="8" max="8" width="21.7109375" customWidth="1"/>
    <col min="9" max="9" width="20" customWidth="1"/>
    <col min="10" max="10" width="27.140625" customWidth="1"/>
    <col min="11" max="11" width="29.85546875" customWidth="1"/>
    <col min="12" max="12" width="27.28515625" bestFit="1" customWidth="1"/>
    <col min="13" max="13" width="27.42578125" customWidth="1"/>
    <col min="14" max="14" width="16" customWidth="1"/>
    <col min="15" max="15" width="14.7109375" bestFit="1" customWidth="1"/>
    <col min="16" max="16" width="16" bestFit="1" customWidth="1"/>
    <col min="17" max="17" width="13.140625" bestFit="1" customWidth="1"/>
  </cols>
  <sheetData>
    <row r="1" spans="1:26" x14ac:dyDescent="0.25">
      <c r="B1" s="167"/>
    </row>
    <row r="2" spans="1:26" x14ac:dyDescent="0.25">
      <c r="B2" s="167"/>
    </row>
    <row r="3" spans="1:26" x14ac:dyDescent="0.25">
      <c r="B3" s="167"/>
    </row>
    <row r="4" spans="1:26" x14ac:dyDescent="0.25">
      <c r="B4" s="167"/>
    </row>
    <row r="5" spans="1:26" ht="15.75" thickBot="1" x14ac:dyDescent="0.3"/>
    <row r="6" spans="1:26" ht="16.5" thickBot="1" x14ac:dyDescent="0.3">
      <c r="B6" s="45" t="s">
        <v>96</v>
      </c>
      <c r="C6" s="44"/>
      <c r="D6" s="44"/>
      <c r="E6" s="44"/>
      <c r="G6" s="216" t="s">
        <v>97</v>
      </c>
      <c r="H6" s="217"/>
      <c r="I6" s="44"/>
      <c r="J6" s="214" t="s">
        <v>98</v>
      </c>
      <c r="K6" s="215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" ht="15.75" x14ac:dyDescent="0.25">
      <c r="A7" s="44"/>
      <c r="B7" s="44"/>
      <c r="C7" s="44"/>
      <c r="D7" s="44"/>
      <c r="E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spans="1:26" ht="16.5" thickBot="1" x14ac:dyDescent="0.3">
      <c r="A8" s="44"/>
      <c r="B8" s="44" t="s">
        <v>42</v>
      </c>
      <c r="C8" s="44" t="s">
        <v>99</v>
      </c>
      <c r="D8" s="44" t="s">
        <v>100</v>
      </c>
      <c r="E8" s="44" t="s">
        <v>101</v>
      </c>
      <c r="G8" s="160" t="s">
        <v>102</v>
      </c>
      <c r="H8" s="161" t="s">
        <v>13</v>
      </c>
      <c r="I8" s="44"/>
      <c r="J8" s="108" t="s">
        <v>103</v>
      </c>
      <c r="K8" s="109" t="s">
        <v>104</v>
      </c>
      <c r="L8" t="s">
        <v>105</v>
      </c>
      <c r="M8" s="44"/>
      <c r="N8" s="44"/>
      <c r="O8" s="44"/>
      <c r="P8" s="44"/>
      <c r="Q8" s="44"/>
      <c r="R8" s="44"/>
      <c r="S8" s="44"/>
    </row>
    <row r="9" spans="1:26" ht="16.5" thickTop="1" x14ac:dyDescent="0.25">
      <c r="A9" s="44"/>
      <c r="B9" s="44" t="s">
        <v>106</v>
      </c>
      <c r="C9" s="44" t="s">
        <v>47</v>
      </c>
      <c r="D9" s="107">
        <f>3.66*2.4</f>
        <v>8.7840000000000007</v>
      </c>
      <c r="E9" s="107">
        <v>33788</v>
      </c>
      <c r="G9" s="158" t="s">
        <v>106</v>
      </c>
      <c r="H9" s="156">
        <v>2350.6000000000004</v>
      </c>
      <c r="I9" s="44"/>
      <c r="J9" s="44" t="s">
        <v>107</v>
      </c>
      <c r="K9" s="107">
        <v>20369507.973000001</v>
      </c>
      <c r="L9" s="107">
        <f>+K9/2160</f>
        <v>9430.3277652777779</v>
      </c>
      <c r="M9" s="44"/>
      <c r="N9" s="44"/>
      <c r="O9" s="44"/>
      <c r="P9" s="44"/>
      <c r="Q9" s="44"/>
      <c r="R9" s="44"/>
      <c r="S9" s="44"/>
    </row>
    <row r="10" spans="1:26" ht="15.75" x14ac:dyDescent="0.25">
      <c r="A10" s="44"/>
      <c r="B10" s="44" t="s">
        <v>108</v>
      </c>
      <c r="C10" s="44" t="s">
        <v>49</v>
      </c>
      <c r="D10" s="107">
        <f>3.3*2.4</f>
        <v>7.919999999999999</v>
      </c>
      <c r="E10" s="107">
        <v>44552</v>
      </c>
      <c r="G10" s="159" t="s">
        <v>108</v>
      </c>
      <c r="H10" s="157">
        <v>45928.400000000023</v>
      </c>
      <c r="I10" s="44"/>
      <c r="J10" s="44" t="s">
        <v>109</v>
      </c>
      <c r="K10" s="107">
        <v>27816797.019246005</v>
      </c>
      <c r="L10" s="107">
        <f>+K10/2880</f>
        <v>9658.6100761270845</v>
      </c>
      <c r="M10" s="44"/>
      <c r="N10" s="44"/>
      <c r="O10" s="44"/>
      <c r="P10" s="44"/>
      <c r="Q10" s="44"/>
      <c r="R10" s="44"/>
      <c r="S10" s="44"/>
    </row>
    <row r="11" spans="1:26" ht="15.75" x14ac:dyDescent="0.25">
      <c r="A11" s="44"/>
      <c r="B11" s="44" t="s">
        <v>110</v>
      </c>
      <c r="C11" s="44" t="s">
        <v>51</v>
      </c>
      <c r="D11" s="107">
        <f>3.66*2.6</f>
        <v>9.516</v>
      </c>
      <c r="E11" s="107">
        <v>63499</v>
      </c>
      <c r="G11" s="158" t="s">
        <v>110</v>
      </c>
      <c r="H11" s="156">
        <v>27508.05999999999</v>
      </c>
      <c r="I11" s="44"/>
      <c r="J11" s="44" t="s">
        <v>111</v>
      </c>
      <c r="K11" s="107">
        <v>21132050.879672997</v>
      </c>
      <c r="L11" s="107">
        <f t="shared" ref="L11" si="0">+K11/2160</f>
        <v>9783.3568887374986</v>
      </c>
      <c r="M11" s="44"/>
      <c r="N11" s="44"/>
      <c r="O11" s="44"/>
      <c r="P11" s="44"/>
      <c r="Q11" s="44"/>
      <c r="R11" s="44"/>
      <c r="S11" s="44"/>
    </row>
    <row r="12" spans="1:26" ht="15.75" x14ac:dyDescent="0.25">
      <c r="A12" s="44"/>
      <c r="B12" s="44" t="s">
        <v>112</v>
      </c>
      <c r="C12" s="44" t="s">
        <v>53</v>
      </c>
      <c r="D12" s="107">
        <f>3.3*2.2</f>
        <v>7.26</v>
      </c>
      <c r="E12" s="107">
        <v>71243</v>
      </c>
      <c r="G12" s="159" t="s">
        <v>112</v>
      </c>
      <c r="H12" s="157">
        <v>47952.920000000122</v>
      </c>
      <c r="I12" s="44"/>
      <c r="J12" s="44" t="s">
        <v>113</v>
      </c>
      <c r="K12" s="107">
        <v>6441678.6000000006</v>
      </c>
      <c r="L12" s="107">
        <f>+K12/720</f>
        <v>8946.775833333335</v>
      </c>
      <c r="M12" s="44"/>
      <c r="N12" s="44"/>
      <c r="O12" s="44"/>
      <c r="P12" s="44"/>
      <c r="Q12" s="44"/>
      <c r="R12" s="44"/>
      <c r="S12" s="44"/>
    </row>
    <row r="13" spans="1:26" ht="15.75" x14ac:dyDescent="0.25">
      <c r="A13" s="44"/>
      <c r="B13" s="44" t="s">
        <v>73</v>
      </c>
      <c r="C13" s="44" t="s">
        <v>53</v>
      </c>
      <c r="D13" s="107">
        <f>3.3*2.2</f>
        <v>7.26</v>
      </c>
      <c r="E13" s="107">
        <v>84124</v>
      </c>
      <c r="G13" s="158" t="s">
        <v>73</v>
      </c>
      <c r="H13" s="156">
        <v>40899.279999999999</v>
      </c>
      <c r="I13" s="44"/>
      <c r="J13" s="44" t="s">
        <v>114</v>
      </c>
      <c r="K13" s="107">
        <v>6855786.5099999998</v>
      </c>
      <c r="L13" s="107">
        <f>+K13/720</f>
        <v>9521.9257083333323</v>
      </c>
      <c r="M13" s="44"/>
      <c r="N13" s="44"/>
      <c r="O13" s="44"/>
      <c r="P13" s="44"/>
      <c r="Q13" s="44"/>
      <c r="R13" s="44"/>
      <c r="S13" s="44"/>
    </row>
    <row r="14" spans="1:26" ht="15.75" x14ac:dyDescent="0.25">
      <c r="A14" s="44"/>
      <c r="B14" s="44"/>
      <c r="C14" s="44"/>
      <c r="D14" s="44"/>
      <c r="E14" s="44"/>
      <c r="G14" s="162" t="s">
        <v>115</v>
      </c>
      <c r="H14" s="163">
        <f>SUM(H9:H13)</f>
        <v>164639.26000000013</v>
      </c>
      <c r="I14" s="44"/>
      <c r="J14" s="44" t="s">
        <v>116</v>
      </c>
      <c r="K14" s="107">
        <v>1840479.6</v>
      </c>
      <c r="L14" s="107">
        <f>+K14/240</f>
        <v>7668.665</v>
      </c>
      <c r="M14" s="44"/>
      <c r="N14" s="44"/>
      <c r="O14" s="44"/>
      <c r="P14" s="44"/>
      <c r="Q14" s="44"/>
      <c r="R14" s="44"/>
    </row>
    <row r="15" spans="1:26" ht="15.75" x14ac:dyDescent="0.25">
      <c r="A15" s="44"/>
      <c r="B15" s="44"/>
      <c r="C15" s="44"/>
      <c r="D15" s="44"/>
      <c r="E15" s="44"/>
      <c r="I15" s="44"/>
      <c r="J15" s="44" t="s">
        <v>117</v>
      </c>
      <c r="K15" s="107">
        <v>14871075.168</v>
      </c>
      <c r="L15" s="107">
        <f>+K15/1440</f>
        <v>10327.135533333332</v>
      </c>
      <c r="M15" s="44"/>
      <c r="N15" s="44"/>
      <c r="O15" s="44"/>
      <c r="P15" s="44"/>
      <c r="Q15" s="44"/>
      <c r="R15" s="44"/>
    </row>
    <row r="16" spans="1:26" ht="15.75" x14ac:dyDescent="0.25">
      <c r="A16" s="44"/>
      <c r="B16" s="44"/>
      <c r="C16" s="44"/>
      <c r="D16" s="44"/>
      <c r="E16" s="44"/>
      <c r="I16" s="44"/>
      <c r="J16" s="110" t="s">
        <v>118</v>
      </c>
      <c r="K16" s="110">
        <f>SUBTOTAL(109,VALOR_HRHOMBRE[VALOR NOMINA])</f>
        <v>99327375.749918997</v>
      </c>
      <c r="L16" s="110">
        <f>SUBTOTAL(101,VALOR_HRHOMBRE[VALOR HORA])</f>
        <v>9333.8281150203366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6" ht="15.75" x14ac:dyDescent="0.25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6" ht="16.5" thickBot="1" x14ac:dyDescent="0.3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6.5" thickBot="1" x14ac:dyDescent="0.3">
      <c r="A19" s="44"/>
      <c r="B19" s="45" t="s">
        <v>119</v>
      </c>
      <c r="C19" s="44"/>
      <c r="D19" s="44"/>
      <c r="E19" s="44"/>
      <c r="F19" s="44"/>
      <c r="G19" s="44"/>
      <c r="H19" s="44"/>
      <c r="I19" s="44"/>
      <c r="J19" s="44"/>
      <c r="K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ht="15.75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32.25" thickBot="1" x14ac:dyDescent="0.3">
      <c r="A21" s="44"/>
      <c r="B21" s="111" t="s">
        <v>102</v>
      </c>
      <c r="C21" s="112" t="s">
        <v>120</v>
      </c>
      <c r="D21" s="112" t="s">
        <v>121</v>
      </c>
      <c r="E21" s="112" t="s">
        <v>122</v>
      </c>
      <c r="F21" s="112" t="s">
        <v>123</v>
      </c>
      <c r="G21" s="112" t="s">
        <v>124</v>
      </c>
      <c r="H21" s="112" t="s">
        <v>125</v>
      </c>
      <c r="I21" s="112" t="s">
        <v>126</v>
      </c>
      <c r="J21" s="113" t="s">
        <v>127</v>
      </c>
      <c r="K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6.5" thickTop="1" x14ac:dyDescent="0.25">
      <c r="A22" s="44"/>
      <c r="B22" s="44" t="s">
        <v>106</v>
      </c>
      <c r="C22" s="107">
        <v>0.11137241555347568</v>
      </c>
      <c r="D22" s="107">
        <v>7.4248277035650456E-2</v>
      </c>
      <c r="E22" s="107">
        <v>0.11137241555347568</v>
      </c>
      <c r="F22" s="107">
        <v>3.7124138517825228E-2</v>
      </c>
      <c r="G22" s="107">
        <v>3.7124138517825228E-2</v>
      </c>
      <c r="H22" s="107">
        <v>1.2374712839275078E-2</v>
      </c>
      <c r="I22" s="107">
        <v>7.4248277035650456E-2</v>
      </c>
      <c r="J22" s="107">
        <f>SUM(ESTIMACIONTIEMPO[[#This Row],[TIEMPO CORTE                    *M2]:[TIEMPO HORNO* M2]])</f>
        <v>0.4578643750531779</v>
      </c>
      <c r="K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.75" x14ac:dyDescent="0.25">
      <c r="A23" s="44"/>
      <c r="B23" s="44" t="s">
        <v>108</v>
      </c>
      <c r="C23" s="107">
        <v>0.11236341784168395</v>
      </c>
      <c r="D23" s="107">
        <v>7.4908945227789306E-2</v>
      </c>
      <c r="E23" s="107">
        <v>0.11236341784168395</v>
      </c>
      <c r="F23" s="107">
        <v>3.7454472613894653E-2</v>
      </c>
      <c r="G23" s="107">
        <v>3.7454472613894653E-2</v>
      </c>
      <c r="H23" s="107">
        <v>1.248482420463155E-2</v>
      </c>
      <c r="I23" s="107">
        <v>7.4908945227789306E-2</v>
      </c>
      <c r="J23" s="107">
        <f>SUM(ESTIMACIONTIEMPO[[#This Row],[TIEMPO CORTE                    *M2]:[TIEMPO HORNO* M2]])</f>
        <v>0.4619384955713674</v>
      </c>
      <c r="K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5.75" x14ac:dyDescent="0.25">
      <c r="A24" s="44"/>
      <c r="B24" s="44" t="s">
        <v>110</v>
      </c>
      <c r="C24" s="107">
        <v>0.13012738811824609</v>
      </c>
      <c r="D24" s="107">
        <v>8.6751592078830736E-2</v>
      </c>
      <c r="E24" s="107">
        <v>0.13012738811824609</v>
      </c>
      <c r="F24" s="107">
        <v>4.3375796039415368E-2</v>
      </c>
      <c r="G24" s="107">
        <v>4.3375796039415368E-2</v>
      </c>
      <c r="H24" s="107">
        <v>1.4458598679805122E-2</v>
      </c>
      <c r="I24" s="107">
        <v>8.6751592078830736E-2</v>
      </c>
      <c r="J24" s="107">
        <f>SUM(ESTIMACIONTIEMPO[[#This Row],[TIEMPO CORTE                    *M2]:[TIEMPO HORNO* M2]])</f>
        <v>0.53496815115278962</v>
      </c>
      <c r="K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.75" x14ac:dyDescent="0.25">
      <c r="A25" s="44"/>
      <c r="B25" s="44" t="s">
        <v>112</v>
      </c>
      <c r="C25" s="107">
        <v>0.17026700355265079</v>
      </c>
      <c r="D25" s="107">
        <v>0.1135113357017672</v>
      </c>
      <c r="E25" s="107">
        <v>0.17026700355265079</v>
      </c>
      <c r="F25" s="107">
        <v>5.6755667850883602E-2</v>
      </c>
      <c r="G25" s="107">
        <v>5.6755667850883602E-2</v>
      </c>
      <c r="H25" s="107">
        <v>1.8918555950294531E-2</v>
      </c>
      <c r="I25" s="107">
        <v>0.1135113357017672</v>
      </c>
      <c r="J25" s="107">
        <f>SUM(ESTIMACIONTIEMPO[[#This Row],[TIEMPO CORTE                    *M2]:[TIEMPO HORNO* M2]])</f>
        <v>0.69998657016089771</v>
      </c>
      <c r="K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.75" x14ac:dyDescent="0.25">
      <c r="A26" s="44"/>
      <c r="B26" s="44" t="s">
        <v>73</v>
      </c>
      <c r="C26" s="107">
        <v>0.21401804628345539</v>
      </c>
      <c r="D26" s="107">
        <v>0.14267869752230358</v>
      </c>
      <c r="E26" s="107">
        <v>0.21401804628345539</v>
      </c>
      <c r="F26" s="107">
        <v>7.1339348761151791E-2</v>
      </c>
      <c r="G26" s="107">
        <v>7.1339348761151791E-2</v>
      </c>
      <c r="H26" s="107">
        <v>2.3779782920383932E-2</v>
      </c>
      <c r="I26" s="107">
        <v>0.14267869752230358</v>
      </c>
      <c r="J26" s="107">
        <f>SUM(ESTIMACIONTIEMPO[[#This Row],[TIEMPO CORTE                    *M2]:[TIEMPO HORNO* M2]])</f>
        <v>0.87985196805420551</v>
      </c>
      <c r="K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5.75" x14ac:dyDescent="0.25">
      <c r="A27" s="44"/>
      <c r="B27" s="44" t="s">
        <v>115</v>
      </c>
      <c r="C27" s="107">
        <f t="shared" ref="C27:J27" si="1">SUBTOTAL(109,C22:C26)</f>
        <v>0.73814827134951178</v>
      </c>
      <c r="D27" s="107">
        <f t="shared" si="1"/>
        <v>0.49209884756634126</v>
      </c>
      <c r="E27" s="107">
        <f t="shared" si="1"/>
        <v>0.73814827134951178</v>
      </c>
      <c r="F27" s="107">
        <f t="shared" si="1"/>
        <v>0.24604942378317063</v>
      </c>
      <c r="G27" s="107">
        <f t="shared" si="1"/>
        <v>0.24604942378317063</v>
      </c>
      <c r="H27" s="107">
        <f t="shared" si="1"/>
        <v>8.201647459439021E-2</v>
      </c>
      <c r="I27" s="107">
        <f t="shared" si="1"/>
        <v>0.49209884756634126</v>
      </c>
      <c r="J27" s="107">
        <f t="shared" si="1"/>
        <v>3.0346095599924383</v>
      </c>
      <c r="K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.75" x14ac:dyDescent="0.25">
      <c r="A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6.5" thickBot="1" x14ac:dyDescent="0.3">
      <c r="A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6.5" thickBot="1" x14ac:dyDescent="0.3">
      <c r="A30" s="44"/>
      <c r="B30" s="45" t="s">
        <v>128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5.75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5.75" x14ac:dyDescent="0.25">
      <c r="A32" s="44"/>
      <c r="B32" s="44" t="s">
        <v>102</v>
      </c>
      <c r="C32" s="44" t="s">
        <v>129</v>
      </c>
      <c r="D32" s="44" t="s">
        <v>130</v>
      </c>
      <c r="E32" s="44" t="s">
        <v>77</v>
      </c>
      <c r="F32" s="44" t="s">
        <v>81</v>
      </c>
      <c r="G32" s="44" t="s">
        <v>79</v>
      </c>
      <c r="H32" s="48" t="s">
        <v>83</v>
      </c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ht="15.75" x14ac:dyDescent="0.25">
      <c r="A33" s="44"/>
      <c r="B33" s="44" t="s">
        <v>106</v>
      </c>
      <c r="C33" s="114">
        <v>1.0081033209006527E-2</v>
      </c>
      <c r="D33" s="107">
        <v>87412.155065701561</v>
      </c>
      <c r="E33" s="107">
        <v>591102.09086483554</v>
      </c>
      <c r="F33" s="107">
        <v>610325.91253967315</v>
      </c>
      <c r="G33" s="107">
        <v>448140.06268896977</v>
      </c>
      <c r="H33" s="107">
        <v>1820053.3013038528</v>
      </c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ht="15.75" x14ac:dyDescent="0.25">
      <c r="A34" s="44"/>
      <c r="B34" s="44" t="s">
        <v>108</v>
      </c>
      <c r="C34" s="114">
        <v>0.19906888388601041</v>
      </c>
      <c r="D34" s="107">
        <v>1726116.7368691696</v>
      </c>
      <c r="E34" s="107">
        <v>11672418.000371428</v>
      </c>
      <c r="F34" s="107">
        <v>12052028.368226841</v>
      </c>
      <c r="G34" s="107">
        <v>8849364.966320904</v>
      </c>
      <c r="H34" s="107">
        <v>35940361.646652326</v>
      </c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spans="1:26" ht="15.75" x14ac:dyDescent="0.25">
      <c r="A35" s="44"/>
      <c r="B35" s="44" t="s">
        <v>110</v>
      </c>
      <c r="C35" s="114">
        <v>0.13805467187774526</v>
      </c>
      <c r="D35" s="107">
        <v>1197065.433227679</v>
      </c>
      <c r="E35" s="107">
        <v>8094845.3902212717</v>
      </c>
      <c r="F35" s="107">
        <v>8358105.944822453</v>
      </c>
      <c r="G35" s="107">
        <v>6137052.4257894903</v>
      </c>
      <c r="H35" s="107">
        <v>24924713.181881528</v>
      </c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spans="1:26" ht="15.75" x14ac:dyDescent="0.25">
      <c r="A36" s="44"/>
      <c r="B36" s="44" t="s">
        <v>112</v>
      </c>
      <c r="C36" s="114">
        <v>0.31504747983942599</v>
      </c>
      <c r="D36" s="107">
        <v>2731761.5754086305</v>
      </c>
      <c r="E36" s="107">
        <v>18472831.126913238</v>
      </c>
      <c r="F36" s="107">
        <v>19073604.52443853</v>
      </c>
      <c r="G36" s="107">
        <v>14005052.303478718</v>
      </c>
      <c r="H36" s="107">
        <v>56879408.475405112</v>
      </c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spans="1:26" ht="15.75" x14ac:dyDescent="0.25">
      <c r="A37" s="44"/>
      <c r="B37" s="44" t="s">
        <v>73</v>
      </c>
      <c r="C37" s="114">
        <v>0.33774793118781177</v>
      </c>
      <c r="D37" s="107">
        <v>2928596.099428819</v>
      </c>
      <c r="E37" s="107">
        <v>19803873.687473226</v>
      </c>
      <c r="F37" s="107">
        <v>20447935.2499725</v>
      </c>
      <c r="G37" s="107">
        <v>15014173.241721917</v>
      </c>
      <c r="H37" s="107">
        <v>60977801.027153157</v>
      </c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ht="15.75" x14ac:dyDescent="0.25">
      <c r="A38" s="44"/>
      <c r="B38" s="44" t="s">
        <v>115</v>
      </c>
      <c r="C38" s="115">
        <v>1</v>
      </c>
      <c r="D38" s="107">
        <f>SUBTOTAL(109,D33:D37)</f>
        <v>8670952</v>
      </c>
      <c r="E38" s="107">
        <f>SUBTOTAL(109,E33:E37)</f>
        <v>58635070.295844004</v>
      </c>
      <c r="F38" s="107">
        <f>SUBTOTAL(109,F33:F37)</f>
        <v>60542000</v>
      </c>
      <c r="G38" s="107">
        <f>SUBTOTAL(109,G33:G37)</f>
        <v>44453783</v>
      </c>
      <c r="H38" s="107">
        <f>SUBTOTAL(109,H33:H37)</f>
        <v>180542337.63239598</v>
      </c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ht="15.75" x14ac:dyDescent="0.25">
      <c r="A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spans="1:26" ht="15.75" x14ac:dyDescent="0.25">
      <c r="A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ht="15.75" x14ac:dyDescent="0.25">
      <c r="A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6" ht="15.75" x14ac:dyDescent="0.25">
      <c r="A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ht="15.75" x14ac:dyDescent="0.25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ht="15.75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ht="15.75" x14ac:dyDescent="0.25">
      <c r="A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spans="1:26" ht="15.75" x14ac:dyDescent="0.25">
      <c r="A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ht="15.75" x14ac:dyDescent="0.25">
      <c r="A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ht="15.75" x14ac:dyDescent="0.25">
      <c r="A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spans="1:26" ht="15.75" x14ac:dyDescent="0.25">
      <c r="A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ht="15.75" x14ac:dyDescent="0.25">
      <c r="A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ht="15.75" x14ac:dyDescent="0.25">
      <c r="A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ht="15.75" x14ac:dyDescent="0.25">
      <c r="A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spans="1:26" ht="15.75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spans="1:26" ht="15.75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ht="15.75" x14ac:dyDescent="0.25">
      <c r="A55" s="44"/>
      <c r="B55" s="110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ht="15.75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ht="15.75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ht="15.75" x14ac:dyDescent="0.2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ht="15.75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ht="15.75" x14ac:dyDescent="0.25">
      <c r="A60" s="44"/>
      <c r="B60" s="44" t="s">
        <v>103</v>
      </c>
      <c r="C60" s="44" t="s">
        <v>131</v>
      </c>
      <c r="D60" s="44" t="s">
        <v>132</v>
      </c>
      <c r="E60" s="44" t="s">
        <v>133</v>
      </c>
      <c r="F60" s="44" t="s">
        <v>134</v>
      </c>
      <c r="G60" s="44" t="s">
        <v>135</v>
      </c>
      <c r="H60" s="44" t="s">
        <v>136</v>
      </c>
      <c r="I60" s="44" t="s">
        <v>137</v>
      </c>
      <c r="J60" s="44" t="s">
        <v>105</v>
      </c>
      <c r="K60" s="44" t="s">
        <v>138</v>
      </c>
      <c r="L60" s="44" t="s">
        <v>139</v>
      </c>
      <c r="M60" s="44" t="s">
        <v>140</v>
      </c>
      <c r="N60" s="44" t="s">
        <v>141</v>
      </c>
      <c r="O60" s="44" t="s">
        <v>142</v>
      </c>
      <c r="P60" s="44" t="s">
        <v>143</v>
      </c>
      <c r="Q60" s="44" t="s">
        <v>144</v>
      </c>
      <c r="R60" s="44" t="s">
        <v>145</v>
      </c>
      <c r="S60" s="44"/>
      <c r="T60" s="44"/>
      <c r="U60" s="44"/>
      <c r="V60" s="44"/>
      <c r="W60" s="44"/>
      <c r="X60" s="44"/>
      <c r="Y60" s="44"/>
      <c r="Z60" s="44"/>
    </row>
    <row r="61" spans="1:26" x14ac:dyDescent="0.25">
      <c r="B61" t="s">
        <v>107</v>
      </c>
      <c r="C61" t="s">
        <v>146</v>
      </c>
      <c r="D61">
        <v>1618000</v>
      </c>
      <c r="E61">
        <v>338377.19400000002</v>
      </c>
      <c r="F61">
        <v>525202.80000000005</v>
      </c>
      <c r="G61">
        <v>2481579.9939999999</v>
      </c>
      <c r="H61">
        <v>3</v>
      </c>
      <c r="I61">
        <v>7444739.9819999998</v>
      </c>
      <c r="J61">
        <v>10339.916641666667</v>
      </c>
      <c r="K61">
        <v>134779.4</v>
      </c>
      <c r="L61">
        <v>134779.4</v>
      </c>
      <c r="M61">
        <v>1347.7939999999999</v>
      </c>
      <c r="N61">
        <v>67470.600000000006</v>
      </c>
      <c r="O61">
        <v>137530</v>
      </c>
      <c r="P61">
        <v>194160</v>
      </c>
      <c r="Q61">
        <v>112612.79999999999</v>
      </c>
      <c r="R61">
        <v>80900</v>
      </c>
    </row>
    <row r="62" spans="1:26" x14ac:dyDescent="0.25">
      <c r="B62" t="s">
        <v>107</v>
      </c>
      <c r="C62" t="s">
        <v>147</v>
      </c>
      <c r="D62">
        <v>1404500</v>
      </c>
      <c r="E62">
        <v>293727.29850000003</v>
      </c>
      <c r="F62">
        <v>455900.7</v>
      </c>
      <c r="G62">
        <v>2154127.9985000002</v>
      </c>
      <c r="H62">
        <v>6</v>
      </c>
      <c r="I62">
        <v>12924767.991</v>
      </c>
      <c r="J62">
        <v>8975.5333270833344</v>
      </c>
      <c r="K62">
        <v>116994.85</v>
      </c>
      <c r="L62">
        <v>116994.85</v>
      </c>
      <c r="M62">
        <v>1169.9485000000002</v>
      </c>
      <c r="N62">
        <v>58567.65</v>
      </c>
      <c r="O62">
        <v>119382.50000000001</v>
      </c>
      <c r="P62">
        <v>168540</v>
      </c>
      <c r="Q62">
        <v>97753.2</v>
      </c>
      <c r="R62">
        <v>70225</v>
      </c>
    </row>
    <row r="63" spans="1:26" x14ac:dyDescent="0.25">
      <c r="B63" t="s">
        <v>109</v>
      </c>
      <c r="C63" t="s">
        <v>146</v>
      </c>
      <c r="D63">
        <v>1622777</v>
      </c>
      <c r="E63">
        <v>339376.22234099999</v>
      </c>
      <c r="F63">
        <v>526753.4142</v>
      </c>
      <c r="G63">
        <v>2488906.6365410001</v>
      </c>
      <c r="H63">
        <v>6</v>
      </c>
      <c r="I63">
        <v>14933439.819246002</v>
      </c>
      <c r="J63">
        <v>10370.444318920834</v>
      </c>
      <c r="K63">
        <v>135177.3241</v>
      </c>
      <c r="L63">
        <v>135177.3241</v>
      </c>
      <c r="M63">
        <v>1351.7732410000001</v>
      </c>
      <c r="N63">
        <v>67669.800900000002</v>
      </c>
      <c r="O63">
        <v>137936.04500000001</v>
      </c>
      <c r="P63">
        <v>194733.24</v>
      </c>
      <c r="Q63">
        <v>112945.27919999999</v>
      </c>
      <c r="R63">
        <v>81138.850000000006</v>
      </c>
    </row>
    <row r="64" spans="1:26" x14ac:dyDescent="0.25">
      <c r="B64" t="s">
        <v>109</v>
      </c>
      <c r="C64" t="s">
        <v>147</v>
      </c>
      <c r="D64">
        <v>1400000</v>
      </c>
      <c r="E64">
        <v>292786.2</v>
      </c>
      <c r="F64">
        <v>454440</v>
      </c>
      <c r="G64">
        <v>2147226.2000000002</v>
      </c>
      <c r="H64">
        <v>6</v>
      </c>
      <c r="I64">
        <v>12883357.200000001</v>
      </c>
      <c r="J64">
        <v>8946.775833333335</v>
      </c>
      <c r="K64">
        <v>116620</v>
      </c>
      <c r="L64">
        <v>116620</v>
      </c>
      <c r="M64">
        <v>1166.2</v>
      </c>
      <c r="N64">
        <v>58380</v>
      </c>
      <c r="O64">
        <v>119000.00000000001</v>
      </c>
      <c r="P64">
        <v>168000</v>
      </c>
      <c r="Q64">
        <v>97440</v>
      </c>
      <c r="R64">
        <v>70000</v>
      </c>
    </row>
    <row r="65" spans="2:18" x14ac:dyDescent="0.25">
      <c r="B65" t="s">
        <v>111</v>
      </c>
      <c r="C65" t="s">
        <v>146</v>
      </c>
      <c r="D65">
        <v>1530909</v>
      </c>
      <c r="E65">
        <v>320163.59189699998</v>
      </c>
      <c r="F65">
        <v>496933.06139999995</v>
      </c>
      <c r="G65">
        <v>2348005.6532970001</v>
      </c>
      <c r="H65">
        <v>9</v>
      </c>
      <c r="I65">
        <v>21132050.879673</v>
      </c>
      <c r="J65">
        <v>9783.3568887375004</v>
      </c>
      <c r="K65">
        <v>127524.7197</v>
      </c>
      <c r="L65">
        <v>127524.7197</v>
      </c>
      <c r="M65">
        <v>1275.2471970000001</v>
      </c>
      <c r="N65">
        <v>63838.905299999999</v>
      </c>
      <c r="O65">
        <v>130127.26500000001</v>
      </c>
      <c r="P65">
        <v>183709.08</v>
      </c>
      <c r="Q65">
        <v>106551.26639999999</v>
      </c>
      <c r="R65">
        <v>76545.45</v>
      </c>
    </row>
    <row r="66" spans="2:18" x14ac:dyDescent="0.25">
      <c r="B66" t="s">
        <v>113</v>
      </c>
      <c r="C66" t="s">
        <v>146</v>
      </c>
      <c r="D66">
        <v>1400000</v>
      </c>
      <c r="E66">
        <v>292786.2</v>
      </c>
      <c r="F66">
        <v>454440</v>
      </c>
      <c r="G66">
        <v>2147226.2000000002</v>
      </c>
      <c r="H66">
        <v>3</v>
      </c>
      <c r="I66">
        <v>6441678.6000000006</v>
      </c>
      <c r="J66">
        <v>8946.775833333335</v>
      </c>
      <c r="K66">
        <v>116620</v>
      </c>
      <c r="L66">
        <v>116620</v>
      </c>
      <c r="M66">
        <v>1166.2</v>
      </c>
      <c r="N66">
        <v>58380</v>
      </c>
      <c r="O66">
        <v>119000.00000000001</v>
      </c>
      <c r="P66">
        <v>168000</v>
      </c>
      <c r="Q66">
        <v>97440</v>
      </c>
      <c r="R66">
        <v>70000</v>
      </c>
    </row>
    <row r="67" spans="2:18" x14ac:dyDescent="0.25">
      <c r="B67" t="s">
        <v>114</v>
      </c>
      <c r="C67" t="s">
        <v>146</v>
      </c>
      <c r="D67">
        <v>1490000</v>
      </c>
      <c r="E67">
        <v>311608.17000000004</v>
      </c>
      <c r="F67">
        <v>483654</v>
      </c>
      <c r="G67">
        <v>2285262.17</v>
      </c>
      <c r="H67">
        <v>3</v>
      </c>
      <c r="I67">
        <v>6855786.5099999998</v>
      </c>
      <c r="J67">
        <v>9521.9257083333323</v>
      </c>
      <c r="K67">
        <v>124117</v>
      </c>
      <c r="L67">
        <v>124117</v>
      </c>
      <c r="M67">
        <v>1241.17</v>
      </c>
      <c r="N67">
        <v>62133</v>
      </c>
      <c r="O67">
        <v>126650.00000000001</v>
      </c>
      <c r="P67">
        <v>178800</v>
      </c>
      <c r="Q67">
        <v>103704</v>
      </c>
      <c r="R67">
        <v>74500</v>
      </c>
    </row>
    <row r="68" spans="2:18" x14ac:dyDescent="0.25">
      <c r="B68" t="s">
        <v>116</v>
      </c>
      <c r="C68" t="s">
        <v>147</v>
      </c>
      <c r="D68">
        <v>1200000</v>
      </c>
      <c r="E68">
        <v>250959.6</v>
      </c>
      <c r="F68">
        <v>389520</v>
      </c>
      <c r="G68">
        <v>1840479.6</v>
      </c>
      <c r="H68">
        <v>1</v>
      </c>
      <c r="I68">
        <v>1840479.6</v>
      </c>
      <c r="J68">
        <v>7668.665</v>
      </c>
      <c r="K68">
        <v>99960</v>
      </c>
      <c r="L68">
        <v>99960</v>
      </c>
      <c r="M68">
        <v>999.6</v>
      </c>
      <c r="N68">
        <v>50040</v>
      </c>
      <c r="O68">
        <v>102000.00000000001</v>
      </c>
      <c r="P68">
        <v>144000</v>
      </c>
      <c r="Q68">
        <v>83520</v>
      </c>
      <c r="R68">
        <v>60000</v>
      </c>
    </row>
    <row r="69" spans="2:18" x14ac:dyDescent="0.25">
      <c r="B69" t="s">
        <v>117</v>
      </c>
      <c r="C69" t="s">
        <v>146</v>
      </c>
      <c r="D69">
        <v>1616000</v>
      </c>
      <c r="E69">
        <v>337958.92800000001</v>
      </c>
      <c r="F69">
        <v>524553.6</v>
      </c>
      <c r="G69">
        <v>2478512.5279999999</v>
      </c>
      <c r="H69">
        <v>6</v>
      </c>
      <c r="I69">
        <v>14871075.168</v>
      </c>
      <c r="J69">
        <v>10327.135533333332</v>
      </c>
      <c r="K69">
        <v>134612.79999999999</v>
      </c>
      <c r="L69">
        <v>134612.79999999999</v>
      </c>
      <c r="M69">
        <v>1346.1279999999999</v>
      </c>
      <c r="N69">
        <v>67387.199999999997</v>
      </c>
      <c r="O69">
        <v>137360</v>
      </c>
      <c r="P69">
        <v>193920</v>
      </c>
      <c r="Q69">
        <v>112473.59999999999</v>
      </c>
      <c r="R69">
        <v>80800</v>
      </c>
    </row>
    <row r="70" spans="2:18" x14ac:dyDescent="0.25">
      <c r="B70" t="s">
        <v>41</v>
      </c>
      <c r="D70">
        <v>13282186</v>
      </c>
      <c r="E70">
        <v>2777743.4047380001</v>
      </c>
      <c r="F70">
        <v>4311397.5756000001</v>
      </c>
      <c r="G70">
        <v>20371326.980338</v>
      </c>
      <c r="H70">
        <v>43</v>
      </c>
      <c r="I70">
        <v>99327375.749918997</v>
      </c>
      <c r="J70">
        <v>84880.529084741662</v>
      </c>
      <c r="K70">
        <v>1106406.0937999999</v>
      </c>
      <c r="L70">
        <v>1106406.0937999999</v>
      </c>
      <c r="M70">
        <v>11064.060938000001</v>
      </c>
      <c r="N70">
        <v>553867.15619999997</v>
      </c>
      <c r="O70">
        <v>1128985.81</v>
      </c>
      <c r="P70">
        <v>1593862.3199999998</v>
      </c>
      <c r="Q70">
        <v>924440.14559999993</v>
      </c>
      <c r="R70">
        <v>664109.30000000005</v>
      </c>
    </row>
    <row r="75" spans="2:18" s="47" customFormat="1" ht="58.5" customHeight="1" x14ac:dyDescent="0.25">
      <c r="B75" s="47" t="s">
        <v>148</v>
      </c>
      <c r="C75" s="47" t="s">
        <v>149</v>
      </c>
      <c r="D75" s="47" t="s">
        <v>150</v>
      </c>
      <c r="E75" s="47" t="s">
        <v>151</v>
      </c>
      <c r="F75" s="47" t="s">
        <v>152</v>
      </c>
      <c r="G75" s="47" t="s">
        <v>153</v>
      </c>
      <c r="H75" s="47" t="s">
        <v>154</v>
      </c>
      <c r="I75" s="47" t="s">
        <v>32</v>
      </c>
    </row>
    <row r="76" spans="2:18" s="46" customFormat="1" ht="60" x14ac:dyDescent="0.25">
      <c r="B76" s="46" t="s">
        <v>155</v>
      </c>
      <c r="C76" s="46" t="s">
        <v>156</v>
      </c>
      <c r="D76" s="46" t="s">
        <v>157</v>
      </c>
      <c r="E76" s="46">
        <v>1</v>
      </c>
      <c r="F76" s="46">
        <v>1400000000</v>
      </c>
      <c r="G76" s="46" t="s">
        <v>158</v>
      </c>
      <c r="H76" s="46">
        <v>10</v>
      </c>
    </row>
    <row r="77" spans="2:18" x14ac:dyDescent="0.25">
      <c r="B77" t="s">
        <v>159</v>
      </c>
      <c r="F77">
        <v>1166666.6666666667</v>
      </c>
    </row>
    <row r="78" spans="2:18" x14ac:dyDescent="0.25">
      <c r="B78" t="s">
        <v>155</v>
      </c>
      <c r="C78" t="s">
        <v>160</v>
      </c>
      <c r="D78" t="s">
        <v>157</v>
      </c>
      <c r="E78">
        <v>1</v>
      </c>
      <c r="F78">
        <v>28000</v>
      </c>
      <c r="G78" t="s">
        <v>161</v>
      </c>
      <c r="I78">
        <v>1</v>
      </c>
    </row>
    <row r="79" spans="2:18" x14ac:dyDescent="0.25">
      <c r="B79" t="s">
        <v>155</v>
      </c>
      <c r="C79" t="s">
        <v>162</v>
      </c>
      <c r="D79" t="s">
        <v>163</v>
      </c>
      <c r="E79">
        <v>5</v>
      </c>
      <c r="F79">
        <v>225000</v>
      </c>
      <c r="G79" t="s">
        <v>164</v>
      </c>
      <c r="I79">
        <v>1</v>
      </c>
    </row>
    <row r="80" spans="2:18" x14ac:dyDescent="0.25">
      <c r="B80" t="s">
        <v>155</v>
      </c>
      <c r="C80" t="s">
        <v>165</v>
      </c>
      <c r="D80" t="s">
        <v>157</v>
      </c>
      <c r="E80">
        <v>1</v>
      </c>
      <c r="F80">
        <v>125000</v>
      </c>
      <c r="G80" t="s">
        <v>161</v>
      </c>
      <c r="I80">
        <v>6</v>
      </c>
    </row>
    <row r="81" spans="2:9" s="46" customFormat="1" ht="60" x14ac:dyDescent="0.25">
      <c r="B81" s="46" t="s">
        <v>166</v>
      </c>
      <c r="C81" s="46" t="s">
        <v>167</v>
      </c>
      <c r="D81" s="46" t="s">
        <v>157</v>
      </c>
      <c r="E81" s="46">
        <v>1</v>
      </c>
      <c r="F81" s="46">
        <v>153848000</v>
      </c>
      <c r="G81" s="46" t="s">
        <v>168</v>
      </c>
      <c r="H81" s="46">
        <v>10</v>
      </c>
    </row>
    <row r="82" spans="2:9" x14ac:dyDescent="0.25">
      <c r="B82" t="s">
        <v>159</v>
      </c>
      <c r="F82">
        <v>1282066.6666666667</v>
      </c>
    </row>
    <row r="83" spans="2:9" x14ac:dyDescent="0.25">
      <c r="B83" t="s">
        <v>169</v>
      </c>
      <c r="C83" t="s">
        <v>170</v>
      </c>
      <c r="D83" t="s">
        <v>157</v>
      </c>
      <c r="E83">
        <v>1</v>
      </c>
      <c r="F83">
        <v>336540000</v>
      </c>
      <c r="G83" t="s">
        <v>158</v>
      </c>
      <c r="H83">
        <v>10</v>
      </c>
    </row>
    <row r="84" spans="2:9" x14ac:dyDescent="0.25">
      <c r="B84" t="s">
        <v>159</v>
      </c>
      <c r="F84">
        <v>2804500</v>
      </c>
    </row>
    <row r="85" spans="2:9" x14ac:dyDescent="0.25">
      <c r="B85" t="s">
        <v>169</v>
      </c>
      <c r="C85" t="s">
        <v>171</v>
      </c>
      <c r="D85" t="s">
        <v>157</v>
      </c>
      <c r="E85">
        <v>1</v>
      </c>
      <c r="F85">
        <v>340000</v>
      </c>
      <c r="G85" t="s">
        <v>172</v>
      </c>
      <c r="I85">
        <v>1</v>
      </c>
    </row>
    <row r="86" spans="2:9" x14ac:dyDescent="0.25">
      <c r="B86" t="s">
        <v>169</v>
      </c>
      <c r="C86" t="s">
        <v>173</v>
      </c>
      <c r="D86" t="s">
        <v>157</v>
      </c>
      <c r="E86">
        <v>1</v>
      </c>
      <c r="F86">
        <v>340000</v>
      </c>
      <c r="G86" t="s">
        <v>172</v>
      </c>
      <c r="I86">
        <v>1</v>
      </c>
    </row>
    <row r="87" spans="2:9" x14ac:dyDescent="0.25">
      <c r="B87" t="s">
        <v>169</v>
      </c>
      <c r="C87" t="s">
        <v>174</v>
      </c>
      <c r="D87" t="s">
        <v>157</v>
      </c>
      <c r="E87">
        <v>1</v>
      </c>
      <c r="F87">
        <v>340000</v>
      </c>
      <c r="G87" t="s">
        <v>172</v>
      </c>
      <c r="I87">
        <v>1</v>
      </c>
    </row>
    <row r="88" spans="2:9" x14ac:dyDescent="0.25">
      <c r="B88" t="s">
        <v>169</v>
      </c>
      <c r="C88" t="s">
        <v>175</v>
      </c>
      <c r="D88" t="s">
        <v>157</v>
      </c>
      <c r="E88">
        <v>1</v>
      </c>
      <c r="F88">
        <v>290000</v>
      </c>
      <c r="G88" t="s">
        <v>172</v>
      </c>
      <c r="I88">
        <v>1</v>
      </c>
    </row>
    <row r="89" spans="2:9" x14ac:dyDescent="0.25">
      <c r="B89" t="s">
        <v>169</v>
      </c>
      <c r="C89" t="s">
        <v>176</v>
      </c>
      <c r="D89" t="s">
        <v>157</v>
      </c>
      <c r="E89">
        <v>3</v>
      </c>
      <c r="F89">
        <v>45000</v>
      </c>
      <c r="G89" t="s">
        <v>172</v>
      </c>
      <c r="I89">
        <v>1</v>
      </c>
    </row>
    <row r="90" spans="2:9" x14ac:dyDescent="0.25">
      <c r="B90" t="s">
        <v>169</v>
      </c>
      <c r="C90" t="s">
        <v>177</v>
      </c>
      <c r="D90" t="s">
        <v>157</v>
      </c>
      <c r="E90">
        <v>3</v>
      </c>
      <c r="F90">
        <v>45000</v>
      </c>
      <c r="G90" t="s">
        <v>172</v>
      </c>
      <c r="I90">
        <v>1</v>
      </c>
    </row>
    <row r="91" spans="2:9" x14ac:dyDescent="0.25">
      <c r="B91" t="s">
        <v>169</v>
      </c>
      <c r="C91" t="s">
        <v>178</v>
      </c>
      <c r="D91" t="s">
        <v>157</v>
      </c>
      <c r="E91">
        <v>1</v>
      </c>
      <c r="F91">
        <v>350000</v>
      </c>
      <c r="G91" t="s">
        <v>172</v>
      </c>
      <c r="I91">
        <v>1</v>
      </c>
    </row>
    <row r="92" spans="2:9" x14ac:dyDescent="0.25">
      <c r="B92" t="s">
        <v>113</v>
      </c>
      <c r="C92" t="s">
        <v>179</v>
      </c>
      <c r="D92" t="s">
        <v>157</v>
      </c>
      <c r="E92">
        <v>1</v>
      </c>
      <c r="F92">
        <v>300000000</v>
      </c>
      <c r="G92" t="s">
        <v>180</v>
      </c>
      <c r="H92">
        <v>10</v>
      </c>
    </row>
    <row r="93" spans="2:9" x14ac:dyDescent="0.25">
      <c r="B93" t="s">
        <v>159</v>
      </c>
      <c r="F93">
        <v>2500000</v>
      </c>
    </row>
    <row r="94" spans="2:9" x14ac:dyDescent="0.25">
      <c r="B94" t="s">
        <v>113</v>
      </c>
      <c r="C94" t="s">
        <v>181</v>
      </c>
      <c r="D94" t="s">
        <v>163</v>
      </c>
      <c r="E94">
        <v>1</v>
      </c>
      <c r="F94">
        <v>29000</v>
      </c>
      <c r="G94" t="s">
        <v>182</v>
      </c>
      <c r="I94">
        <v>1</v>
      </c>
    </row>
    <row r="95" spans="2:9" x14ac:dyDescent="0.25">
      <c r="B95" t="s">
        <v>183</v>
      </c>
      <c r="C95" t="s">
        <v>184</v>
      </c>
      <c r="D95" t="s">
        <v>157</v>
      </c>
      <c r="E95">
        <v>1</v>
      </c>
      <c r="F95">
        <v>76924000</v>
      </c>
      <c r="G95" t="s">
        <v>185</v>
      </c>
      <c r="H95">
        <v>10</v>
      </c>
    </row>
    <row r="96" spans="2:9" x14ac:dyDescent="0.25">
      <c r="B96" t="s">
        <v>159</v>
      </c>
      <c r="F96">
        <v>641033.33333333337</v>
      </c>
    </row>
    <row r="97" spans="2:9" x14ac:dyDescent="0.25">
      <c r="B97" t="s">
        <v>183</v>
      </c>
      <c r="C97" t="s">
        <v>186</v>
      </c>
      <c r="D97" t="s">
        <v>157</v>
      </c>
      <c r="E97">
        <v>2</v>
      </c>
      <c r="F97">
        <v>66835</v>
      </c>
      <c r="G97" t="s">
        <v>172</v>
      </c>
      <c r="I97">
        <v>1</v>
      </c>
    </row>
    <row r="98" spans="2:9" x14ac:dyDescent="0.25">
      <c r="B98" t="s">
        <v>183</v>
      </c>
      <c r="C98" t="s">
        <v>187</v>
      </c>
      <c r="D98" t="s">
        <v>157</v>
      </c>
      <c r="E98">
        <v>2</v>
      </c>
      <c r="F98">
        <v>66835</v>
      </c>
      <c r="G98" t="s">
        <v>172</v>
      </c>
      <c r="I98">
        <v>1</v>
      </c>
    </row>
    <row r="99" spans="2:9" x14ac:dyDescent="0.25">
      <c r="B99" t="s">
        <v>183</v>
      </c>
      <c r="C99" t="s">
        <v>188</v>
      </c>
      <c r="D99" t="s">
        <v>157</v>
      </c>
      <c r="E99">
        <v>2</v>
      </c>
      <c r="F99">
        <v>66835</v>
      </c>
      <c r="G99" t="s">
        <v>172</v>
      </c>
      <c r="I99">
        <v>1</v>
      </c>
    </row>
    <row r="100" spans="2:9" x14ac:dyDescent="0.25">
      <c r="B100" t="s">
        <v>183</v>
      </c>
      <c r="C100" t="s">
        <v>189</v>
      </c>
      <c r="D100" t="s">
        <v>157</v>
      </c>
      <c r="E100">
        <v>2</v>
      </c>
      <c r="F100">
        <v>72217</v>
      </c>
      <c r="G100" t="s">
        <v>172</v>
      </c>
      <c r="I100">
        <v>1</v>
      </c>
    </row>
    <row r="101" spans="2:9" x14ac:dyDescent="0.25">
      <c r="B101" t="s">
        <v>183</v>
      </c>
      <c r="C101" t="s">
        <v>190</v>
      </c>
      <c r="D101" t="s">
        <v>157</v>
      </c>
      <c r="E101">
        <v>2</v>
      </c>
      <c r="F101">
        <v>75316</v>
      </c>
      <c r="G101" t="s">
        <v>172</v>
      </c>
      <c r="I101">
        <v>1</v>
      </c>
    </row>
    <row r="102" spans="2:9" x14ac:dyDescent="0.25">
      <c r="B102" t="s">
        <v>183</v>
      </c>
      <c r="C102" t="s">
        <v>191</v>
      </c>
      <c r="D102" t="s">
        <v>157</v>
      </c>
      <c r="E102">
        <v>4</v>
      </c>
      <c r="F102">
        <v>79765</v>
      </c>
      <c r="G102" t="s">
        <v>172</v>
      </c>
      <c r="I102">
        <v>1</v>
      </c>
    </row>
    <row r="103" spans="2:9" x14ac:dyDescent="0.25">
      <c r="B103" t="s">
        <v>183</v>
      </c>
      <c r="C103" t="s">
        <v>192</v>
      </c>
      <c r="D103" t="s">
        <v>157</v>
      </c>
      <c r="E103">
        <v>8</v>
      </c>
      <c r="F103">
        <v>86198</v>
      </c>
      <c r="G103" t="s">
        <v>172</v>
      </c>
      <c r="I103">
        <v>1</v>
      </c>
    </row>
    <row r="104" spans="2:9" x14ac:dyDescent="0.25">
      <c r="B104" t="s">
        <v>183</v>
      </c>
      <c r="C104" t="s">
        <v>193</v>
      </c>
      <c r="D104" t="s">
        <v>157</v>
      </c>
      <c r="E104">
        <v>6</v>
      </c>
      <c r="F104">
        <v>92630</v>
      </c>
      <c r="G104" t="s">
        <v>172</v>
      </c>
      <c r="I104">
        <v>1</v>
      </c>
    </row>
    <row r="105" spans="2:9" x14ac:dyDescent="0.25">
      <c r="B105" t="s">
        <v>183</v>
      </c>
      <c r="C105" t="s">
        <v>194</v>
      </c>
      <c r="D105" t="s">
        <v>157</v>
      </c>
      <c r="E105">
        <v>4</v>
      </c>
      <c r="F105">
        <v>99131</v>
      </c>
      <c r="G105" t="s">
        <v>172</v>
      </c>
      <c r="I105">
        <v>1</v>
      </c>
    </row>
    <row r="106" spans="2:9" x14ac:dyDescent="0.25">
      <c r="B106" t="s">
        <v>183</v>
      </c>
      <c r="C106" t="s">
        <v>195</v>
      </c>
      <c r="D106" t="s">
        <v>157</v>
      </c>
      <c r="E106">
        <v>2</v>
      </c>
      <c r="F106">
        <v>103531</v>
      </c>
      <c r="G106" t="s">
        <v>172</v>
      </c>
      <c r="I106">
        <v>1</v>
      </c>
    </row>
    <row r="107" spans="2:9" x14ac:dyDescent="0.25">
      <c r="B107" t="s">
        <v>183</v>
      </c>
      <c r="C107" t="s">
        <v>196</v>
      </c>
      <c r="D107" t="s">
        <v>157</v>
      </c>
      <c r="E107">
        <v>2</v>
      </c>
      <c r="F107">
        <v>109537</v>
      </c>
      <c r="G107" t="s">
        <v>172</v>
      </c>
      <c r="I107">
        <v>1</v>
      </c>
    </row>
    <row r="108" spans="2:9" x14ac:dyDescent="0.25">
      <c r="B108" t="s">
        <v>183</v>
      </c>
      <c r="C108" t="s">
        <v>197</v>
      </c>
      <c r="D108" t="s">
        <v>157</v>
      </c>
      <c r="E108">
        <v>2</v>
      </c>
      <c r="F108">
        <v>120987</v>
      </c>
      <c r="G108" t="s">
        <v>172</v>
      </c>
      <c r="I108">
        <v>1</v>
      </c>
    </row>
    <row r="109" spans="2:9" x14ac:dyDescent="0.25">
      <c r="B109" t="s">
        <v>183</v>
      </c>
      <c r="C109" t="s">
        <v>198</v>
      </c>
      <c r="D109" t="s">
        <v>157</v>
      </c>
      <c r="E109">
        <v>2</v>
      </c>
      <c r="F109">
        <v>133288</v>
      </c>
      <c r="G109" t="s">
        <v>172</v>
      </c>
      <c r="I109">
        <v>1</v>
      </c>
    </row>
    <row r="110" spans="2:9" x14ac:dyDescent="0.25">
      <c r="B110" t="s">
        <v>183</v>
      </c>
      <c r="C110" t="s">
        <v>199</v>
      </c>
      <c r="D110" t="s">
        <v>157</v>
      </c>
      <c r="E110">
        <v>2</v>
      </c>
      <c r="F110">
        <v>146109</v>
      </c>
      <c r="G110" t="s">
        <v>172</v>
      </c>
      <c r="I110">
        <v>1</v>
      </c>
    </row>
    <row r="111" spans="2:9" x14ac:dyDescent="0.25">
      <c r="B111" t="s">
        <v>183</v>
      </c>
      <c r="C111" t="s">
        <v>200</v>
      </c>
      <c r="D111" t="s">
        <v>157</v>
      </c>
      <c r="E111">
        <v>2</v>
      </c>
      <c r="F111">
        <v>158254</v>
      </c>
      <c r="G111" t="s">
        <v>172</v>
      </c>
      <c r="I111">
        <v>1</v>
      </c>
    </row>
    <row r="112" spans="2:9" x14ac:dyDescent="0.25">
      <c r="B112" t="s">
        <v>183</v>
      </c>
      <c r="C112" t="s">
        <v>201</v>
      </c>
      <c r="D112" t="s">
        <v>157</v>
      </c>
      <c r="E112">
        <v>2</v>
      </c>
      <c r="F112">
        <v>121550</v>
      </c>
      <c r="G112" t="s">
        <v>172</v>
      </c>
      <c r="I112">
        <v>3</v>
      </c>
    </row>
    <row r="113" spans="2:9" x14ac:dyDescent="0.25">
      <c r="B113" t="s">
        <v>183</v>
      </c>
      <c r="C113" t="s">
        <v>202</v>
      </c>
      <c r="D113" t="s">
        <v>157</v>
      </c>
      <c r="E113">
        <v>2</v>
      </c>
      <c r="F113">
        <v>140250</v>
      </c>
      <c r="G113" t="s">
        <v>172</v>
      </c>
      <c r="I113">
        <v>3</v>
      </c>
    </row>
    <row r="114" spans="2:9" x14ac:dyDescent="0.25">
      <c r="B114" t="s">
        <v>183</v>
      </c>
      <c r="C114" t="s">
        <v>203</v>
      </c>
      <c r="D114" t="s">
        <v>157</v>
      </c>
      <c r="E114">
        <v>2</v>
      </c>
      <c r="F114">
        <v>163350</v>
      </c>
      <c r="G114" t="s">
        <v>172</v>
      </c>
      <c r="I114">
        <v>3</v>
      </c>
    </row>
    <row r="115" spans="2:9" x14ac:dyDescent="0.25">
      <c r="B115" t="s">
        <v>183</v>
      </c>
      <c r="C115" t="s">
        <v>204</v>
      </c>
      <c r="D115" t="s">
        <v>157</v>
      </c>
      <c r="E115">
        <v>2</v>
      </c>
      <c r="F115">
        <v>304358</v>
      </c>
      <c r="G115" t="s">
        <v>172</v>
      </c>
      <c r="I115">
        <v>4</v>
      </c>
    </row>
    <row r="116" spans="2:9" x14ac:dyDescent="0.25">
      <c r="B116" t="s">
        <v>116</v>
      </c>
      <c r="C116" t="s">
        <v>205</v>
      </c>
      <c r="D116" t="s">
        <v>157</v>
      </c>
      <c r="E116">
        <v>1</v>
      </c>
      <c r="F116">
        <v>450000</v>
      </c>
      <c r="G116" t="s">
        <v>206</v>
      </c>
      <c r="I116">
        <v>6</v>
      </c>
    </row>
    <row r="117" spans="2:9" x14ac:dyDescent="0.25">
      <c r="B117" t="s">
        <v>116</v>
      </c>
      <c r="C117" t="s">
        <v>207</v>
      </c>
      <c r="D117" t="s">
        <v>157</v>
      </c>
      <c r="E117">
        <v>2</v>
      </c>
      <c r="F117">
        <v>98000</v>
      </c>
      <c r="G117" t="s">
        <v>208</v>
      </c>
      <c r="I117">
        <v>1</v>
      </c>
    </row>
    <row r="118" spans="2:9" x14ac:dyDescent="0.25">
      <c r="B118" t="s">
        <v>116</v>
      </c>
      <c r="C118" t="s">
        <v>209</v>
      </c>
      <c r="D118" t="s">
        <v>210</v>
      </c>
      <c r="E118">
        <v>500</v>
      </c>
      <c r="F118">
        <v>85000</v>
      </c>
      <c r="G118" t="s">
        <v>161</v>
      </c>
      <c r="I118">
        <v>1</v>
      </c>
    </row>
    <row r="119" spans="2:9" s="46" customFormat="1" ht="60" x14ac:dyDescent="0.25">
      <c r="B119" s="46" t="s">
        <v>117</v>
      </c>
      <c r="C119" s="46" t="s">
        <v>211</v>
      </c>
      <c r="D119" s="46" t="s">
        <v>157</v>
      </c>
      <c r="E119" s="46">
        <v>1</v>
      </c>
      <c r="F119" s="46">
        <v>1480000000</v>
      </c>
      <c r="G119" s="46" t="s">
        <v>212</v>
      </c>
      <c r="H119" s="46">
        <v>10</v>
      </c>
    </row>
    <row r="120" spans="2:9" x14ac:dyDescent="0.25">
      <c r="B120" t="s">
        <v>159</v>
      </c>
      <c r="F120">
        <v>12333333.333333334</v>
      </c>
    </row>
    <row r="121" spans="2:9" s="46" customFormat="1" ht="45" x14ac:dyDescent="0.25">
      <c r="B121" s="46" t="s">
        <v>213</v>
      </c>
      <c r="C121" s="46" t="s">
        <v>214</v>
      </c>
      <c r="D121" s="46" t="s">
        <v>157</v>
      </c>
      <c r="E121" s="46">
        <v>5</v>
      </c>
      <c r="F121" s="46">
        <v>576000</v>
      </c>
      <c r="G121" s="46" t="s">
        <v>215</v>
      </c>
      <c r="H121" s="46">
        <v>10</v>
      </c>
    </row>
    <row r="122" spans="2:9" x14ac:dyDescent="0.25">
      <c r="B122" t="s">
        <v>159</v>
      </c>
      <c r="F122">
        <v>4800</v>
      </c>
    </row>
    <row r="123" spans="2:9" s="46" customFormat="1" ht="30" x14ac:dyDescent="0.25">
      <c r="B123" s="46" t="s">
        <v>216</v>
      </c>
      <c r="C123" s="46" t="s">
        <v>217</v>
      </c>
      <c r="D123" s="46" t="s">
        <v>157</v>
      </c>
      <c r="E123" s="46">
        <v>6</v>
      </c>
      <c r="F123" s="46">
        <v>480000</v>
      </c>
      <c r="G123" s="46" t="s">
        <v>215</v>
      </c>
      <c r="H123" s="46">
        <v>10</v>
      </c>
    </row>
    <row r="124" spans="2:9" x14ac:dyDescent="0.25">
      <c r="B124" t="s">
        <v>159</v>
      </c>
      <c r="F124">
        <v>4000</v>
      </c>
    </row>
    <row r="125" spans="2:9" s="46" customFormat="1" ht="45" x14ac:dyDescent="0.25">
      <c r="B125" s="46" t="s">
        <v>218</v>
      </c>
      <c r="C125" s="46" t="s">
        <v>219</v>
      </c>
      <c r="D125" s="46" t="s">
        <v>157</v>
      </c>
      <c r="E125" s="46">
        <v>29</v>
      </c>
      <c r="F125" s="46">
        <v>2388000</v>
      </c>
      <c r="G125" s="46" t="s">
        <v>220</v>
      </c>
      <c r="H125" s="46">
        <v>5</v>
      </c>
    </row>
    <row r="126" spans="2:9" x14ac:dyDescent="0.25">
      <c r="B126" t="s">
        <v>159</v>
      </c>
      <c r="F126">
        <v>39800</v>
      </c>
    </row>
    <row r="127" spans="2:9" x14ac:dyDescent="0.25">
      <c r="B127" t="s">
        <v>221</v>
      </c>
      <c r="C127" t="s">
        <v>222</v>
      </c>
      <c r="D127" t="s">
        <v>157</v>
      </c>
      <c r="E127">
        <v>29</v>
      </c>
      <c r="F127">
        <v>2400000</v>
      </c>
      <c r="G127" t="s">
        <v>223</v>
      </c>
      <c r="H127">
        <v>5</v>
      </c>
    </row>
    <row r="128" spans="2:9" x14ac:dyDescent="0.25">
      <c r="B128" t="s">
        <v>159</v>
      </c>
      <c r="F128">
        <v>40000</v>
      </c>
    </row>
    <row r="129" spans="2:8" s="46" customFormat="1" ht="75" x14ac:dyDescent="0.25">
      <c r="B129" s="46" t="s">
        <v>224</v>
      </c>
      <c r="C129" s="46" t="s">
        <v>225</v>
      </c>
      <c r="D129" s="46" t="s">
        <v>157</v>
      </c>
      <c r="E129" s="46">
        <v>1</v>
      </c>
      <c r="F129" s="46">
        <v>175351000</v>
      </c>
      <c r="G129" s="46" t="s">
        <v>226</v>
      </c>
      <c r="H129" s="46">
        <v>1</v>
      </c>
    </row>
    <row r="130" spans="2:8" x14ac:dyDescent="0.25">
      <c r="B130" t="s">
        <v>227</v>
      </c>
      <c r="F130">
        <v>14612583.333333334</v>
      </c>
    </row>
    <row r="131" spans="2:8" x14ac:dyDescent="0.25">
      <c r="B131" t="s">
        <v>228</v>
      </c>
      <c r="F131">
        <v>3954320176.0000005</v>
      </c>
    </row>
    <row r="135" spans="2:8" ht="15.75" x14ac:dyDescent="0.25">
      <c r="B135" s="212" t="s">
        <v>229</v>
      </c>
      <c r="C135" s="213"/>
      <c r="E135" s="210" t="s">
        <v>230</v>
      </c>
      <c r="F135" s="211"/>
    </row>
    <row r="136" spans="2:8" ht="15.75" x14ac:dyDescent="0.25">
      <c r="B136" s="49"/>
      <c r="C136" s="50"/>
    </row>
    <row r="137" spans="2:8" s="47" customFormat="1" ht="39.75" customHeight="1" x14ac:dyDescent="0.25">
      <c r="B137" s="52" t="s">
        <v>231</v>
      </c>
      <c r="C137" s="52" t="s">
        <v>232</v>
      </c>
      <c r="E137" s="54" t="s">
        <v>233</v>
      </c>
      <c r="F137" s="54" t="s">
        <v>234</v>
      </c>
    </row>
    <row r="138" spans="2:8" ht="15.75" x14ac:dyDescent="0.25">
      <c r="B138" s="53" t="s">
        <v>235</v>
      </c>
      <c r="C138" s="62">
        <v>5130000</v>
      </c>
      <c r="E138" s="55" t="s">
        <v>236</v>
      </c>
      <c r="F138" s="58">
        <v>1075000</v>
      </c>
    </row>
    <row r="139" spans="2:8" ht="15.75" x14ac:dyDescent="0.25">
      <c r="B139" s="53" t="s">
        <v>237</v>
      </c>
      <c r="C139" s="62">
        <v>13350000</v>
      </c>
      <c r="E139" s="56" t="s">
        <v>238</v>
      </c>
      <c r="F139" s="59">
        <v>3500000</v>
      </c>
    </row>
    <row r="140" spans="2:8" ht="15.75" x14ac:dyDescent="0.25">
      <c r="B140" s="53" t="s">
        <v>239</v>
      </c>
      <c r="C140" s="62">
        <v>850000</v>
      </c>
      <c r="E140" s="56" t="s">
        <v>240</v>
      </c>
      <c r="F140" s="59">
        <v>4450000</v>
      </c>
    </row>
    <row r="141" spans="2:8" ht="63" x14ac:dyDescent="0.25">
      <c r="B141" s="53" t="s">
        <v>241</v>
      </c>
      <c r="C141" s="62">
        <v>2400000</v>
      </c>
      <c r="E141" s="57" t="s">
        <v>242</v>
      </c>
      <c r="F141" s="59">
        <v>20816200</v>
      </c>
    </row>
    <row r="142" spans="2:8" ht="15.75" x14ac:dyDescent="0.25">
      <c r="B142" s="53" t="s">
        <v>243</v>
      </c>
      <c r="C142" s="62">
        <v>15000000</v>
      </c>
      <c r="E142" s="56" t="s">
        <v>244</v>
      </c>
      <c r="F142" s="59">
        <v>14612583</v>
      </c>
    </row>
    <row r="143" spans="2:8" ht="15.75" x14ac:dyDescent="0.25">
      <c r="B143" s="53" t="s">
        <v>245</v>
      </c>
      <c r="C143" s="62">
        <v>2250000</v>
      </c>
      <c r="E143" s="60" t="s">
        <v>118</v>
      </c>
      <c r="F143" s="61">
        <v>44453783</v>
      </c>
    </row>
    <row r="144" spans="2:8" x14ac:dyDescent="0.25">
      <c r="B144" s="53" t="s">
        <v>246</v>
      </c>
      <c r="C144" s="62">
        <v>1690000</v>
      </c>
    </row>
    <row r="145" spans="2:17" x14ac:dyDescent="0.25">
      <c r="B145" s="53" t="s">
        <v>247</v>
      </c>
      <c r="C145" s="62">
        <v>19872000</v>
      </c>
    </row>
    <row r="146" spans="2:17" s="48" customFormat="1" x14ac:dyDescent="0.25">
      <c r="B146" s="63" t="s">
        <v>118</v>
      </c>
      <c r="C146" s="64">
        <v>60542000</v>
      </c>
    </row>
    <row r="152" spans="2:17" s="47" customFormat="1" ht="45" x14ac:dyDescent="0.25">
      <c r="B152" s="52" t="s">
        <v>131</v>
      </c>
      <c r="C152" s="52" t="s">
        <v>248</v>
      </c>
      <c r="D152" s="52" t="s">
        <v>249</v>
      </c>
      <c r="E152" s="52" t="s">
        <v>250</v>
      </c>
      <c r="F152" s="52" t="s">
        <v>251</v>
      </c>
      <c r="G152" s="52" t="s">
        <v>252</v>
      </c>
      <c r="H152" s="52" t="s">
        <v>253</v>
      </c>
      <c r="I152" s="52" t="s">
        <v>254</v>
      </c>
      <c r="J152" s="52" t="s">
        <v>255</v>
      </c>
      <c r="K152" s="52" t="s">
        <v>256</v>
      </c>
      <c r="L152" s="52" t="s">
        <v>257</v>
      </c>
      <c r="M152" s="52" t="s">
        <v>258</v>
      </c>
      <c r="N152" s="52" t="s">
        <v>259</v>
      </c>
      <c r="O152" s="52" t="s">
        <v>260</v>
      </c>
      <c r="P152" s="52" t="s">
        <v>261</v>
      </c>
      <c r="Q152" s="52" t="s">
        <v>262</v>
      </c>
    </row>
    <row r="153" spans="2:17" x14ac:dyDescent="0.25">
      <c r="B153" s="53" t="s">
        <v>263</v>
      </c>
      <c r="C153" s="51">
        <v>2</v>
      </c>
      <c r="D153" s="53">
        <v>1704000</v>
      </c>
      <c r="E153" s="53">
        <v>140606</v>
      </c>
      <c r="F153" s="53">
        <v>379904.71639800002</v>
      </c>
      <c r="G153" s="53">
        <v>553118.4</v>
      </c>
      <c r="H153" s="53">
        <v>2777629.1163979997</v>
      </c>
      <c r="I153" s="53">
        <v>5555258.2327959994</v>
      </c>
      <c r="J153" s="53">
        <v>153655.67980000001</v>
      </c>
      <c r="K153" s="53">
        <v>153655.67980000001</v>
      </c>
      <c r="L153" s="53">
        <v>1536.5567980000001</v>
      </c>
      <c r="M153" s="53">
        <v>71056.800000000003</v>
      </c>
      <c r="N153" s="53">
        <v>144840</v>
      </c>
      <c r="O153" s="53">
        <v>204480</v>
      </c>
      <c r="P153" s="53">
        <v>118598.39999999999</v>
      </c>
      <c r="Q153" s="53">
        <v>85200</v>
      </c>
    </row>
    <row r="154" spans="2:17" x14ac:dyDescent="0.25">
      <c r="B154" s="53" t="s">
        <v>264</v>
      </c>
      <c r="C154" s="51">
        <v>6</v>
      </c>
      <c r="D154" s="53">
        <v>580000</v>
      </c>
      <c r="E154" s="53"/>
      <c r="F154" s="53"/>
      <c r="G154" s="53">
        <v>145000</v>
      </c>
      <c r="H154" s="53">
        <v>725000</v>
      </c>
      <c r="I154" s="53">
        <v>4350000</v>
      </c>
      <c r="J154" s="53">
        <v>48314</v>
      </c>
      <c r="K154" s="53">
        <v>48314</v>
      </c>
      <c r="L154" s="53">
        <v>483.14</v>
      </c>
      <c r="M154" s="53">
        <v>24186</v>
      </c>
      <c r="N154" s="53">
        <v>145000</v>
      </c>
      <c r="O154" s="53"/>
      <c r="P154" s="53"/>
      <c r="Q154" s="53"/>
    </row>
    <row r="155" spans="2:17" x14ac:dyDescent="0.25">
      <c r="B155" s="53" t="s">
        <v>265</v>
      </c>
      <c r="C155" s="51">
        <v>2</v>
      </c>
      <c r="D155" s="53">
        <v>870000</v>
      </c>
      <c r="E155" s="53">
        <v>140606</v>
      </c>
      <c r="F155" s="53"/>
      <c r="G155" s="53">
        <v>225736</v>
      </c>
      <c r="H155" s="53">
        <v>1236342</v>
      </c>
      <c r="I155" s="53">
        <v>2472684</v>
      </c>
      <c r="J155" s="53">
        <v>84183.479800000001</v>
      </c>
      <c r="K155" s="53">
        <v>84183.479800000001</v>
      </c>
      <c r="L155" s="53">
        <v>841.83479799999998</v>
      </c>
      <c r="M155" s="53">
        <v>36279</v>
      </c>
      <c r="N155" s="53">
        <v>145000</v>
      </c>
      <c r="O155" s="53"/>
      <c r="P155" s="53">
        <v>80736</v>
      </c>
      <c r="Q155" s="53"/>
    </row>
    <row r="156" spans="2:17" x14ac:dyDescent="0.25">
      <c r="B156" s="53" t="s">
        <v>266</v>
      </c>
      <c r="C156" s="51">
        <v>6</v>
      </c>
      <c r="D156" s="53">
        <v>1896666</v>
      </c>
      <c r="E156" s="53">
        <v>140606</v>
      </c>
      <c r="F156" s="53">
        <v>420197.53497600002</v>
      </c>
      <c r="G156" s="53">
        <v>615657.78360000008</v>
      </c>
      <c r="H156" s="53">
        <v>3073127.3185760002</v>
      </c>
      <c r="I156" s="53">
        <v>18438763.911456</v>
      </c>
      <c r="J156" s="53">
        <v>169704.75760000001</v>
      </c>
      <c r="K156" s="53">
        <v>169704.75760000001</v>
      </c>
      <c r="L156" s="53">
        <v>1697.0475760000002</v>
      </c>
      <c r="M156" s="53">
        <v>79090.972200000004</v>
      </c>
      <c r="N156" s="53">
        <v>161216.61000000002</v>
      </c>
      <c r="O156" s="53">
        <v>227599.91999999998</v>
      </c>
      <c r="P156" s="53">
        <v>132007.95359999998</v>
      </c>
      <c r="Q156" s="53">
        <v>94833.3</v>
      </c>
    </row>
    <row r="157" spans="2:17" x14ac:dyDescent="0.25">
      <c r="B157" s="53" t="s">
        <v>267</v>
      </c>
      <c r="C157" s="51">
        <v>2</v>
      </c>
      <c r="D157" s="53">
        <v>1425000</v>
      </c>
      <c r="E157" s="53">
        <v>140606</v>
      </c>
      <c r="F157" s="53">
        <v>321556.609398</v>
      </c>
      <c r="G157" s="53">
        <v>462555</v>
      </c>
      <c r="H157" s="53">
        <v>2349717.6093979999</v>
      </c>
      <c r="I157" s="53">
        <v>4699435.2187959999</v>
      </c>
      <c r="J157" s="53">
        <v>130414.9798</v>
      </c>
      <c r="K157" s="53">
        <v>130414.9798</v>
      </c>
      <c r="L157" s="53">
        <v>1304.1497980000001</v>
      </c>
      <c r="M157" s="53">
        <v>59422.5</v>
      </c>
      <c r="N157" s="53">
        <v>121125.00000000001</v>
      </c>
      <c r="O157" s="53">
        <v>171000</v>
      </c>
      <c r="P157" s="53">
        <v>99180</v>
      </c>
      <c r="Q157" s="53">
        <v>71250</v>
      </c>
    </row>
    <row r="158" spans="2:17" x14ac:dyDescent="0.25">
      <c r="B158" s="53" t="s">
        <v>268</v>
      </c>
      <c r="C158" s="51">
        <v>1</v>
      </c>
      <c r="D158" s="53">
        <v>1450000</v>
      </c>
      <c r="E158" s="53">
        <v>140606</v>
      </c>
      <c r="F158" s="53">
        <v>326784.93439800001</v>
      </c>
      <c r="G158" s="53">
        <v>470670</v>
      </c>
      <c r="H158" s="53">
        <v>2388060.9343980001</v>
      </c>
      <c r="I158" s="53">
        <v>2388060.9343980001</v>
      </c>
      <c r="J158" s="53">
        <v>132497.4798</v>
      </c>
      <c r="K158" s="53">
        <v>132497.4798</v>
      </c>
      <c r="L158" s="53">
        <v>1324.974798</v>
      </c>
      <c r="M158" s="53">
        <v>60465</v>
      </c>
      <c r="N158" s="53">
        <v>123250.00000000001</v>
      </c>
      <c r="O158" s="53">
        <v>174000</v>
      </c>
      <c r="P158" s="53">
        <v>100920</v>
      </c>
      <c r="Q158" s="53">
        <v>72500</v>
      </c>
    </row>
    <row r="159" spans="2:17" x14ac:dyDescent="0.25">
      <c r="B159" s="53" t="s">
        <v>269</v>
      </c>
      <c r="C159" s="51">
        <v>4</v>
      </c>
      <c r="D159" s="53">
        <v>1598250</v>
      </c>
      <c r="E159" s="53">
        <v>140606</v>
      </c>
      <c r="F159" s="53">
        <v>357788.90164800006</v>
      </c>
      <c r="G159" s="53">
        <v>518791.95</v>
      </c>
      <c r="H159" s="53">
        <v>2615436.8516480001</v>
      </c>
      <c r="I159" s="53">
        <v>10461747.406592</v>
      </c>
      <c r="J159" s="53">
        <v>144846.70480000001</v>
      </c>
      <c r="K159" s="53">
        <v>144846.70480000001</v>
      </c>
      <c r="L159" s="53">
        <v>1448.4670480000002</v>
      </c>
      <c r="M159" s="53">
        <v>66647.025000000009</v>
      </c>
      <c r="N159" s="53">
        <v>135851.25</v>
      </c>
      <c r="O159" s="53">
        <v>191790</v>
      </c>
      <c r="P159" s="53">
        <v>111238.2</v>
      </c>
      <c r="Q159" s="53">
        <v>79912.5</v>
      </c>
    </row>
    <row r="160" spans="2:17" x14ac:dyDescent="0.25">
      <c r="B160" s="53" t="s">
        <v>270</v>
      </c>
      <c r="C160" s="51">
        <v>2</v>
      </c>
      <c r="D160" s="53">
        <v>1279000</v>
      </c>
      <c r="E160" s="53">
        <v>140606</v>
      </c>
      <c r="F160" s="53">
        <v>291023.191398</v>
      </c>
      <c r="G160" s="53">
        <v>415163.4</v>
      </c>
      <c r="H160" s="53">
        <v>2125792.5913979998</v>
      </c>
      <c r="I160" s="53">
        <v>4251585.1827959996</v>
      </c>
      <c r="J160" s="53">
        <v>118253.1798</v>
      </c>
      <c r="K160" s="53">
        <v>118253.1798</v>
      </c>
      <c r="L160" s="53">
        <v>1182.531798</v>
      </c>
      <c r="M160" s="53">
        <v>53334.3</v>
      </c>
      <c r="N160" s="53">
        <v>108715.00000000001</v>
      </c>
      <c r="O160" s="53">
        <v>153480</v>
      </c>
      <c r="P160" s="53">
        <v>89018.4</v>
      </c>
      <c r="Q160" s="53">
        <v>63950</v>
      </c>
    </row>
    <row r="161" spans="2:17" x14ac:dyDescent="0.25">
      <c r="B161" s="53" t="s">
        <v>271</v>
      </c>
      <c r="C161" s="51">
        <v>2</v>
      </c>
      <c r="D161" s="53">
        <v>1450000</v>
      </c>
      <c r="E161" s="53">
        <v>140606</v>
      </c>
      <c r="F161" s="53">
        <v>326784.93439800001</v>
      </c>
      <c r="G161" s="53">
        <v>470670</v>
      </c>
      <c r="H161" s="53">
        <v>2388060.9343980001</v>
      </c>
      <c r="I161" s="53">
        <v>4776121.8687960003</v>
      </c>
      <c r="J161" s="53">
        <v>132497.4798</v>
      </c>
      <c r="K161" s="53">
        <v>132497.4798</v>
      </c>
      <c r="L161" s="53">
        <v>1324.974798</v>
      </c>
      <c r="M161" s="53">
        <v>60465</v>
      </c>
      <c r="N161" s="53">
        <v>123250.00000000001</v>
      </c>
      <c r="O161" s="53">
        <v>174000</v>
      </c>
      <c r="P161" s="53">
        <v>100920</v>
      </c>
      <c r="Q161" s="53">
        <v>72500</v>
      </c>
    </row>
    <row r="162" spans="2:17" x14ac:dyDescent="0.25">
      <c r="B162" s="53" t="s">
        <v>272</v>
      </c>
      <c r="C162" s="51">
        <v>2</v>
      </c>
      <c r="D162" s="53">
        <v>1720000</v>
      </c>
      <c r="E162" s="53">
        <v>140606</v>
      </c>
      <c r="F162" s="53">
        <v>383250.84439799999</v>
      </c>
      <c r="G162" s="53">
        <v>558312</v>
      </c>
      <c r="H162" s="53">
        <v>2802168.8443979998</v>
      </c>
      <c r="I162" s="53">
        <v>5604337.6887959996</v>
      </c>
      <c r="J162" s="53">
        <v>154988.4798</v>
      </c>
      <c r="K162" s="53">
        <v>154988.4798</v>
      </c>
      <c r="L162" s="53">
        <v>1549.884798</v>
      </c>
      <c r="M162" s="53">
        <v>71724</v>
      </c>
      <c r="N162" s="53">
        <v>146200</v>
      </c>
      <c r="O162" s="53">
        <v>206400</v>
      </c>
      <c r="P162" s="53">
        <v>119711.99999999999</v>
      </c>
      <c r="Q162" s="53">
        <v>86000</v>
      </c>
    </row>
    <row r="163" spans="2:17" x14ac:dyDescent="0.25">
      <c r="B163" s="53" t="s">
        <v>273</v>
      </c>
      <c r="C163" s="51">
        <v>1</v>
      </c>
      <c r="D163" s="53">
        <v>1600000</v>
      </c>
      <c r="E163" s="53">
        <v>140606</v>
      </c>
      <c r="F163" s="53">
        <v>358154.88439800002</v>
      </c>
      <c r="G163" s="53">
        <v>519360</v>
      </c>
      <c r="H163" s="53">
        <v>2618120.8843979998</v>
      </c>
      <c r="I163" s="53">
        <v>2618120.8843979998</v>
      </c>
      <c r="J163" s="53">
        <v>144992.4798</v>
      </c>
      <c r="K163" s="53">
        <v>144992.4798</v>
      </c>
      <c r="L163" s="53">
        <v>1449.924798</v>
      </c>
      <c r="M163" s="53">
        <v>66720</v>
      </c>
      <c r="N163" s="53">
        <v>136000</v>
      </c>
      <c r="O163" s="53">
        <v>192000</v>
      </c>
      <c r="P163" s="53">
        <v>111359.99999999999</v>
      </c>
      <c r="Q163" s="53">
        <v>80000</v>
      </c>
    </row>
    <row r="164" spans="2:17" x14ac:dyDescent="0.25">
      <c r="B164" s="53" t="s">
        <v>274</v>
      </c>
      <c r="C164" s="51">
        <v>1</v>
      </c>
      <c r="D164" s="53">
        <v>1350000</v>
      </c>
      <c r="E164" s="53">
        <v>140606</v>
      </c>
      <c r="F164" s="53">
        <v>305871.63439799997</v>
      </c>
      <c r="G164" s="53">
        <v>438210</v>
      </c>
      <c r="H164" s="53">
        <v>2234687.6343979998</v>
      </c>
      <c r="I164" s="53">
        <v>2234687.6343979998</v>
      </c>
      <c r="J164" s="53">
        <v>124167.4798</v>
      </c>
      <c r="K164" s="53">
        <v>124167.4798</v>
      </c>
      <c r="L164" s="53">
        <v>1241.674798</v>
      </c>
      <c r="M164" s="53">
        <v>56295</v>
      </c>
      <c r="N164" s="53">
        <v>114750.00000000001</v>
      </c>
      <c r="O164" s="53">
        <v>162000</v>
      </c>
      <c r="P164" s="53">
        <v>93960</v>
      </c>
      <c r="Q164" s="53">
        <v>67500</v>
      </c>
    </row>
    <row r="165" spans="2:17" x14ac:dyDescent="0.25">
      <c r="B165" s="53" t="s">
        <v>275</v>
      </c>
      <c r="C165" s="51">
        <v>1</v>
      </c>
      <c r="D165" s="53">
        <v>2470000</v>
      </c>
      <c r="E165" s="53"/>
      <c r="F165" s="53">
        <v>516558.51</v>
      </c>
      <c r="G165" s="53">
        <v>801762</v>
      </c>
      <c r="H165" s="53">
        <v>3788320.51</v>
      </c>
      <c r="I165" s="53">
        <v>3788320.51</v>
      </c>
      <c r="J165" s="53">
        <v>205751</v>
      </c>
      <c r="K165" s="53">
        <v>205751</v>
      </c>
      <c r="L165" s="53">
        <v>2057.5100000000002</v>
      </c>
      <c r="M165" s="53">
        <v>102999</v>
      </c>
      <c r="N165" s="53">
        <v>209950.00000000003</v>
      </c>
      <c r="O165" s="53">
        <v>296400</v>
      </c>
      <c r="P165" s="53">
        <v>171912</v>
      </c>
      <c r="Q165" s="53">
        <v>123500</v>
      </c>
    </row>
    <row r="166" spans="2:17" x14ac:dyDescent="0.25">
      <c r="B166" s="53" t="s">
        <v>276</v>
      </c>
      <c r="C166" s="51">
        <v>1</v>
      </c>
      <c r="D166" s="53">
        <v>1600000</v>
      </c>
      <c r="E166" s="53">
        <v>140606</v>
      </c>
      <c r="F166" s="53">
        <v>358154.88439800002</v>
      </c>
      <c r="G166" s="53">
        <v>519360</v>
      </c>
      <c r="H166" s="53">
        <v>2618120.8843979998</v>
      </c>
      <c r="I166" s="53">
        <v>2618120.8843979998</v>
      </c>
      <c r="J166" s="53">
        <v>144992.4798</v>
      </c>
      <c r="K166" s="53">
        <v>144992.4798</v>
      </c>
      <c r="L166" s="53">
        <v>1449.924798</v>
      </c>
      <c r="M166" s="53">
        <v>66720</v>
      </c>
      <c r="N166" s="53">
        <v>136000</v>
      </c>
      <c r="O166" s="53">
        <v>192000</v>
      </c>
      <c r="P166" s="53">
        <v>111359.99999999999</v>
      </c>
      <c r="Q166" s="53">
        <v>80000</v>
      </c>
    </row>
    <row r="167" spans="2:17" x14ac:dyDescent="0.25">
      <c r="B167" s="53" t="s">
        <v>277</v>
      </c>
      <c r="C167" s="51">
        <v>2</v>
      </c>
      <c r="D167" s="53">
        <v>1385000</v>
      </c>
      <c r="E167" s="53">
        <v>140606</v>
      </c>
      <c r="F167" s="53">
        <v>313191.28939799999</v>
      </c>
      <c r="G167" s="53">
        <v>449571</v>
      </c>
      <c r="H167" s="53">
        <v>2288368.2893980001</v>
      </c>
      <c r="I167" s="53">
        <v>4576736.5787960002</v>
      </c>
      <c r="J167" s="53">
        <v>127082.9798</v>
      </c>
      <c r="K167" s="53">
        <v>127082.9798</v>
      </c>
      <c r="L167" s="53">
        <v>1270.829798</v>
      </c>
      <c r="M167" s="53">
        <v>57754.5</v>
      </c>
      <c r="N167" s="53">
        <v>117725.00000000001</v>
      </c>
      <c r="O167" s="53">
        <v>166200</v>
      </c>
      <c r="P167" s="53">
        <v>96396</v>
      </c>
      <c r="Q167" s="53">
        <v>69250</v>
      </c>
    </row>
    <row r="168" spans="2:17" x14ac:dyDescent="0.25">
      <c r="B168" s="53" t="s">
        <v>278</v>
      </c>
      <c r="C168" s="51">
        <v>3</v>
      </c>
      <c r="D168" s="53">
        <v>1690000</v>
      </c>
      <c r="E168" s="53">
        <v>140606</v>
      </c>
      <c r="F168" s="53">
        <v>376976.854398</v>
      </c>
      <c r="G168" s="53">
        <v>548574</v>
      </c>
      <c r="H168" s="53">
        <v>2756156.8543980001</v>
      </c>
      <c r="I168" s="53">
        <v>8268470.5631940002</v>
      </c>
      <c r="J168" s="53">
        <v>152489.4798</v>
      </c>
      <c r="K168" s="53">
        <v>152489.4798</v>
      </c>
      <c r="L168" s="53">
        <v>1524.894798</v>
      </c>
      <c r="M168" s="53">
        <v>70473</v>
      </c>
      <c r="N168" s="53">
        <v>143650</v>
      </c>
      <c r="O168" s="53">
        <v>202800</v>
      </c>
      <c r="P168" s="53">
        <v>117623.99999999999</v>
      </c>
      <c r="Q168" s="53">
        <v>84500</v>
      </c>
    </row>
    <row r="169" spans="2:17" x14ac:dyDescent="0.25">
      <c r="B169" s="53" t="s">
        <v>279</v>
      </c>
      <c r="C169" s="51">
        <v>5</v>
      </c>
      <c r="D169" s="53">
        <v>1473400</v>
      </c>
      <c r="E169" s="53">
        <v>140606</v>
      </c>
      <c r="F169" s="53">
        <v>331678.64659799996</v>
      </c>
      <c r="G169" s="53">
        <v>478265.64</v>
      </c>
      <c r="H169" s="53">
        <v>2423950.2865980002</v>
      </c>
      <c r="I169" s="53">
        <v>12119751.432990002</v>
      </c>
      <c r="J169" s="53">
        <v>134446.6998</v>
      </c>
      <c r="K169" s="53">
        <v>134446.6998</v>
      </c>
      <c r="L169" s="53">
        <v>1344.4669980000001</v>
      </c>
      <c r="M169" s="53">
        <v>61440.78</v>
      </c>
      <c r="N169" s="53">
        <v>125239.00000000001</v>
      </c>
      <c r="O169" s="53">
        <v>176808</v>
      </c>
      <c r="P169" s="53">
        <v>102548.64</v>
      </c>
      <c r="Q169" s="53">
        <v>73670</v>
      </c>
    </row>
    <row r="170" spans="2:17" x14ac:dyDescent="0.25">
      <c r="B170" s="53" t="s">
        <v>280</v>
      </c>
      <c r="C170" s="51">
        <v>1</v>
      </c>
      <c r="D170" s="53">
        <v>1500000</v>
      </c>
      <c r="E170" s="53">
        <v>140606</v>
      </c>
      <c r="F170" s="53">
        <v>337241.58439799998</v>
      </c>
      <c r="G170" s="53">
        <v>486900</v>
      </c>
      <c r="H170" s="53">
        <v>2464747.584398</v>
      </c>
      <c r="I170" s="53">
        <v>2464747.584398</v>
      </c>
      <c r="J170" s="53">
        <v>136662.4798</v>
      </c>
      <c r="K170" s="53">
        <v>136662.4798</v>
      </c>
      <c r="L170" s="53">
        <v>1366.6247980000001</v>
      </c>
      <c r="M170" s="53">
        <v>62550</v>
      </c>
      <c r="N170" s="53">
        <v>127500.00000000001</v>
      </c>
      <c r="O170" s="53">
        <v>180000</v>
      </c>
      <c r="P170" s="53">
        <v>104400</v>
      </c>
      <c r="Q170" s="53">
        <v>75000</v>
      </c>
    </row>
    <row r="171" spans="2:17" x14ac:dyDescent="0.25">
      <c r="B171" s="53" t="s">
        <v>281</v>
      </c>
      <c r="C171" s="51">
        <v>1</v>
      </c>
      <c r="D171" s="53">
        <v>1400000</v>
      </c>
      <c r="E171" s="53">
        <v>140606</v>
      </c>
      <c r="F171" s="53">
        <v>316328.28439799999</v>
      </c>
      <c r="G171" s="53">
        <v>454440</v>
      </c>
      <c r="H171" s="53">
        <v>2311374.2843979998</v>
      </c>
      <c r="I171" s="53">
        <v>2311374.2843979998</v>
      </c>
      <c r="J171" s="53">
        <v>128332.4798</v>
      </c>
      <c r="K171" s="53">
        <v>128332.4798</v>
      </c>
      <c r="L171" s="53">
        <v>1283.3247980000001</v>
      </c>
      <c r="M171" s="53">
        <v>58380</v>
      </c>
      <c r="N171" s="53">
        <v>119000.00000000001</v>
      </c>
      <c r="O171" s="53">
        <v>168000</v>
      </c>
      <c r="P171" s="53">
        <v>97440</v>
      </c>
      <c r="Q171" s="53">
        <v>70000</v>
      </c>
    </row>
    <row r="172" spans="2:17" x14ac:dyDescent="0.25">
      <c r="B172" s="53" t="s">
        <v>282</v>
      </c>
      <c r="C172" s="51">
        <v>1</v>
      </c>
      <c r="D172" s="53">
        <v>1400000</v>
      </c>
      <c r="E172" s="53">
        <v>140606</v>
      </c>
      <c r="F172" s="53">
        <v>316328.28439799999</v>
      </c>
      <c r="G172" s="53">
        <v>454440</v>
      </c>
      <c r="H172" s="53">
        <v>2311374.2843979998</v>
      </c>
      <c r="I172" s="53">
        <v>2311374.2843979998</v>
      </c>
      <c r="J172" s="53">
        <v>128332.4798</v>
      </c>
      <c r="K172" s="53">
        <v>128332.4798</v>
      </c>
      <c r="L172" s="53">
        <v>1283.3247980000001</v>
      </c>
      <c r="M172" s="53">
        <v>58380</v>
      </c>
      <c r="N172" s="53">
        <v>119000.00000000001</v>
      </c>
      <c r="O172" s="53">
        <v>168000</v>
      </c>
      <c r="P172" s="53">
        <v>97440</v>
      </c>
      <c r="Q172" s="53">
        <v>70000</v>
      </c>
    </row>
    <row r="173" spans="2:17" x14ac:dyDescent="0.25">
      <c r="B173" s="53" t="s">
        <v>283</v>
      </c>
      <c r="C173" s="51">
        <v>1</v>
      </c>
      <c r="D173" s="53">
        <v>4000000</v>
      </c>
      <c r="E173" s="53"/>
      <c r="F173" s="53">
        <v>836532</v>
      </c>
      <c r="G173" s="53">
        <v>1298400</v>
      </c>
      <c r="H173" s="53">
        <v>6134932</v>
      </c>
      <c r="I173" s="53">
        <v>6134932</v>
      </c>
      <c r="J173" s="53">
        <v>333200</v>
      </c>
      <c r="K173" s="53">
        <v>333200</v>
      </c>
      <c r="L173" s="53">
        <v>3332</v>
      </c>
      <c r="M173" s="53">
        <v>166800</v>
      </c>
      <c r="N173" s="53">
        <v>340000</v>
      </c>
      <c r="O173" s="53">
        <v>480000</v>
      </c>
      <c r="P173" s="53">
        <v>278400</v>
      </c>
      <c r="Q173" s="53">
        <v>200000</v>
      </c>
    </row>
    <row r="174" spans="2:17" x14ac:dyDescent="0.25">
      <c r="B174" s="53" t="s">
        <v>284</v>
      </c>
      <c r="C174" s="51">
        <v>1</v>
      </c>
      <c r="D174" s="53">
        <v>1700000</v>
      </c>
      <c r="E174" s="53">
        <v>140606</v>
      </c>
      <c r="F174" s="53">
        <v>379068.18439800001</v>
      </c>
      <c r="G174" s="53">
        <v>551820</v>
      </c>
      <c r="H174" s="53">
        <v>2771494.1843980001</v>
      </c>
      <c r="I174" s="53">
        <v>2771494.1843980001</v>
      </c>
      <c r="J174" s="53">
        <v>153322.4798</v>
      </c>
      <c r="K174" s="53">
        <v>153322.4798</v>
      </c>
      <c r="L174" s="53">
        <v>1533.224798</v>
      </c>
      <c r="M174" s="53">
        <v>70890</v>
      </c>
      <c r="N174" s="53">
        <v>144500</v>
      </c>
      <c r="O174" s="53">
        <v>204000</v>
      </c>
      <c r="P174" s="53">
        <v>118319.99999999999</v>
      </c>
      <c r="Q174" s="53">
        <v>85000</v>
      </c>
    </row>
    <row r="175" spans="2:17" x14ac:dyDescent="0.25">
      <c r="B175" s="53" t="s">
        <v>285</v>
      </c>
      <c r="C175" s="51">
        <v>1</v>
      </c>
      <c r="D175" s="53">
        <v>4000000</v>
      </c>
      <c r="E175" s="53"/>
      <c r="F175" s="53">
        <v>836532</v>
      </c>
      <c r="G175" s="53">
        <v>1298400</v>
      </c>
      <c r="H175" s="53">
        <v>6134932</v>
      </c>
      <c r="I175" s="53">
        <v>6134932</v>
      </c>
      <c r="J175" s="53">
        <v>333200</v>
      </c>
      <c r="K175" s="53">
        <v>333200</v>
      </c>
      <c r="L175" s="53">
        <v>3332</v>
      </c>
      <c r="M175" s="53">
        <v>166800</v>
      </c>
      <c r="N175" s="53">
        <v>340000</v>
      </c>
      <c r="O175" s="53">
        <v>480000</v>
      </c>
      <c r="P175" s="53">
        <v>278400</v>
      </c>
      <c r="Q175" s="53">
        <v>200000</v>
      </c>
    </row>
    <row r="176" spans="2:17" x14ac:dyDescent="0.25">
      <c r="B176" s="53" t="s">
        <v>286</v>
      </c>
      <c r="C176" s="51">
        <v>1</v>
      </c>
      <c r="D176" s="53">
        <v>3266000</v>
      </c>
      <c r="E176" s="53"/>
      <c r="F176" s="53">
        <v>683028.37800000003</v>
      </c>
      <c r="G176" s="53">
        <v>1060143.6000000001</v>
      </c>
      <c r="H176" s="53">
        <v>5009171.9780000001</v>
      </c>
      <c r="I176" s="53">
        <v>5009171.9780000001</v>
      </c>
      <c r="J176" s="53">
        <v>272057.8</v>
      </c>
      <c r="K176" s="53">
        <v>272057.8</v>
      </c>
      <c r="L176" s="53">
        <v>2720.578</v>
      </c>
      <c r="M176" s="53">
        <v>136192.20000000001</v>
      </c>
      <c r="N176" s="53">
        <v>277610</v>
      </c>
      <c r="O176" s="53">
        <v>391920</v>
      </c>
      <c r="P176" s="53">
        <v>227313.59999999998</v>
      </c>
      <c r="Q176" s="53">
        <v>163300</v>
      </c>
    </row>
    <row r="177" spans="2:17" x14ac:dyDescent="0.25">
      <c r="B177" s="53" t="s">
        <v>287</v>
      </c>
      <c r="C177" s="51">
        <v>1</v>
      </c>
      <c r="D177" s="53">
        <v>2250000</v>
      </c>
      <c r="E177" s="53">
        <v>140606</v>
      </c>
      <c r="F177" s="53">
        <v>494091.33439799998</v>
      </c>
      <c r="G177" s="53">
        <v>730350</v>
      </c>
      <c r="H177" s="53">
        <v>3615047.334398</v>
      </c>
      <c r="I177" s="53">
        <v>3615047.334398</v>
      </c>
      <c r="J177" s="53">
        <v>199137.4798</v>
      </c>
      <c r="K177" s="53">
        <v>199137.4798</v>
      </c>
      <c r="L177" s="53">
        <v>1991.3747980000001</v>
      </c>
      <c r="M177" s="53">
        <v>93825</v>
      </c>
      <c r="N177" s="53">
        <v>191250</v>
      </c>
      <c r="O177" s="53">
        <v>270000</v>
      </c>
      <c r="P177" s="53">
        <v>156600</v>
      </c>
      <c r="Q177" s="53">
        <v>112500</v>
      </c>
    </row>
    <row r="178" spans="2:17" x14ac:dyDescent="0.25">
      <c r="B178" s="53" t="s">
        <v>288</v>
      </c>
      <c r="C178" s="51">
        <v>1</v>
      </c>
      <c r="D178" s="53">
        <v>3200000</v>
      </c>
      <c r="E178" s="53"/>
      <c r="F178" s="53">
        <v>669225.6</v>
      </c>
      <c r="G178" s="53">
        <v>1038720</v>
      </c>
      <c r="H178" s="53">
        <v>4907945.5999999996</v>
      </c>
      <c r="I178" s="53">
        <v>4907945.5999999996</v>
      </c>
      <c r="J178" s="53">
        <v>266560</v>
      </c>
      <c r="K178" s="53">
        <v>266560</v>
      </c>
      <c r="L178" s="53">
        <v>2665.6</v>
      </c>
      <c r="M178" s="53">
        <v>133440</v>
      </c>
      <c r="N178" s="53">
        <v>272000</v>
      </c>
      <c r="O178" s="53">
        <v>384000</v>
      </c>
      <c r="P178" s="53">
        <v>222719.99999999997</v>
      </c>
      <c r="Q178" s="53">
        <v>160000</v>
      </c>
    </row>
    <row r="179" spans="2:17" x14ac:dyDescent="0.25">
      <c r="B179" s="53" t="s">
        <v>289</v>
      </c>
      <c r="C179" s="51">
        <v>1</v>
      </c>
      <c r="D179" s="53">
        <v>3894000</v>
      </c>
      <c r="E179" s="53"/>
      <c r="F179" s="53">
        <v>814363.90200000012</v>
      </c>
      <c r="G179" s="53">
        <v>1263992.3999999999</v>
      </c>
      <c r="H179" s="53">
        <v>5972356.3019999992</v>
      </c>
      <c r="I179" s="53">
        <v>5972356.3019999992</v>
      </c>
      <c r="J179" s="53">
        <v>324370.2</v>
      </c>
      <c r="K179" s="53">
        <v>324370.2</v>
      </c>
      <c r="L179" s="53">
        <v>3243.7020000000002</v>
      </c>
      <c r="M179" s="53">
        <v>162379.80000000002</v>
      </c>
      <c r="N179" s="53">
        <v>330990</v>
      </c>
      <c r="O179" s="53">
        <v>467280</v>
      </c>
      <c r="P179" s="53">
        <v>271022.39999999997</v>
      </c>
      <c r="Q179" s="53">
        <v>194700</v>
      </c>
    </row>
    <row r="180" spans="2:17" x14ac:dyDescent="0.25">
      <c r="B180" s="53" t="s">
        <v>290</v>
      </c>
      <c r="C180" s="51">
        <v>1</v>
      </c>
      <c r="D180" s="53">
        <v>1700000</v>
      </c>
      <c r="E180" s="53">
        <v>140606</v>
      </c>
      <c r="F180" s="53">
        <v>379068.18439800001</v>
      </c>
      <c r="G180" s="53">
        <v>551820</v>
      </c>
      <c r="H180" s="53">
        <v>2771494.1843980001</v>
      </c>
      <c r="I180" s="53">
        <v>2771494.1843980001</v>
      </c>
      <c r="J180" s="53">
        <v>153322.4798</v>
      </c>
      <c r="K180" s="53">
        <v>153322.4798</v>
      </c>
      <c r="L180" s="53">
        <v>1533.224798</v>
      </c>
      <c r="M180" s="53">
        <v>70890</v>
      </c>
      <c r="N180" s="53">
        <v>144500</v>
      </c>
      <c r="O180" s="53">
        <v>204000</v>
      </c>
      <c r="P180" s="53">
        <v>118319.99999999999</v>
      </c>
      <c r="Q180" s="53">
        <v>85000</v>
      </c>
    </row>
    <row r="181" spans="2:17" x14ac:dyDescent="0.25">
      <c r="B181" s="53" t="s">
        <v>291</v>
      </c>
      <c r="C181" s="51">
        <v>1</v>
      </c>
      <c r="D181" s="53">
        <v>4500000</v>
      </c>
      <c r="E181" s="53"/>
      <c r="F181" s="53">
        <v>941098.5</v>
      </c>
      <c r="G181" s="53">
        <v>1460700</v>
      </c>
      <c r="H181" s="53">
        <v>6901798.5</v>
      </c>
      <c r="I181" s="53">
        <v>6901798.5</v>
      </c>
      <c r="J181" s="53">
        <v>374850</v>
      </c>
      <c r="K181" s="53">
        <v>374850</v>
      </c>
      <c r="L181" s="53">
        <v>3748.5</v>
      </c>
      <c r="M181" s="53">
        <v>187650</v>
      </c>
      <c r="N181" s="53">
        <v>382500</v>
      </c>
      <c r="O181" s="53">
        <v>540000</v>
      </c>
      <c r="P181" s="53">
        <v>313200</v>
      </c>
      <c r="Q181" s="53">
        <v>225000</v>
      </c>
    </row>
    <row r="182" spans="2:17" x14ac:dyDescent="0.25">
      <c r="B182" s="53" t="s">
        <v>292</v>
      </c>
      <c r="C182" s="51">
        <v>1</v>
      </c>
      <c r="D182" s="53">
        <v>2200000</v>
      </c>
      <c r="E182" s="53">
        <v>140606</v>
      </c>
      <c r="F182" s="53">
        <v>483634.68439800001</v>
      </c>
      <c r="G182" s="53">
        <v>714120</v>
      </c>
      <c r="H182" s="53">
        <v>3538360.6843980001</v>
      </c>
      <c r="I182" s="53">
        <v>3538360.6843980001</v>
      </c>
      <c r="J182" s="53">
        <v>194972.4798</v>
      </c>
      <c r="K182" s="53">
        <v>194972.4798</v>
      </c>
      <c r="L182" s="53">
        <v>1949.724798</v>
      </c>
      <c r="M182" s="53">
        <v>91740</v>
      </c>
      <c r="N182" s="53">
        <v>187000</v>
      </c>
      <c r="O182" s="53">
        <v>264000</v>
      </c>
      <c r="P182" s="53">
        <v>153120</v>
      </c>
      <c r="Q182" s="53">
        <v>110000</v>
      </c>
    </row>
    <row r="183" spans="2:17" x14ac:dyDescent="0.25">
      <c r="B183" s="53" t="s">
        <v>293</v>
      </c>
      <c r="C183" s="51">
        <v>1</v>
      </c>
      <c r="D183" s="53">
        <v>1500000</v>
      </c>
      <c r="E183" s="53">
        <v>140606</v>
      </c>
      <c r="F183" s="53">
        <v>337241.58439799998</v>
      </c>
      <c r="G183" s="53">
        <v>486900</v>
      </c>
      <c r="H183" s="53">
        <v>2464747.584398</v>
      </c>
      <c r="I183" s="53">
        <v>2464747.584398</v>
      </c>
      <c r="J183" s="53">
        <v>136662.4798</v>
      </c>
      <c r="K183" s="53">
        <v>136662.4798</v>
      </c>
      <c r="L183" s="53">
        <v>1366.6247980000001</v>
      </c>
      <c r="M183" s="53">
        <v>62550</v>
      </c>
      <c r="N183" s="53">
        <v>127500.00000000001</v>
      </c>
      <c r="O183" s="53">
        <v>180000</v>
      </c>
      <c r="P183" s="53">
        <v>104400</v>
      </c>
      <c r="Q183" s="53">
        <v>75000</v>
      </c>
    </row>
    <row r="184" spans="2:17" x14ac:dyDescent="0.25">
      <c r="B184" s="53" t="s">
        <v>294</v>
      </c>
      <c r="C184" s="51">
        <v>2</v>
      </c>
      <c r="D184" s="53">
        <v>1325000</v>
      </c>
      <c r="E184" s="53">
        <v>140606</v>
      </c>
      <c r="F184" s="53">
        <v>300643.30939800001</v>
      </c>
      <c r="G184" s="53">
        <v>430095</v>
      </c>
      <c r="H184" s="53">
        <v>2196344.3093980001</v>
      </c>
      <c r="I184" s="53">
        <v>4392688.6187960003</v>
      </c>
      <c r="J184" s="53">
        <v>122084.9798</v>
      </c>
      <c r="K184" s="53">
        <v>122084.9798</v>
      </c>
      <c r="L184" s="53">
        <v>1220.849798</v>
      </c>
      <c r="M184" s="53">
        <v>55252.5</v>
      </c>
      <c r="N184" s="53">
        <v>112625.00000000001</v>
      </c>
      <c r="O184" s="53">
        <v>159000</v>
      </c>
      <c r="P184" s="53">
        <v>92220</v>
      </c>
      <c r="Q184" s="53">
        <v>66250</v>
      </c>
    </row>
    <row r="185" spans="2:17" x14ac:dyDescent="0.25">
      <c r="B185" s="53" t="s">
        <v>295</v>
      </c>
      <c r="C185" s="51">
        <v>1</v>
      </c>
      <c r="D185" s="53">
        <v>4500000</v>
      </c>
      <c r="E185" s="53"/>
      <c r="F185" s="53">
        <v>941098.5</v>
      </c>
      <c r="G185" s="53">
        <v>1460700</v>
      </c>
      <c r="H185" s="53">
        <v>6901798.5</v>
      </c>
      <c r="I185" s="53">
        <v>6901798.5</v>
      </c>
      <c r="J185" s="53">
        <v>374850</v>
      </c>
      <c r="K185" s="53">
        <v>374850</v>
      </c>
      <c r="L185" s="53">
        <v>3748.5</v>
      </c>
      <c r="M185" s="53">
        <v>187650</v>
      </c>
      <c r="N185" s="53">
        <v>382500</v>
      </c>
      <c r="O185" s="53">
        <v>540000</v>
      </c>
      <c r="P185" s="53">
        <v>313200</v>
      </c>
      <c r="Q185" s="53">
        <v>225000</v>
      </c>
    </row>
    <row r="186" spans="2:17" x14ac:dyDescent="0.25">
      <c r="B186" s="53" t="s">
        <v>296</v>
      </c>
      <c r="C186" s="51">
        <v>1</v>
      </c>
      <c r="D186" s="53">
        <v>7000000</v>
      </c>
      <c r="E186" s="53"/>
      <c r="F186" s="53">
        <v>1463931</v>
      </c>
      <c r="G186" s="53">
        <v>2272200</v>
      </c>
      <c r="H186" s="53">
        <v>10736131</v>
      </c>
      <c r="I186" s="53">
        <v>10736131</v>
      </c>
      <c r="J186" s="53">
        <v>583100</v>
      </c>
      <c r="K186" s="53">
        <v>583100</v>
      </c>
      <c r="L186" s="53">
        <v>5831</v>
      </c>
      <c r="M186" s="53">
        <v>291900</v>
      </c>
      <c r="N186" s="53">
        <v>595000</v>
      </c>
      <c r="O186" s="53">
        <v>840000</v>
      </c>
      <c r="P186" s="53">
        <v>487199.99999999994</v>
      </c>
      <c r="Q186" s="53">
        <v>350000</v>
      </c>
    </row>
    <row r="187" spans="2:17" x14ac:dyDescent="0.25">
      <c r="B187" s="53" t="s">
        <v>297</v>
      </c>
      <c r="C187" s="51">
        <v>1</v>
      </c>
      <c r="D187" s="53">
        <v>8442000</v>
      </c>
      <c r="E187" s="53"/>
      <c r="F187" s="53">
        <v>1765500.7859999998</v>
      </c>
      <c r="G187" s="53">
        <v>2740273.2</v>
      </c>
      <c r="H187" s="53">
        <v>12947773.986000001</v>
      </c>
      <c r="I187" s="53">
        <v>12947773.986000001</v>
      </c>
      <c r="J187" s="53">
        <v>703218.6</v>
      </c>
      <c r="K187" s="53">
        <v>703218.6</v>
      </c>
      <c r="L187" s="53">
        <v>7032.1859999999997</v>
      </c>
      <c r="M187" s="53">
        <v>352031.4</v>
      </c>
      <c r="N187" s="53">
        <v>717570</v>
      </c>
      <c r="O187" s="53">
        <v>1013040</v>
      </c>
      <c r="P187" s="53">
        <v>587563.19999999995</v>
      </c>
      <c r="Q187" s="53">
        <v>422100</v>
      </c>
    </row>
    <row r="188" spans="2:17" x14ac:dyDescent="0.25">
      <c r="B188" s="53" t="s">
        <v>298</v>
      </c>
      <c r="C188" s="51">
        <v>1</v>
      </c>
      <c r="D188" s="53">
        <v>4000000</v>
      </c>
      <c r="E188" s="53"/>
      <c r="F188" s="53">
        <v>836532</v>
      </c>
      <c r="G188" s="53">
        <v>1298400</v>
      </c>
      <c r="H188" s="53">
        <v>6134932</v>
      </c>
      <c r="I188" s="53">
        <v>6134932</v>
      </c>
      <c r="J188" s="53">
        <v>333200</v>
      </c>
      <c r="K188" s="53">
        <v>333200</v>
      </c>
      <c r="L188" s="53">
        <v>3332</v>
      </c>
      <c r="M188" s="53">
        <v>166800</v>
      </c>
      <c r="N188" s="53">
        <v>340000</v>
      </c>
      <c r="O188" s="53">
        <v>480000</v>
      </c>
      <c r="P188" s="53">
        <v>278400</v>
      </c>
      <c r="Q188" s="53">
        <v>200000</v>
      </c>
    </row>
    <row r="189" spans="2:17" x14ac:dyDescent="0.25">
      <c r="B189" s="53" t="s">
        <v>299</v>
      </c>
      <c r="C189" s="51">
        <v>1</v>
      </c>
      <c r="D189" s="53">
        <v>4500000</v>
      </c>
      <c r="E189" s="53"/>
      <c r="F189" s="53">
        <v>941098.5</v>
      </c>
      <c r="G189" s="53">
        <v>1460700</v>
      </c>
      <c r="H189" s="53">
        <v>6901798.5</v>
      </c>
      <c r="I189" s="53">
        <v>6901798.5</v>
      </c>
      <c r="J189" s="53">
        <v>374850</v>
      </c>
      <c r="K189" s="53">
        <v>374850</v>
      </c>
      <c r="L189" s="53">
        <v>3748.5</v>
      </c>
      <c r="M189" s="53">
        <v>187650</v>
      </c>
      <c r="N189" s="53">
        <v>382500</v>
      </c>
      <c r="O189" s="53">
        <v>540000</v>
      </c>
      <c r="P189" s="53">
        <v>313200</v>
      </c>
      <c r="Q189" s="53">
        <v>225000</v>
      </c>
    </row>
    <row r="190" spans="2:17" x14ac:dyDescent="0.25">
      <c r="B190" s="53" t="s">
        <v>300</v>
      </c>
      <c r="C190" s="51">
        <v>1</v>
      </c>
      <c r="D190" s="53">
        <v>6090000</v>
      </c>
      <c r="E190" s="53"/>
      <c r="F190" s="53">
        <v>1273619.97</v>
      </c>
      <c r="G190" s="53">
        <v>1976814</v>
      </c>
      <c r="H190" s="53">
        <v>9340433.9699999988</v>
      </c>
      <c r="I190" s="53">
        <v>9340433.9699999988</v>
      </c>
      <c r="J190" s="53">
        <v>507297</v>
      </c>
      <c r="K190" s="53">
        <v>507297</v>
      </c>
      <c r="L190" s="53">
        <v>5072.97</v>
      </c>
      <c r="M190" s="53">
        <v>253953</v>
      </c>
      <c r="N190" s="53">
        <v>517650.00000000006</v>
      </c>
      <c r="O190" s="53">
        <v>730800</v>
      </c>
      <c r="P190" s="53">
        <v>423863.99999999994</v>
      </c>
      <c r="Q190" s="53">
        <v>304500</v>
      </c>
    </row>
    <row r="191" spans="2:17" x14ac:dyDescent="0.25">
      <c r="B191" s="53" t="s">
        <v>301</v>
      </c>
      <c r="C191" s="51">
        <v>1</v>
      </c>
      <c r="D191" s="53">
        <v>3200000</v>
      </c>
      <c r="E191" s="53"/>
      <c r="F191" s="53">
        <v>669225.6</v>
      </c>
      <c r="G191" s="53">
        <v>1038720</v>
      </c>
      <c r="H191" s="53">
        <v>4907945.5999999996</v>
      </c>
      <c r="I191" s="53">
        <v>4907945.5999999996</v>
      </c>
      <c r="J191" s="53">
        <v>266560</v>
      </c>
      <c r="K191" s="53">
        <v>266560</v>
      </c>
      <c r="L191" s="53">
        <v>2665.6</v>
      </c>
      <c r="M191" s="53">
        <v>133440</v>
      </c>
      <c r="N191" s="53">
        <v>272000</v>
      </c>
      <c r="O191" s="53">
        <v>384000</v>
      </c>
      <c r="P191" s="53">
        <v>222719.99999999997</v>
      </c>
      <c r="Q191" s="53">
        <v>160000</v>
      </c>
    </row>
    <row r="192" spans="2:17" x14ac:dyDescent="0.25">
      <c r="B192" s="53" t="s">
        <v>302</v>
      </c>
      <c r="C192" s="51">
        <v>1</v>
      </c>
      <c r="D192" s="53">
        <v>1200000</v>
      </c>
      <c r="E192" s="53">
        <v>140606</v>
      </c>
      <c r="F192" s="53">
        <v>274501.68439800001</v>
      </c>
      <c r="G192" s="53">
        <v>389520</v>
      </c>
      <c r="H192" s="53">
        <v>2004627.6843980001</v>
      </c>
      <c r="I192" s="53">
        <v>2004627.6843980001</v>
      </c>
      <c r="J192" s="53">
        <v>111672.4798</v>
      </c>
      <c r="K192" s="53">
        <v>111672.4798</v>
      </c>
      <c r="L192" s="53">
        <v>1116.724798</v>
      </c>
      <c r="M192" s="53">
        <v>50040</v>
      </c>
      <c r="N192" s="53">
        <v>102000.00000000001</v>
      </c>
      <c r="O192" s="53">
        <v>144000</v>
      </c>
      <c r="P192" s="53">
        <v>83520</v>
      </c>
      <c r="Q192" s="53">
        <v>60000</v>
      </c>
    </row>
    <row r="193" spans="2:17" x14ac:dyDescent="0.25">
      <c r="B193" s="53" t="s">
        <v>303</v>
      </c>
      <c r="C193" s="51">
        <v>1</v>
      </c>
      <c r="D193" s="53">
        <v>1800000</v>
      </c>
      <c r="E193" s="53">
        <v>140606</v>
      </c>
      <c r="F193" s="53">
        <v>399981.484398</v>
      </c>
      <c r="G193" s="53">
        <v>584280</v>
      </c>
      <c r="H193" s="53">
        <v>2924867.4843979999</v>
      </c>
      <c r="I193" s="53">
        <v>2924867.4843979999</v>
      </c>
      <c r="J193" s="53">
        <v>161652.4798</v>
      </c>
      <c r="K193" s="53">
        <v>161652.4798</v>
      </c>
      <c r="L193" s="53">
        <v>1616.5247980000001</v>
      </c>
      <c r="M193" s="53">
        <v>75060</v>
      </c>
      <c r="N193" s="53">
        <v>153000</v>
      </c>
      <c r="O193" s="53">
        <v>216000</v>
      </c>
      <c r="P193" s="53">
        <v>125279.99999999999</v>
      </c>
      <c r="Q193" s="53">
        <v>90000</v>
      </c>
    </row>
    <row r="194" spans="2:17" x14ac:dyDescent="0.25">
      <c r="B194" s="53" t="s">
        <v>304</v>
      </c>
      <c r="C194" s="51">
        <v>1</v>
      </c>
      <c r="D194" s="53">
        <v>1400000</v>
      </c>
      <c r="E194" s="53">
        <v>140606</v>
      </c>
      <c r="F194" s="53">
        <v>316328.28439799999</v>
      </c>
      <c r="G194" s="53">
        <v>454440</v>
      </c>
      <c r="H194" s="53">
        <v>2311374.2843979998</v>
      </c>
      <c r="I194" s="53">
        <v>2311374.2843979998</v>
      </c>
      <c r="J194" s="53">
        <v>128332.4798</v>
      </c>
      <c r="K194" s="53">
        <v>128332.4798</v>
      </c>
      <c r="L194" s="53">
        <v>1283.3247980000001</v>
      </c>
      <c r="M194" s="53">
        <v>58380</v>
      </c>
      <c r="N194" s="53">
        <v>119000.00000000001</v>
      </c>
      <c r="O194" s="53">
        <v>168000</v>
      </c>
      <c r="P194" s="53">
        <v>97440</v>
      </c>
      <c r="Q194" s="53">
        <v>70000</v>
      </c>
    </row>
    <row r="195" spans="2:17" x14ac:dyDescent="0.25">
      <c r="B195" s="53" t="s">
        <v>305</v>
      </c>
      <c r="C195" s="51">
        <v>1</v>
      </c>
      <c r="D195" s="53">
        <v>1300000</v>
      </c>
      <c r="E195" s="53">
        <v>140606</v>
      </c>
      <c r="F195" s="53">
        <v>295414.984398</v>
      </c>
      <c r="G195" s="53">
        <v>421980</v>
      </c>
      <c r="H195" s="53">
        <v>2158000.9843979999</v>
      </c>
      <c r="I195" s="53">
        <v>2158000.9843979999</v>
      </c>
      <c r="J195" s="53">
        <v>120002.4798</v>
      </c>
      <c r="K195" s="53">
        <v>120002.4798</v>
      </c>
      <c r="L195" s="53">
        <v>1200.0247980000001</v>
      </c>
      <c r="M195" s="53">
        <v>54210</v>
      </c>
      <c r="N195" s="53">
        <v>110500.00000000001</v>
      </c>
      <c r="O195" s="53">
        <v>156000</v>
      </c>
      <c r="P195" s="53">
        <v>90480</v>
      </c>
      <c r="Q195" s="53">
        <v>65000</v>
      </c>
    </row>
    <row r="196" spans="2:17" x14ac:dyDescent="0.25">
      <c r="B196" s="53" t="s">
        <v>306</v>
      </c>
      <c r="C196" s="51">
        <v>4</v>
      </c>
      <c r="D196" s="53">
        <v>1925000</v>
      </c>
      <c r="E196" s="53">
        <v>140606</v>
      </c>
      <c r="F196" s="53">
        <v>426123.109398</v>
      </c>
      <c r="G196" s="53">
        <v>624855</v>
      </c>
      <c r="H196" s="53">
        <v>3116584.1093979999</v>
      </c>
      <c r="I196" s="53">
        <v>12466336.437592</v>
      </c>
      <c r="J196" s="53">
        <v>172064.9798</v>
      </c>
      <c r="K196" s="53">
        <v>172064.9798</v>
      </c>
      <c r="L196" s="53">
        <v>1720.6497980000001</v>
      </c>
      <c r="M196" s="53">
        <v>80272.5</v>
      </c>
      <c r="N196" s="53">
        <v>163625</v>
      </c>
      <c r="O196" s="53">
        <v>231000</v>
      </c>
      <c r="P196" s="53">
        <v>133980</v>
      </c>
      <c r="Q196" s="53">
        <v>96250</v>
      </c>
    </row>
    <row r="197" spans="2:17" x14ac:dyDescent="0.25">
      <c r="B197" s="53" t="s">
        <v>307</v>
      </c>
      <c r="C197" s="51">
        <v>6</v>
      </c>
      <c r="D197" s="53">
        <v>2276333</v>
      </c>
      <c r="E197" s="53">
        <v>140606</v>
      </c>
      <c r="F197" s="53">
        <v>499598.43368700001</v>
      </c>
      <c r="G197" s="53">
        <v>738897.69180000003</v>
      </c>
      <c r="H197" s="53">
        <v>3655435.1254870002</v>
      </c>
      <c r="I197" s="53">
        <v>21932610.752922002</v>
      </c>
      <c r="J197" s="53">
        <v>201331.01869999999</v>
      </c>
      <c r="K197" s="53">
        <v>201331.01869999999</v>
      </c>
      <c r="L197" s="53">
        <v>2013.3101869999998</v>
      </c>
      <c r="M197" s="53">
        <v>94923.0861</v>
      </c>
      <c r="N197" s="53">
        <v>193488.30500000002</v>
      </c>
      <c r="O197" s="53">
        <v>273159.95999999996</v>
      </c>
      <c r="P197" s="53">
        <v>158432.77679999999</v>
      </c>
      <c r="Q197" s="53">
        <v>113816.65000000001</v>
      </c>
    </row>
    <row r="198" spans="2:17" s="63" customFormat="1" ht="14.25" x14ac:dyDescent="0.2">
      <c r="B198" s="63" t="s">
        <v>41</v>
      </c>
      <c r="C198" s="67">
        <v>80</v>
      </c>
      <c r="D198" s="63">
        <v>111009649</v>
      </c>
      <c r="E198" s="63">
        <v>4218180</v>
      </c>
      <c r="F198" s="63">
        <v>23595258.521858998</v>
      </c>
      <c r="G198" s="63">
        <v>35933798.065399997</v>
      </c>
      <c r="H198" s="63">
        <v>174756885.58725899</v>
      </c>
      <c r="I198" s="63">
        <v>262593299.240686</v>
      </c>
      <c r="Q198" s="63">
        <v>5477982.4500000002</v>
      </c>
    </row>
    <row r="208" spans="2:17" x14ac:dyDescent="0.25">
      <c r="B208" s="53" t="s">
        <v>103</v>
      </c>
      <c r="C208" s="53" t="s">
        <v>308</v>
      </c>
      <c r="D208" s="53" t="s">
        <v>309</v>
      </c>
      <c r="E208" s="53" t="s">
        <v>310</v>
      </c>
      <c r="F208" s="53" t="s">
        <v>311</v>
      </c>
      <c r="G208" s="53" t="s">
        <v>312</v>
      </c>
    </row>
    <row r="209" spans="2:7" x14ac:dyDescent="0.25">
      <c r="B209" s="53"/>
      <c r="C209" s="68" t="s">
        <v>160</v>
      </c>
      <c r="D209" s="74" t="s">
        <v>157</v>
      </c>
      <c r="E209" s="74">
        <v>3</v>
      </c>
      <c r="F209" s="68">
        <v>28000</v>
      </c>
      <c r="G209" s="68">
        <v>84000</v>
      </c>
    </row>
    <row r="210" spans="2:7" ht="15.75" x14ac:dyDescent="0.25">
      <c r="B210" s="66" t="s">
        <v>313</v>
      </c>
      <c r="C210" s="53" t="s">
        <v>162</v>
      </c>
      <c r="D210" s="54" t="s">
        <v>163</v>
      </c>
      <c r="E210" s="54">
        <v>5</v>
      </c>
      <c r="F210" s="56">
        <v>45000</v>
      </c>
      <c r="G210" s="56">
        <v>225000</v>
      </c>
    </row>
    <row r="211" spans="2:7" ht="15.75" x14ac:dyDescent="0.25">
      <c r="B211" s="69"/>
      <c r="C211" s="70" t="s">
        <v>165</v>
      </c>
      <c r="D211" s="75" t="s">
        <v>157</v>
      </c>
      <c r="E211" s="75">
        <v>1</v>
      </c>
      <c r="F211" s="73">
        <v>12500</v>
      </c>
      <c r="G211" s="73">
        <v>12500</v>
      </c>
    </row>
    <row r="212" spans="2:7" ht="15.75" x14ac:dyDescent="0.25">
      <c r="B212" s="67"/>
      <c r="C212" s="53" t="s">
        <v>171</v>
      </c>
      <c r="D212" s="54" t="s">
        <v>157</v>
      </c>
      <c r="E212" s="54">
        <v>1</v>
      </c>
      <c r="F212" s="56">
        <v>340000</v>
      </c>
      <c r="G212" s="56">
        <v>340000</v>
      </c>
    </row>
    <row r="213" spans="2:7" ht="15.75" x14ac:dyDescent="0.25">
      <c r="B213" s="51"/>
      <c r="C213" s="53" t="s">
        <v>173</v>
      </c>
      <c r="D213" s="54" t="s">
        <v>157</v>
      </c>
      <c r="E213" s="54">
        <v>1</v>
      </c>
      <c r="F213" s="56">
        <v>340000</v>
      </c>
      <c r="G213" s="56">
        <v>340000</v>
      </c>
    </row>
    <row r="214" spans="2:7" ht="15.75" x14ac:dyDescent="0.25">
      <c r="B214" s="51"/>
      <c r="C214" s="53" t="s">
        <v>174</v>
      </c>
      <c r="D214" s="54" t="s">
        <v>157</v>
      </c>
      <c r="E214" s="54">
        <v>1</v>
      </c>
      <c r="F214" s="56">
        <v>340000</v>
      </c>
      <c r="G214" s="56">
        <v>340000</v>
      </c>
    </row>
    <row r="215" spans="2:7" ht="15.75" x14ac:dyDescent="0.25">
      <c r="B215" s="67" t="s">
        <v>169</v>
      </c>
      <c r="C215" s="53" t="s">
        <v>175</v>
      </c>
      <c r="D215" s="54" t="s">
        <v>157</v>
      </c>
      <c r="E215" s="54">
        <v>1</v>
      </c>
      <c r="F215" s="56">
        <v>290000</v>
      </c>
      <c r="G215" s="56">
        <v>290000</v>
      </c>
    </row>
    <row r="216" spans="2:7" ht="15.75" x14ac:dyDescent="0.25">
      <c r="B216" s="51"/>
      <c r="C216" s="53" t="s">
        <v>176</v>
      </c>
      <c r="D216" s="54" t="s">
        <v>157</v>
      </c>
      <c r="E216" s="54">
        <v>3</v>
      </c>
      <c r="F216" s="56">
        <v>45000</v>
      </c>
      <c r="G216" s="56">
        <v>135000</v>
      </c>
    </row>
    <row r="217" spans="2:7" ht="15.75" x14ac:dyDescent="0.25">
      <c r="B217" s="51"/>
      <c r="C217" s="53" t="s">
        <v>177</v>
      </c>
      <c r="D217" s="54" t="s">
        <v>157</v>
      </c>
      <c r="E217" s="54">
        <v>3</v>
      </c>
      <c r="F217" s="56">
        <v>45000</v>
      </c>
      <c r="G217" s="56">
        <v>135000</v>
      </c>
    </row>
    <row r="218" spans="2:7" ht="15.75" x14ac:dyDescent="0.25">
      <c r="B218" s="71"/>
      <c r="C218" s="70" t="s">
        <v>178</v>
      </c>
      <c r="D218" s="75" t="s">
        <v>157</v>
      </c>
      <c r="E218" s="75">
        <v>1</v>
      </c>
      <c r="F218" s="73">
        <v>350000</v>
      </c>
      <c r="G218" s="73">
        <v>350000</v>
      </c>
    </row>
    <row r="219" spans="2:7" ht="15.75" x14ac:dyDescent="0.25">
      <c r="B219" s="65"/>
      <c r="C219" s="53" t="s">
        <v>186</v>
      </c>
      <c r="D219" s="54" t="s">
        <v>157</v>
      </c>
      <c r="E219" s="54">
        <v>2</v>
      </c>
      <c r="F219" s="56">
        <v>66835</v>
      </c>
      <c r="G219" s="56">
        <v>133670</v>
      </c>
    </row>
    <row r="220" spans="2:7" ht="15.75" x14ac:dyDescent="0.25">
      <c r="B220" s="65"/>
      <c r="C220" s="53" t="s">
        <v>187</v>
      </c>
      <c r="D220" s="54" t="s">
        <v>157</v>
      </c>
      <c r="E220" s="54">
        <v>2</v>
      </c>
      <c r="F220" s="56">
        <v>66835</v>
      </c>
      <c r="G220" s="56">
        <v>133670</v>
      </c>
    </row>
    <row r="221" spans="2:7" ht="15.75" x14ac:dyDescent="0.25">
      <c r="B221" s="65"/>
      <c r="C221" s="53" t="s">
        <v>188</v>
      </c>
      <c r="D221" s="54" t="s">
        <v>157</v>
      </c>
      <c r="E221" s="54">
        <v>2</v>
      </c>
      <c r="F221" s="56">
        <v>66835</v>
      </c>
      <c r="G221" s="56">
        <v>133670</v>
      </c>
    </row>
    <row r="222" spans="2:7" ht="15.75" x14ac:dyDescent="0.25">
      <c r="B222" s="65"/>
      <c r="C222" s="53" t="s">
        <v>189</v>
      </c>
      <c r="D222" s="54" t="s">
        <v>157</v>
      </c>
      <c r="E222" s="54">
        <v>2</v>
      </c>
      <c r="F222" s="56">
        <v>72217</v>
      </c>
      <c r="G222" s="56">
        <v>144434</v>
      </c>
    </row>
    <row r="223" spans="2:7" ht="15.75" x14ac:dyDescent="0.25">
      <c r="B223" s="65"/>
      <c r="C223" s="53" t="s">
        <v>190</v>
      </c>
      <c r="D223" s="54" t="s">
        <v>157</v>
      </c>
      <c r="E223" s="54">
        <v>2</v>
      </c>
      <c r="F223" s="56">
        <v>75316</v>
      </c>
      <c r="G223" s="56">
        <v>150632</v>
      </c>
    </row>
    <row r="224" spans="2:7" ht="15.75" x14ac:dyDescent="0.25">
      <c r="B224" s="65"/>
      <c r="C224" s="53" t="s">
        <v>191</v>
      </c>
      <c r="D224" s="54" t="s">
        <v>157</v>
      </c>
      <c r="E224" s="54">
        <v>4</v>
      </c>
      <c r="F224" s="56">
        <v>79765</v>
      </c>
      <c r="G224" s="56">
        <v>319060</v>
      </c>
    </row>
    <row r="225" spans="2:7" ht="15.75" x14ac:dyDescent="0.25">
      <c r="B225" s="65"/>
      <c r="C225" s="53" t="s">
        <v>192</v>
      </c>
      <c r="D225" s="54" t="s">
        <v>157</v>
      </c>
      <c r="E225" s="54">
        <v>8</v>
      </c>
      <c r="F225" s="56">
        <v>86198</v>
      </c>
      <c r="G225" s="56">
        <v>689584</v>
      </c>
    </row>
    <row r="226" spans="2:7" ht="15.75" x14ac:dyDescent="0.25">
      <c r="B226" s="65"/>
      <c r="C226" s="53" t="s">
        <v>193</v>
      </c>
      <c r="D226" s="54" t="s">
        <v>157</v>
      </c>
      <c r="E226" s="54">
        <v>6</v>
      </c>
      <c r="F226" s="56">
        <v>92630</v>
      </c>
      <c r="G226" s="56">
        <v>555780</v>
      </c>
    </row>
    <row r="227" spans="2:7" ht="15.75" x14ac:dyDescent="0.25">
      <c r="B227" s="65"/>
      <c r="C227" s="53" t="s">
        <v>194</v>
      </c>
      <c r="D227" s="54" t="s">
        <v>157</v>
      </c>
      <c r="E227" s="54">
        <v>4</v>
      </c>
      <c r="F227" s="56">
        <v>99131</v>
      </c>
      <c r="G227" s="56">
        <v>396524</v>
      </c>
    </row>
    <row r="228" spans="2:7" ht="15.75" x14ac:dyDescent="0.25">
      <c r="B228" s="65"/>
      <c r="C228" s="53" t="s">
        <v>195</v>
      </c>
      <c r="D228" s="54" t="s">
        <v>157</v>
      </c>
      <c r="E228" s="54">
        <v>2</v>
      </c>
      <c r="F228" s="56">
        <v>103531</v>
      </c>
      <c r="G228" s="56">
        <v>207062</v>
      </c>
    </row>
    <row r="229" spans="2:7" ht="15.75" x14ac:dyDescent="0.25">
      <c r="B229" s="66" t="s">
        <v>111</v>
      </c>
      <c r="C229" s="53" t="s">
        <v>196</v>
      </c>
      <c r="D229" s="54" t="s">
        <v>157</v>
      </c>
      <c r="E229" s="54">
        <v>2</v>
      </c>
      <c r="F229" s="56">
        <v>109537</v>
      </c>
      <c r="G229" s="56">
        <v>219074</v>
      </c>
    </row>
    <row r="230" spans="2:7" ht="15.75" x14ac:dyDescent="0.25">
      <c r="B230" s="65"/>
      <c r="C230" s="53" t="s">
        <v>197</v>
      </c>
      <c r="D230" s="54" t="s">
        <v>157</v>
      </c>
      <c r="E230" s="54">
        <v>2</v>
      </c>
      <c r="F230" s="56">
        <v>120987</v>
      </c>
      <c r="G230" s="56">
        <v>241974</v>
      </c>
    </row>
    <row r="231" spans="2:7" ht="15.75" x14ac:dyDescent="0.25">
      <c r="B231" s="65"/>
      <c r="C231" s="53" t="s">
        <v>198</v>
      </c>
      <c r="D231" s="54" t="s">
        <v>157</v>
      </c>
      <c r="E231" s="54">
        <v>2</v>
      </c>
      <c r="F231" s="56">
        <v>133288</v>
      </c>
      <c r="G231" s="56">
        <v>266576</v>
      </c>
    </row>
    <row r="232" spans="2:7" ht="15.75" x14ac:dyDescent="0.25">
      <c r="B232" s="65"/>
      <c r="C232" s="53" t="s">
        <v>199</v>
      </c>
      <c r="D232" s="54" t="s">
        <v>157</v>
      </c>
      <c r="E232" s="54">
        <v>2</v>
      </c>
      <c r="F232" s="56">
        <v>146109</v>
      </c>
      <c r="G232" s="56">
        <v>292218</v>
      </c>
    </row>
    <row r="233" spans="2:7" ht="15.75" x14ac:dyDescent="0.25">
      <c r="B233" s="65"/>
      <c r="C233" s="53" t="s">
        <v>200</v>
      </c>
      <c r="D233" s="54" t="s">
        <v>157</v>
      </c>
      <c r="E233" s="54">
        <v>2</v>
      </c>
      <c r="F233" s="56">
        <v>158254</v>
      </c>
      <c r="G233" s="56">
        <v>316508</v>
      </c>
    </row>
    <row r="234" spans="2:7" ht="15.75" x14ac:dyDescent="0.25">
      <c r="B234" s="65"/>
      <c r="C234" s="53" t="s">
        <v>201</v>
      </c>
      <c r="D234" s="54" t="s">
        <v>157</v>
      </c>
      <c r="E234" s="54">
        <v>2</v>
      </c>
      <c r="F234" s="56">
        <v>121550</v>
      </c>
      <c r="G234" s="56">
        <v>243100</v>
      </c>
    </row>
    <row r="235" spans="2:7" ht="15.75" x14ac:dyDescent="0.25">
      <c r="B235" s="65"/>
      <c r="C235" s="53" t="s">
        <v>202</v>
      </c>
      <c r="D235" s="54" t="s">
        <v>157</v>
      </c>
      <c r="E235" s="54">
        <v>2</v>
      </c>
      <c r="F235" s="56">
        <v>140250</v>
      </c>
      <c r="G235" s="56">
        <v>280500</v>
      </c>
    </row>
    <row r="236" spans="2:7" ht="15.75" x14ac:dyDescent="0.25">
      <c r="B236" s="65"/>
      <c r="C236" s="53" t="s">
        <v>203</v>
      </c>
      <c r="D236" s="54" t="s">
        <v>157</v>
      </c>
      <c r="E236" s="54">
        <v>2</v>
      </c>
      <c r="F236" s="56">
        <v>163350</v>
      </c>
      <c r="G236" s="56">
        <v>326700</v>
      </c>
    </row>
    <row r="237" spans="2:7" ht="15.75" x14ac:dyDescent="0.25">
      <c r="B237" s="69"/>
      <c r="C237" s="70" t="s">
        <v>204</v>
      </c>
      <c r="D237" s="75" t="s">
        <v>157</v>
      </c>
      <c r="E237" s="75">
        <v>2</v>
      </c>
      <c r="F237" s="73">
        <v>304358</v>
      </c>
      <c r="G237" s="73">
        <v>608716</v>
      </c>
    </row>
    <row r="238" spans="2:7" ht="15.75" x14ac:dyDescent="0.25">
      <c r="B238" s="72" t="s">
        <v>113</v>
      </c>
      <c r="C238" s="70" t="s">
        <v>181</v>
      </c>
      <c r="D238" s="75" t="s">
        <v>163</v>
      </c>
      <c r="E238" s="75">
        <v>1</v>
      </c>
      <c r="F238" s="73">
        <v>29000</v>
      </c>
      <c r="G238" s="73">
        <v>29000</v>
      </c>
    </row>
    <row r="239" spans="2:7" ht="15.75" x14ac:dyDescent="0.25">
      <c r="B239" s="67"/>
      <c r="C239" s="53" t="s">
        <v>205</v>
      </c>
      <c r="D239" s="54" t="s">
        <v>157</v>
      </c>
      <c r="E239" s="54">
        <v>1</v>
      </c>
      <c r="F239" s="56">
        <v>450000</v>
      </c>
      <c r="G239" s="56">
        <v>450000</v>
      </c>
    </row>
    <row r="240" spans="2:7" ht="15.75" x14ac:dyDescent="0.25">
      <c r="B240" s="66" t="s">
        <v>314</v>
      </c>
      <c r="C240" s="53" t="s">
        <v>207</v>
      </c>
      <c r="D240" s="54" t="s">
        <v>157</v>
      </c>
      <c r="E240" s="54">
        <v>2</v>
      </c>
      <c r="F240" s="56">
        <v>98000</v>
      </c>
      <c r="G240" s="56">
        <v>196000</v>
      </c>
    </row>
    <row r="241" spans="2:7" ht="15.75" x14ac:dyDescent="0.25">
      <c r="B241" s="69"/>
      <c r="C241" s="70" t="s">
        <v>209</v>
      </c>
      <c r="D241" s="75" t="s">
        <v>210</v>
      </c>
      <c r="E241" s="75">
        <v>500</v>
      </c>
      <c r="F241" s="73">
        <v>170</v>
      </c>
      <c r="G241" s="73">
        <v>85000</v>
      </c>
    </row>
    <row r="242" spans="2:7" s="60" customFormat="1" ht="15.75" x14ac:dyDescent="0.25">
      <c r="B242" s="60" t="s">
        <v>315</v>
      </c>
      <c r="D242" s="76"/>
      <c r="G242" s="60">
        <v>8670952</v>
      </c>
    </row>
    <row r="248" spans="2:7" ht="15.75" x14ac:dyDescent="0.25">
      <c r="B248" s="54" t="s">
        <v>231</v>
      </c>
      <c r="C248" s="54" t="s">
        <v>316</v>
      </c>
    </row>
    <row r="249" spans="2:7" ht="15.75" x14ac:dyDescent="0.25">
      <c r="B249" s="60" t="s">
        <v>317</v>
      </c>
      <c r="C249" s="78">
        <v>1</v>
      </c>
    </row>
    <row r="250" spans="2:7" ht="15.75" x14ac:dyDescent="0.25">
      <c r="B250" s="57" t="s">
        <v>318</v>
      </c>
      <c r="C250" s="79">
        <v>4.7999999999999996E-3</v>
      </c>
    </row>
    <row r="251" spans="2:7" ht="15.75" x14ac:dyDescent="0.25">
      <c r="B251" s="57" t="s">
        <v>319</v>
      </c>
      <c r="C251" s="79">
        <v>3.32E-2</v>
      </c>
    </row>
    <row r="252" spans="2:7" ht="15.75" x14ac:dyDescent="0.25">
      <c r="B252" s="57" t="s">
        <v>320</v>
      </c>
      <c r="C252" s="79">
        <v>2.4400000000000002E-2</v>
      </c>
    </row>
    <row r="253" spans="2:7" ht="15.75" x14ac:dyDescent="0.25">
      <c r="B253" s="57" t="s">
        <v>321</v>
      </c>
      <c r="C253" s="79">
        <v>0.14380000000000001</v>
      </c>
    </row>
    <row r="254" spans="2:7" ht="15.75" x14ac:dyDescent="0.25">
      <c r="B254" s="57"/>
      <c r="C254" s="79">
        <f>+C250+C251+C252+C253</f>
        <v>0.20619999999999999</v>
      </c>
    </row>
    <row r="255" spans="2:7" ht="15.75" x14ac:dyDescent="0.25">
      <c r="B255" s="56"/>
      <c r="C255" s="56"/>
    </row>
    <row r="256" spans="2:7" ht="15.75" x14ac:dyDescent="0.25">
      <c r="B256" s="80" t="s">
        <v>317</v>
      </c>
      <c r="C256" s="81">
        <v>1</v>
      </c>
    </row>
    <row r="257" spans="2:6" ht="15.75" x14ac:dyDescent="0.25">
      <c r="B257" s="80" t="s">
        <v>322</v>
      </c>
      <c r="C257" s="82">
        <v>0.20619999999999999</v>
      </c>
    </row>
    <row r="263" spans="2:6" s="47" customFormat="1" ht="31.5" x14ac:dyDescent="0.25">
      <c r="B263" s="85" t="s">
        <v>102</v>
      </c>
      <c r="C263" s="85" t="s">
        <v>323</v>
      </c>
      <c r="D263" s="85" t="s">
        <v>324</v>
      </c>
      <c r="E263" s="85" t="s">
        <v>325</v>
      </c>
      <c r="F263" s="85" t="s">
        <v>326</v>
      </c>
    </row>
    <row r="264" spans="2:6" ht="15.75" x14ac:dyDescent="0.25">
      <c r="B264" s="54" t="s">
        <v>327</v>
      </c>
      <c r="C264" s="56">
        <v>220956400.00000003</v>
      </c>
      <c r="D264" s="56">
        <v>1.0081033209006527E-2</v>
      </c>
      <c r="E264" s="56">
        <v>18612618.265657708</v>
      </c>
      <c r="F264" s="56">
        <v>1551051.5221381423</v>
      </c>
    </row>
    <row r="265" spans="2:6" ht="15.75" x14ac:dyDescent="0.25">
      <c r="B265" s="54" t="s">
        <v>328</v>
      </c>
      <c r="C265" s="56">
        <v>4363198000.0000019</v>
      </c>
      <c r="D265" s="56">
        <v>0.19906888388601041</v>
      </c>
      <c r="E265" s="56">
        <v>484630257.84381109</v>
      </c>
      <c r="F265" s="56">
        <v>40385854.820317589</v>
      </c>
    </row>
    <row r="266" spans="2:6" ht="15.75" x14ac:dyDescent="0.25">
      <c r="B266" s="54" t="s">
        <v>329</v>
      </c>
      <c r="C266" s="56">
        <v>3025886599.999999</v>
      </c>
      <c r="D266" s="56">
        <v>0.13805467187774526</v>
      </c>
      <c r="E266" s="56">
        <v>479024728.53431189</v>
      </c>
      <c r="F266" s="56">
        <v>39918727.377859324</v>
      </c>
    </row>
    <row r="267" spans="2:6" ht="15.75" x14ac:dyDescent="0.25">
      <c r="B267" s="54" t="s">
        <v>330</v>
      </c>
      <c r="C267" s="56">
        <v>6905220480.0000172</v>
      </c>
      <c r="D267" s="56">
        <v>0.31504747983942599</v>
      </c>
      <c r="E267" s="56">
        <v>1226473441.7363713</v>
      </c>
      <c r="F267" s="56">
        <v>102206120.14469761</v>
      </c>
    </row>
    <row r="268" spans="2:6" ht="15.75" x14ac:dyDescent="0.25">
      <c r="B268" s="54" t="s">
        <v>331</v>
      </c>
      <c r="C268" s="56">
        <v>7402769680</v>
      </c>
      <c r="D268" s="56">
        <v>0.33774793118781177</v>
      </c>
      <c r="E268" s="56">
        <v>1552574867.2332485</v>
      </c>
      <c r="F268" s="56">
        <v>129381238.93610404</v>
      </c>
    </row>
    <row r="269" spans="2:6" s="63" customFormat="1" ht="15.75" x14ac:dyDescent="0.25">
      <c r="B269" s="76" t="s">
        <v>115</v>
      </c>
      <c r="C269" s="60">
        <v>21918031160.000019</v>
      </c>
      <c r="D269" s="60">
        <v>1</v>
      </c>
      <c r="E269" s="60">
        <v>3761315913.6134005</v>
      </c>
      <c r="F269" s="60">
        <v>313442992.8011167</v>
      </c>
    </row>
    <row r="274" spans="2:13" s="47" customFormat="1" ht="31.5" x14ac:dyDescent="0.25">
      <c r="B274" s="85" t="s">
        <v>102</v>
      </c>
      <c r="C274" s="85" t="s">
        <v>324</v>
      </c>
      <c r="D274" s="85" t="s">
        <v>107</v>
      </c>
      <c r="E274" s="85" t="s">
        <v>109</v>
      </c>
      <c r="F274" s="85" t="s">
        <v>111</v>
      </c>
      <c r="G274" s="85" t="s">
        <v>113</v>
      </c>
      <c r="H274" s="85" t="s">
        <v>114</v>
      </c>
      <c r="I274" s="85" t="s">
        <v>116</v>
      </c>
      <c r="J274" s="85" t="s">
        <v>117</v>
      </c>
      <c r="K274" s="85" t="s">
        <v>332</v>
      </c>
      <c r="L274" s="85" t="s">
        <v>333</v>
      </c>
      <c r="M274" s="85" t="s">
        <v>115</v>
      </c>
    </row>
    <row r="275" spans="2:13" ht="15.75" x14ac:dyDescent="0.25">
      <c r="B275" s="54" t="s">
        <v>327</v>
      </c>
      <c r="C275" s="56">
        <v>1.0081033209006527E-2</v>
      </c>
      <c r="D275" s="56">
        <v>205345.68632693624</v>
      </c>
      <c r="E275" s="56">
        <v>280422.05451921275</v>
      </c>
      <c r="F275" s="56">
        <v>213032.90669239912</v>
      </c>
      <c r="G275" s="56">
        <v>64938.775888346681</v>
      </c>
      <c r="H275" s="56">
        <v>69113.411481168951</v>
      </c>
      <c r="I275" s="56">
        <v>18553.935968099049</v>
      </c>
      <c r="J275" s="56">
        <v>149915.80262224033</v>
      </c>
      <c r="K275" s="56">
        <v>129877.55177669336</v>
      </c>
      <c r="L275" s="56">
        <v>54115.646573622224</v>
      </c>
      <c r="M275" s="56">
        <v>1185315.7718487189</v>
      </c>
    </row>
    <row r="276" spans="2:13" ht="15.75" x14ac:dyDescent="0.25">
      <c r="B276" s="54" t="s">
        <v>328</v>
      </c>
      <c r="C276" s="56">
        <v>0.19906888388601041</v>
      </c>
      <c r="D276" s="56">
        <v>4054935.2174923006</v>
      </c>
      <c r="E276" s="56">
        <v>5537458.7359050028</v>
      </c>
      <c r="F276" s="56">
        <v>4206733.7828388885</v>
      </c>
      <c r="G276" s="56">
        <v>1282337.7692543981</v>
      </c>
      <c r="H276" s="56">
        <v>1364773.7687064665</v>
      </c>
      <c r="I276" s="56">
        <v>366382.21978697088</v>
      </c>
      <c r="J276" s="56">
        <v>2960368.3358787247</v>
      </c>
      <c r="K276" s="56">
        <v>2564675.5385087961</v>
      </c>
      <c r="L276" s="56">
        <v>1068614.8077119985</v>
      </c>
      <c r="M276" s="56">
        <v>23406280.17608355</v>
      </c>
    </row>
    <row r="277" spans="2:13" ht="15.75" x14ac:dyDescent="0.25">
      <c r="B277" s="54" t="s">
        <v>329</v>
      </c>
      <c r="C277" s="56">
        <v>0.13805467187774526</v>
      </c>
      <c r="D277" s="56">
        <v>2812105.7395236311</v>
      </c>
      <c r="E277" s="56">
        <v>3840238.7851818493</v>
      </c>
      <c r="F277" s="56">
        <v>2917378.3502970738</v>
      </c>
      <c r="G277" s="56">
        <v>889303.82546489348</v>
      </c>
      <c r="H277" s="56">
        <v>946473.35710192227</v>
      </c>
      <c r="I277" s="56">
        <v>254086.80727568385</v>
      </c>
      <c r="J277" s="56">
        <v>2053021.4027875254</v>
      </c>
      <c r="K277" s="56">
        <v>1778607.650929787</v>
      </c>
      <c r="L277" s="56">
        <v>741086.52122074447</v>
      </c>
      <c r="M277" s="56">
        <v>16232302.439783111</v>
      </c>
    </row>
    <row r="278" spans="2:13" ht="15.75" x14ac:dyDescent="0.25">
      <c r="B278" s="54" t="s">
        <v>330</v>
      </c>
      <c r="C278" s="56">
        <v>0.31504747983942599</v>
      </c>
      <c r="D278" s="56">
        <v>6417362.1524627451</v>
      </c>
      <c r="E278" s="56">
        <v>8763611.79811831</v>
      </c>
      <c r="F278" s="56">
        <v>6657599.3734795041</v>
      </c>
      <c r="G278" s="56">
        <v>2029434.6088655621</v>
      </c>
      <c r="H278" s="56">
        <v>2159898.2622926338</v>
      </c>
      <c r="I278" s="56">
        <v>579838.45967587479</v>
      </c>
      <c r="J278" s="56">
        <v>4685094.7541810684</v>
      </c>
      <c r="K278" s="56">
        <v>4058869.2177311243</v>
      </c>
      <c r="L278" s="56">
        <v>1691195.5073879682</v>
      </c>
      <c r="M278" s="56">
        <v>37042904.134194791</v>
      </c>
    </row>
    <row r="279" spans="2:13" ht="15.75" x14ac:dyDescent="0.25">
      <c r="B279" s="54" t="s">
        <v>331</v>
      </c>
      <c r="C279" s="56">
        <v>0.33774793118781177</v>
      </c>
      <c r="D279" s="56">
        <v>6879759.1771943877</v>
      </c>
      <c r="E279" s="56">
        <v>9395065.6455216277</v>
      </c>
      <c r="F279" s="56">
        <v>7137306.4663651334</v>
      </c>
      <c r="G279" s="56">
        <v>2175663.6205267999</v>
      </c>
      <c r="H279" s="56">
        <v>2315527.710417808</v>
      </c>
      <c r="I279" s="56">
        <v>621618.17729337141</v>
      </c>
      <c r="J279" s="56">
        <v>5022674.8725304399</v>
      </c>
      <c r="K279" s="56">
        <v>4351327.2410535999</v>
      </c>
      <c r="L279" s="56">
        <v>1813053.0171056665</v>
      </c>
      <c r="M279" s="56">
        <v>39711995.928008839</v>
      </c>
    </row>
    <row r="280" spans="2:13" s="60" customFormat="1" ht="15.75" x14ac:dyDescent="0.25">
      <c r="B280" s="76" t="s">
        <v>118</v>
      </c>
      <c r="C280" s="60">
        <v>1</v>
      </c>
      <c r="D280" s="60">
        <v>20369507.973000001</v>
      </c>
      <c r="E280" s="60">
        <v>27816797.019246005</v>
      </c>
      <c r="F280" s="60">
        <v>21132050.879672997</v>
      </c>
      <c r="G280" s="60">
        <v>6441678.6000000006</v>
      </c>
      <c r="H280" s="60">
        <v>6855786.5099999998</v>
      </c>
      <c r="I280" s="60">
        <v>1840479.6</v>
      </c>
      <c r="J280" s="60">
        <v>14871075.168</v>
      </c>
      <c r="K280" s="60">
        <v>12883357.200000001</v>
      </c>
      <c r="L280" s="60">
        <v>5368065.5</v>
      </c>
      <c r="M280" s="60">
        <v>117578798.449919</v>
      </c>
    </row>
    <row r="285" spans="2:13" s="51" customFormat="1" ht="15.75" x14ac:dyDescent="0.25">
      <c r="B285" s="54" t="s">
        <v>103</v>
      </c>
      <c r="C285" s="54" t="s">
        <v>104</v>
      </c>
      <c r="D285" s="54" t="s">
        <v>334</v>
      </c>
      <c r="E285" s="54" t="s">
        <v>335</v>
      </c>
      <c r="F285" s="54" t="s">
        <v>26</v>
      </c>
      <c r="G285" s="54" t="s">
        <v>336</v>
      </c>
    </row>
    <row r="286" spans="2:13" ht="15.75" x14ac:dyDescent="0.25">
      <c r="B286" s="54" t="s">
        <v>107</v>
      </c>
      <c r="C286" s="56">
        <v>20369507.973000001</v>
      </c>
      <c r="D286" s="56">
        <v>9</v>
      </c>
      <c r="E286" s="56">
        <v>2160</v>
      </c>
      <c r="F286" s="105">
        <f>+Tabla10[[#This Row],[VALOR NOMINA]]/Tabla10[[#This Row],[HORAS HOMBRE]]</f>
        <v>9430.3277652777779</v>
      </c>
      <c r="G286" s="56">
        <v>129600</v>
      </c>
    </row>
    <row r="287" spans="2:13" ht="15.75" x14ac:dyDescent="0.25">
      <c r="B287" s="54" t="s">
        <v>109</v>
      </c>
      <c r="C287" s="56">
        <v>27816797.019246005</v>
      </c>
      <c r="D287" s="56">
        <v>12</v>
      </c>
      <c r="E287" s="56">
        <v>2880</v>
      </c>
      <c r="F287" s="105">
        <f>+Tabla10[[#This Row],[VALOR NOMINA]]/Tabla10[[#This Row],[HORAS HOMBRE]]</f>
        <v>9658.6100761270845</v>
      </c>
      <c r="G287" s="56">
        <v>172800</v>
      </c>
    </row>
    <row r="288" spans="2:13" ht="15.75" x14ac:dyDescent="0.25">
      <c r="B288" s="54" t="s">
        <v>111</v>
      </c>
      <c r="C288" s="56">
        <v>21132050.879672997</v>
      </c>
      <c r="D288" s="56">
        <v>9</v>
      </c>
      <c r="E288" s="56">
        <v>2160</v>
      </c>
      <c r="F288" s="105">
        <f>+Tabla10[[#This Row],[VALOR NOMINA]]/Tabla10[[#This Row],[HORAS HOMBRE]]</f>
        <v>9783.3568887374986</v>
      </c>
      <c r="G288" s="56">
        <v>129600</v>
      </c>
    </row>
    <row r="289" spans="2:16" ht="15.75" x14ac:dyDescent="0.25">
      <c r="B289" s="54" t="s">
        <v>113</v>
      </c>
      <c r="C289" s="56">
        <v>6441678.6000000006</v>
      </c>
      <c r="D289" s="56">
        <v>3</v>
      </c>
      <c r="E289" s="56">
        <v>720</v>
      </c>
      <c r="F289" s="105">
        <f>+Tabla10[[#This Row],[VALOR NOMINA]]/Tabla10[[#This Row],[HORAS HOMBRE]]</f>
        <v>8946.775833333335</v>
      </c>
      <c r="G289" s="56">
        <v>43200</v>
      </c>
    </row>
    <row r="290" spans="2:16" ht="15.75" x14ac:dyDescent="0.25">
      <c r="B290" s="54" t="s">
        <v>114</v>
      </c>
      <c r="C290" s="56">
        <v>6855786.5099999998</v>
      </c>
      <c r="D290" s="56">
        <v>3</v>
      </c>
      <c r="E290" s="56">
        <v>720</v>
      </c>
      <c r="F290" s="105">
        <f>+Tabla10[[#This Row],[VALOR NOMINA]]/Tabla10[[#This Row],[HORAS HOMBRE]]</f>
        <v>9521.9257083333323</v>
      </c>
      <c r="G290" s="56">
        <v>43200</v>
      </c>
    </row>
    <row r="291" spans="2:16" ht="15.75" x14ac:dyDescent="0.25">
      <c r="B291" s="54" t="s">
        <v>116</v>
      </c>
      <c r="C291" s="56">
        <v>1840479.6</v>
      </c>
      <c r="D291" s="56">
        <v>1</v>
      </c>
      <c r="E291" s="56">
        <v>240</v>
      </c>
      <c r="F291" s="105">
        <f>+Tabla10[[#This Row],[VALOR NOMINA]]/Tabla10[[#This Row],[HORAS HOMBRE]]</f>
        <v>7668.665</v>
      </c>
      <c r="G291" s="56">
        <v>14400</v>
      </c>
    </row>
    <row r="292" spans="2:16" ht="15.75" x14ac:dyDescent="0.25">
      <c r="B292" s="54" t="s">
        <v>117</v>
      </c>
      <c r="C292" s="56">
        <v>14871075.168</v>
      </c>
      <c r="D292" s="56">
        <v>6</v>
      </c>
      <c r="E292" s="56">
        <v>1440</v>
      </c>
      <c r="F292" s="105">
        <f>+Tabla10[[#This Row],[VALOR NOMINA]]/Tabla10[[#This Row],[HORAS HOMBRE]]</f>
        <v>10327.135533333332</v>
      </c>
      <c r="G292" s="56">
        <v>86400</v>
      </c>
    </row>
    <row r="293" spans="2:16" s="60" customFormat="1" ht="15.75" x14ac:dyDescent="0.25">
      <c r="B293" s="76" t="s">
        <v>118</v>
      </c>
      <c r="C293" s="60">
        <v>99327375.749918997</v>
      </c>
      <c r="D293" s="60">
        <v>43</v>
      </c>
      <c r="E293" s="60">
        <v>10320</v>
      </c>
      <c r="F293" s="106">
        <f>+Tabla10[[#This Row],[VALOR NOMINA]]/Tabla10[[#This Row],[HORAS HOMBRE]]</f>
        <v>9624.745712201453</v>
      </c>
      <c r="G293" s="60">
        <v>619200</v>
      </c>
    </row>
    <row r="298" spans="2:16" s="54" customFormat="1" ht="15.75" x14ac:dyDescent="0.25">
      <c r="B298" s="54" t="s">
        <v>26</v>
      </c>
      <c r="C298" s="54" t="s">
        <v>103</v>
      </c>
      <c r="D298" s="54" t="s">
        <v>337</v>
      </c>
      <c r="E298" s="54" t="s">
        <v>338</v>
      </c>
      <c r="F298" s="54" t="s">
        <v>339</v>
      </c>
      <c r="G298" s="54" t="s">
        <v>109</v>
      </c>
      <c r="H298" s="54" t="s">
        <v>111</v>
      </c>
      <c r="I298" s="54" t="s">
        <v>113</v>
      </c>
      <c r="J298" s="54" t="s">
        <v>114</v>
      </c>
      <c r="K298" s="54" t="s">
        <v>116</v>
      </c>
      <c r="L298" s="54" t="s">
        <v>117</v>
      </c>
      <c r="M298" s="54" t="s">
        <v>332</v>
      </c>
      <c r="N298" s="54" t="s">
        <v>333</v>
      </c>
      <c r="O298" s="54" t="s">
        <v>340</v>
      </c>
      <c r="P298" s="54" t="s">
        <v>118</v>
      </c>
    </row>
    <row r="299" spans="2:16" ht="15.75" x14ac:dyDescent="0.25">
      <c r="B299" s="54">
        <v>1.01E-2</v>
      </c>
      <c r="C299" s="54" t="s">
        <v>327</v>
      </c>
      <c r="D299" s="56">
        <v>2350.6000000000004</v>
      </c>
      <c r="E299" s="56">
        <v>195.88333333333335</v>
      </c>
      <c r="F299" s="56">
        <v>0.11137241555347568</v>
      </c>
      <c r="G299" s="56">
        <v>7.4248277035650456E-2</v>
      </c>
      <c r="H299" s="56">
        <v>0.11137241555347568</v>
      </c>
      <c r="I299" s="56">
        <v>3.7124138517825228E-2</v>
      </c>
      <c r="J299" s="56">
        <v>3.7124138517825228E-2</v>
      </c>
      <c r="K299" s="56">
        <v>1.2374712839275078E-2</v>
      </c>
      <c r="L299" s="56">
        <v>7.4248277035650456E-2</v>
      </c>
      <c r="M299" s="56">
        <v>3.7124138517825228E-2</v>
      </c>
      <c r="N299" s="56">
        <v>1.2374712839275078E-2</v>
      </c>
      <c r="O299" s="56">
        <v>0.5073632264102782</v>
      </c>
      <c r="P299" s="56">
        <v>9624.75</v>
      </c>
    </row>
    <row r="300" spans="2:16" ht="15.75" x14ac:dyDescent="0.25">
      <c r="B300" s="54">
        <v>0.1991</v>
      </c>
      <c r="C300" s="54" t="s">
        <v>328</v>
      </c>
      <c r="D300" s="56">
        <v>45928.400000000023</v>
      </c>
      <c r="E300" s="56">
        <v>3827.3666666666686</v>
      </c>
      <c r="F300" s="56">
        <v>0.11236341784168395</v>
      </c>
      <c r="G300" s="56">
        <v>7.4908945227789306E-2</v>
      </c>
      <c r="H300" s="56">
        <v>0.11236341784168395</v>
      </c>
      <c r="I300" s="56">
        <v>3.7454472613894653E-2</v>
      </c>
      <c r="J300" s="56">
        <v>3.7454472613894653E-2</v>
      </c>
      <c r="K300" s="56">
        <v>1.248482420463155E-2</v>
      </c>
      <c r="L300" s="56">
        <v>7.4908945227789306E-2</v>
      </c>
      <c r="M300" s="56">
        <v>3.7454472613894653E-2</v>
      </c>
      <c r="N300" s="56">
        <v>1.248482420463155E-2</v>
      </c>
      <c r="O300" s="56">
        <v>0.51187779238989362</v>
      </c>
      <c r="P300" s="56">
        <v>4883.244213392325</v>
      </c>
    </row>
    <row r="301" spans="2:16" ht="15.75" x14ac:dyDescent="0.25">
      <c r="B301" s="54">
        <v>0.1381</v>
      </c>
      <c r="C301" s="54" t="s">
        <v>329</v>
      </c>
      <c r="D301" s="56">
        <v>27508.05999999999</v>
      </c>
      <c r="E301" s="56">
        <v>2292.3383333333327</v>
      </c>
      <c r="F301" s="56">
        <v>0.13012738811824609</v>
      </c>
      <c r="G301" s="56">
        <v>8.6751592078830736E-2</v>
      </c>
      <c r="H301" s="56">
        <v>0.13012738811824609</v>
      </c>
      <c r="I301" s="56">
        <v>4.3375796039415368E-2</v>
      </c>
      <c r="J301" s="56">
        <v>4.3375796039415368E-2</v>
      </c>
      <c r="K301" s="56">
        <v>1.4458598679805122E-2</v>
      </c>
      <c r="L301" s="56">
        <v>8.6751592078830736E-2</v>
      </c>
      <c r="M301" s="56">
        <v>4.3375796039415368E-2</v>
      </c>
      <c r="N301" s="56">
        <v>1.4458598679805122E-2</v>
      </c>
      <c r="O301" s="56">
        <v>0.59280254587201009</v>
      </c>
      <c r="P301" s="56">
        <v>2499.624267651986</v>
      </c>
    </row>
    <row r="302" spans="2:16" ht="15.75" x14ac:dyDescent="0.25">
      <c r="B302" s="54">
        <v>0.315</v>
      </c>
      <c r="C302" s="54" t="s">
        <v>330</v>
      </c>
      <c r="D302" s="56">
        <v>47952.920000000122</v>
      </c>
      <c r="E302" s="56">
        <v>3996.0766666666768</v>
      </c>
      <c r="F302" s="56">
        <v>0.17026700355265079</v>
      </c>
      <c r="G302" s="56">
        <v>0.1135113357017672</v>
      </c>
      <c r="H302" s="56">
        <v>0.17026700355265079</v>
      </c>
      <c r="I302" s="56">
        <v>5.6755667850883602E-2</v>
      </c>
      <c r="J302" s="56">
        <v>5.6755667850883602E-2</v>
      </c>
      <c r="K302" s="56">
        <v>1.8918555950294531E-2</v>
      </c>
      <c r="L302" s="56">
        <v>0.1135113357017672</v>
      </c>
      <c r="M302" s="56">
        <v>5.6755667850883602E-2</v>
      </c>
      <c r="N302" s="56">
        <v>1.8918555950294531E-2</v>
      </c>
      <c r="O302" s="56">
        <v>0.77566079396207588</v>
      </c>
      <c r="P302" s="56">
        <v>1481.7836295875561</v>
      </c>
    </row>
    <row r="303" spans="2:16" ht="15.75" x14ac:dyDescent="0.25">
      <c r="B303" s="54">
        <v>0.3377</v>
      </c>
      <c r="C303" s="54" t="s">
        <v>331</v>
      </c>
      <c r="D303" s="56">
        <v>40899.279999999999</v>
      </c>
      <c r="E303" s="56">
        <v>3408.2733333333331</v>
      </c>
      <c r="F303" s="56">
        <v>0.21401804628345539</v>
      </c>
      <c r="G303" s="56">
        <v>0.14267869752230358</v>
      </c>
      <c r="H303" s="56">
        <v>0.21401804628345539</v>
      </c>
      <c r="I303" s="56">
        <v>7.1339348761151791E-2</v>
      </c>
      <c r="J303" s="56">
        <v>7.1339348761151791E-2</v>
      </c>
      <c r="K303" s="56">
        <v>2.3779782920383932E-2</v>
      </c>
      <c r="L303" s="56">
        <v>0.14267869752230358</v>
      </c>
      <c r="M303" s="56">
        <v>7.1339348761151791E-2</v>
      </c>
      <c r="N303" s="56">
        <v>2.3779782920383932E-2</v>
      </c>
      <c r="O303" s="56">
        <v>0.97497109973574125</v>
      </c>
      <c r="P303" s="56">
        <v>1149.3614666058904</v>
      </c>
    </row>
    <row r="304" spans="2:16" s="56" customFormat="1" ht="15.75" x14ac:dyDescent="0.25">
      <c r="B304" s="54"/>
      <c r="C304" s="54"/>
      <c r="D304" s="56">
        <v>164639.26000000013</v>
      </c>
      <c r="E304" s="56">
        <v>13719.938333333344</v>
      </c>
      <c r="F304" s="56">
        <v>0.73814827134951178</v>
      </c>
      <c r="G304" s="56">
        <v>0.49209884756634126</v>
      </c>
      <c r="H304" s="56">
        <v>0.73814827134951178</v>
      </c>
      <c r="I304" s="56">
        <v>0.24604942378317063</v>
      </c>
      <c r="J304" s="56">
        <v>0.24604942378317063</v>
      </c>
      <c r="K304" s="56">
        <v>8.201647459439021E-2</v>
      </c>
      <c r="L304" s="56">
        <v>0.49209884756634126</v>
      </c>
      <c r="M304" s="56">
        <v>0.24604942378317063</v>
      </c>
      <c r="N304" s="56">
        <v>8.201647459439021E-2</v>
      </c>
      <c r="O304" s="56">
        <v>3.3626754583699991</v>
      </c>
      <c r="P304" s="56">
        <v>1120.5942130906294</v>
      </c>
    </row>
    <row r="308" spans="2:11" s="86" customFormat="1" ht="31.5" x14ac:dyDescent="0.25">
      <c r="B308" s="86" t="s">
        <v>102</v>
      </c>
      <c r="C308" s="86" t="s">
        <v>120</v>
      </c>
      <c r="D308" s="86" t="s">
        <v>121</v>
      </c>
      <c r="E308" s="86" t="s">
        <v>122</v>
      </c>
      <c r="F308" s="86" t="s">
        <v>123</v>
      </c>
      <c r="G308" s="86" t="s">
        <v>124</v>
      </c>
      <c r="H308" s="86" t="s">
        <v>125</v>
      </c>
      <c r="I308" s="86" t="s">
        <v>126</v>
      </c>
      <c r="J308" s="86" t="s">
        <v>127</v>
      </c>
      <c r="K308" s="86" t="s">
        <v>341</v>
      </c>
    </row>
    <row r="309" spans="2:11" ht="15.75" x14ac:dyDescent="0.25">
      <c r="B309" s="54" t="s">
        <v>327</v>
      </c>
      <c r="C309" s="56">
        <v>0.11137241555347568</v>
      </c>
      <c r="D309" s="56">
        <v>7.4248277035650456E-2</v>
      </c>
      <c r="E309" s="56">
        <v>0.11137241555347568</v>
      </c>
      <c r="F309" s="56">
        <v>3.7124138517825228E-2</v>
      </c>
      <c r="G309" s="56">
        <v>3.7124138517825228E-2</v>
      </c>
      <c r="H309" s="56">
        <v>1.2374712839275078E-2</v>
      </c>
      <c r="I309" s="56">
        <v>7.4248277035650456E-2</v>
      </c>
      <c r="J309" s="56">
        <v>0.4578643750531779</v>
      </c>
      <c r="K309" s="56">
        <v>4406.8301437930741</v>
      </c>
    </row>
    <row r="310" spans="2:11" ht="15.75" x14ac:dyDescent="0.25">
      <c r="B310" s="54" t="s">
        <v>328</v>
      </c>
      <c r="C310" s="56">
        <v>0.11236341784168395</v>
      </c>
      <c r="D310" s="56">
        <v>7.4908945227789306E-2</v>
      </c>
      <c r="E310" s="56">
        <v>0.11236341784168395</v>
      </c>
      <c r="F310" s="56">
        <v>3.7454472613894653E-2</v>
      </c>
      <c r="G310" s="56">
        <v>3.7454472613894653E-2</v>
      </c>
      <c r="H310" s="56">
        <v>1.248482420463155E-2</v>
      </c>
      <c r="I310" s="56">
        <v>7.4908945227789306E-2</v>
      </c>
      <c r="J310" s="56">
        <v>0.4619384955713674</v>
      </c>
      <c r="K310" s="56">
        <v>4446.0425352505181</v>
      </c>
    </row>
    <row r="311" spans="2:11" ht="15.75" x14ac:dyDescent="0.25">
      <c r="B311" s="54" t="s">
        <v>329</v>
      </c>
      <c r="C311" s="56">
        <v>0.13012738811824609</v>
      </c>
      <c r="D311" s="56">
        <v>8.6751592078830736E-2</v>
      </c>
      <c r="E311" s="56">
        <v>0.13012738811824609</v>
      </c>
      <c r="F311" s="56">
        <v>4.3375796039415368E-2</v>
      </c>
      <c r="G311" s="56">
        <v>4.3375796039415368E-2</v>
      </c>
      <c r="H311" s="56">
        <v>1.4458598679805122E-2</v>
      </c>
      <c r="I311" s="56">
        <v>8.6751592078830736E-2</v>
      </c>
      <c r="J311" s="56">
        <v>0.53496815115278962</v>
      </c>
      <c r="K311" s="56">
        <v>5148.9347128078116</v>
      </c>
    </row>
    <row r="312" spans="2:11" ht="15.75" x14ac:dyDescent="0.25">
      <c r="B312" s="54" t="s">
        <v>330</v>
      </c>
      <c r="C312" s="56">
        <v>0.17026700355265079</v>
      </c>
      <c r="D312" s="56">
        <v>0.1135113357017672</v>
      </c>
      <c r="E312" s="56">
        <v>0.17026700355265079</v>
      </c>
      <c r="F312" s="56">
        <v>5.6755667850883602E-2</v>
      </c>
      <c r="G312" s="56">
        <v>5.6755667850883602E-2</v>
      </c>
      <c r="H312" s="56">
        <v>1.8918555950294531E-2</v>
      </c>
      <c r="I312" s="56">
        <v>0.1135113357017672</v>
      </c>
      <c r="J312" s="56">
        <v>0.69998657016089771</v>
      </c>
      <c r="K312" s="56">
        <v>6737.1957411561007</v>
      </c>
    </row>
    <row r="313" spans="2:11" ht="15.75" x14ac:dyDescent="0.25">
      <c r="B313" s="54" t="s">
        <v>331</v>
      </c>
      <c r="C313" s="56">
        <v>0.21401804628345539</v>
      </c>
      <c r="D313" s="56">
        <v>0.14267869752230358</v>
      </c>
      <c r="E313" s="56">
        <v>0.21401804628345539</v>
      </c>
      <c r="F313" s="56">
        <v>7.1339348761151791E-2</v>
      </c>
      <c r="G313" s="56">
        <v>7.1339348761151791E-2</v>
      </c>
      <c r="H313" s="56">
        <v>2.3779782920383932E-2</v>
      </c>
      <c r="I313" s="56">
        <v>0.14267869752230358</v>
      </c>
      <c r="J313" s="56">
        <v>0.87985196805420551</v>
      </c>
      <c r="K313" s="56">
        <v>8468.3552295297141</v>
      </c>
    </row>
    <row r="314" spans="2:11" s="63" customFormat="1" ht="15.75" x14ac:dyDescent="0.25">
      <c r="B314" s="76" t="s">
        <v>115</v>
      </c>
      <c r="C314" s="60">
        <v>0.73814827134951178</v>
      </c>
      <c r="D314" s="60">
        <v>0.49209884756634126</v>
      </c>
      <c r="E314" s="60">
        <v>0.73814827134951178</v>
      </c>
      <c r="F314" s="60">
        <v>0.24604942378317063</v>
      </c>
      <c r="G314" s="60">
        <v>0.24604942378317063</v>
      </c>
      <c r="H314" s="60">
        <v>8.201647459439021E-2</v>
      </c>
      <c r="I314" s="60">
        <v>0.49209884756634126</v>
      </c>
      <c r="J314" s="60">
        <v>3.0346095599924379</v>
      </c>
      <c r="K314" s="60">
        <v>29207.358362537219</v>
      </c>
    </row>
    <row r="319" spans="2:11" s="85" customFormat="1" ht="31.5" x14ac:dyDescent="0.25">
      <c r="B319" s="85" t="s">
        <v>102</v>
      </c>
      <c r="C319" s="85" t="s">
        <v>342</v>
      </c>
      <c r="D319" s="85" t="s">
        <v>130</v>
      </c>
      <c r="E319" s="85" t="s">
        <v>81</v>
      </c>
      <c r="F319" s="85" t="s">
        <v>79</v>
      </c>
      <c r="G319" s="85" t="s">
        <v>77</v>
      </c>
    </row>
    <row r="320" spans="2:11" ht="15.75" x14ac:dyDescent="0.25">
      <c r="B320" s="54" t="s">
        <v>327</v>
      </c>
      <c r="C320" s="56">
        <v>1.0081033209006527E-2</v>
      </c>
      <c r="D320" s="56">
        <v>87412.155065701561</v>
      </c>
      <c r="E320" s="56">
        <v>610325.91253967315</v>
      </c>
      <c r="F320" s="56">
        <v>448140.06268896977</v>
      </c>
      <c r="G320" s="56">
        <v>2647211.770107944</v>
      </c>
    </row>
    <row r="321" spans="2:7" ht="15.75" x14ac:dyDescent="0.25">
      <c r="B321" s="54" t="s">
        <v>328</v>
      </c>
      <c r="C321" s="56">
        <v>0.19906888388601041</v>
      </c>
      <c r="D321" s="56">
        <v>1726116.7368691696</v>
      </c>
      <c r="E321" s="56">
        <v>12052028.368226841</v>
      </c>
      <c r="F321" s="56">
        <v>8849364.966320904</v>
      </c>
      <c r="G321" s="56">
        <v>52274154.995788507</v>
      </c>
    </row>
    <row r="322" spans="2:7" ht="15.75" x14ac:dyDescent="0.25">
      <c r="B322" s="54" t="s">
        <v>329</v>
      </c>
      <c r="C322" s="56">
        <v>0.13805467187774526</v>
      </c>
      <c r="D322" s="56">
        <v>1197065.433227679</v>
      </c>
      <c r="E322" s="56">
        <v>8358105.944822453</v>
      </c>
      <c r="F322" s="56">
        <v>6137052.4257894903</v>
      </c>
      <c r="G322" s="56">
        <v>36252231.763967477</v>
      </c>
    </row>
    <row r="323" spans="2:7" ht="15.75" x14ac:dyDescent="0.25">
      <c r="B323" s="54" t="s">
        <v>330</v>
      </c>
      <c r="C323" s="56">
        <v>0.31504747983942599</v>
      </c>
      <c r="D323" s="56">
        <v>2731761.5754086305</v>
      </c>
      <c r="E323" s="56">
        <v>19073604.52443853</v>
      </c>
      <c r="F323" s="56">
        <v>14005052.303478718</v>
      </c>
      <c r="G323" s="56">
        <v>82729357.148498386</v>
      </c>
    </row>
    <row r="324" spans="2:7" ht="15.75" x14ac:dyDescent="0.25">
      <c r="B324" s="54" t="s">
        <v>331</v>
      </c>
      <c r="C324" s="56">
        <v>0.33774793118781177</v>
      </c>
      <c r="D324" s="56">
        <v>2928596.099428819</v>
      </c>
      <c r="E324" s="56">
        <v>20447935.2499725</v>
      </c>
      <c r="F324" s="56">
        <v>15014173.241721917</v>
      </c>
      <c r="G324" s="56">
        <v>88690343.562323675</v>
      </c>
    </row>
    <row r="325" spans="2:7" s="60" customFormat="1" ht="15.75" x14ac:dyDescent="0.25">
      <c r="B325" s="76" t="s">
        <v>115</v>
      </c>
      <c r="C325" s="60">
        <v>1</v>
      </c>
      <c r="D325" s="60">
        <v>8670952</v>
      </c>
      <c r="E325" s="60">
        <v>60542000</v>
      </c>
      <c r="F325" s="60">
        <v>44453783</v>
      </c>
      <c r="G325" s="60">
        <v>262593299.240686</v>
      </c>
    </row>
  </sheetData>
  <mergeCells count="5">
    <mergeCell ref="B1:B4"/>
    <mergeCell ref="E135:F135"/>
    <mergeCell ref="B135:C135"/>
    <mergeCell ref="J6:K6"/>
    <mergeCell ref="G6:H6"/>
  </mergeCells>
  <pageMargins left="0.7" right="0.7" top="0.75" bottom="0.75" header="0.3" footer="0.3"/>
  <drawing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/>
  <dimension ref="A2:B10"/>
  <sheetViews>
    <sheetView workbookViewId="0"/>
  </sheetViews>
  <sheetFormatPr baseColWidth="10" defaultColWidth="9.140625" defaultRowHeight="15" x14ac:dyDescent="0.25"/>
  <cols>
    <col min="1" max="1" width="38.42578125" bestFit="1" customWidth="1"/>
    <col min="2" max="2" width="18.140625" bestFit="1" customWidth="1"/>
  </cols>
  <sheetData>
    <row r="2" spans="1:2" x14ac:dyDescent="0.25">
      <c r="A2" s="83" t="s">
        <v>343</v>
      </c>
      <c r="B2" t="s">
        <v>344</v>
      </c>
    </row>
    <row r="3" spans="1:2" x14ac:dyDescent="0.25">
      <c r="A3" s="84" t="s">
        <v>317</v>
      </c>
      <c r="B3" s="77">
        <v>1</v>
      </c>
    </row>
    <row r="4" spans="1:2" x14ac:dyDescent="0.25">
      <c r="A4" s="84" t="s">
        <v>345</v>
      </c>
      <c r="B4" s="77">
        <v>0.20619999999999999</v>
      </c>
    </row>
    <row r="5" spans="1:2" x14ac:dyDescent="0.25">
      <c r="A5" s="84" t="s">
        <v>322</v>
      </c>
      <c r="B5" s="77">
        <v>0.20619999999999999</v>
      </c>
    </row>
    <row r="6" spans="1:2" x14ac:dyDescent="0.25">
      <c r="A6" s="84" t="s">
        <v>321</v>
      </c>
      <c r="B6" s="77">
        <v>0.14380000000000001</v>
      </c>
    </row>
    <row r="7" spans="1:2" x14ac:dyDescent="0.25">
      <c r="A7" s="84" t="s">
        <v>319</v>
      </c>
      <c r="B7" s="77">
        <v>3.32E-2</v>
      </c>
    </row>
    <row r="8" spans="1:2" x14ac:dyDescent="0.25">
      <c r="A8" s="84" t="s">
        <v>320</v>
      </c>
      <c r="B8" s="77">
        <v>2.4400000000000002E-2</v>
      </c>
    </row>
    <row r="9" spans="1:2" x14ac:dyDescent="0.25">
      <c r="A9" s="84" t="s">
        <v>318</v>
      </c>
      <c r="B9" s="77">
        <v>4.7999999999999996E-3</v>
      </c>
    </row>
    <row r="10" spans="1:2" x14ac:dyDescent="0.25">
      <c r="A10" s="84" t="s">
        <v>346</v>
      </c>
      <c r="B10" s="77">
        <v>0.23122857142857139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TABLERO DE MANDO</vt:lpstr>
      <vt:lpstr>ORDEN DE PRODUCCION</vt:lpstr>
      <vt:lpstr>Hoja7</vt:lpstr>
      <vt:lpstr>HOJA DE COSTO</vt:lpstr>
      <vt:lpstr>INFORMACION DE COSTOS</vt:lpstr>
      <vt:lpstr>Recomendación1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Arenas Meneses Dora Isabel</dc:creator>
  <cp:keywords/>
  <dc:description/>
  <cp:lastModifiedBy>TERESA DE JESUS ALTAHONA QUIJANO</cp:lastModifiedBy>
  <cp:revision/>
  <dcterms:created xsi:type="dcterms:W3CDTF">2023-09-04T01:49:59Z</dcterms:created>
  <dcterms:modified xsi:type="dcterms:W3CDTF">2023-09-27T21:33:43Z</dcterms:modified>
  <cp:category/>
  <cp:contentStatus/>
</cp:coreProperties>
</file>