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ap\Desktop\DISEÑOS 2022\PROPUESTA_TRABAJO_GRADO\GUIA_DISEÑOREDES\ANEXO\EJE1\"/>
    </mc:Choice>
  </mc:AlternateContent>
  <bookViews>
    <workbookView xWindow="-120" yWindow="-120" windowWidth="20730" windowHeight="11040" activeTab="1"/>
  </bookViews>
  <sheets>
    <sheet name="DiseñoOK" sheetId="7" r:id="rId1"/>
    <sheet name="Imprimir" sheetId="5" r:id="rId2"/>
    <sheet name="D internos" sheetId="4" r:id="rId3"/>
  </sheets>
  <definedNames>
    <definedName name="_xlnm.Print_Area" localSheetId="0">DiseñoOK!$A$2:$BL$16</definedName>
    <definedName name="_xlnm.Print_Area" localSheetId="1">Imprimir!$A$1:$R$105</definedName>
    <definedName name="_xlnm.Print_Titles" localSheetId="1">Imprimir!$2:$6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60" i="7" l="1"/>
  <c r="E9" i="7" l="1"/>
  <c r="AX31" i="7" l="1"/>
  <c r="AW32" i="7" s="1"/>
  <c r="AX32" i="7"/>
  <c r="AX35" i="7" s="1"/>
  <c r="AW36" i="7" s="1"/>
  <c r="AY21" i="7"/>
  <c r="AY20" i="7"/>
  <c r="AX44" i="7"/>
  <c r="AX43" i="7"/>
  <c r="AX42" i="7"/>
  <c r="AX41" i="7"/>
  <c r="AX40" i="7"/>
  <c r="AX39" i="7"/>
  <c r="AX38" i="7"/>
  <c r="AW38" i="7"/>
  <c r="AX37" i="7"/>
  <c r="AX34" i="7"/>
  <c r="AW34" i="7"/>
  <c r="AY34" i="7" s="1"/>
  <c r="AW31" i="7"/>
  <c r="AY31" i="7" s="1"/>
  <c r="BG31" i="7" s="1"/>
  <c r="AX28" i="7"/>
  <c r="AW28" i="7"/>
  <c r="AX26" i="7"/>
  <c r="AX25" i="7"/>
  <c r="AW24" i="7"/>
  <c r="AX22" i="7"/>
  <c r="AW21" i="7"/>
  <c r="AW20" i="7"/>
  <c r="AX18" i="7"/>
  <c r="AW17" i="7"/>
  <c r="AY17" i="7" s="1"/>
  <c r="AX16" i="7"/>
  <c r="AW16" i="7"/>
  <c r="AY16" i="7" s="1"/>
  <c r="BG21" i="7"/>
  <c r="AY24" i="7"/>
  <c r="BG24" i="7" s="1"/>
  <c r="AY28" i="7"/>
  <c r="BG28" i="7" s="1"/>
  <c r="AU44" i="7"/>
  <c r="T44" i="7" s="1"/>
  <c r="AP44" i="7"/>
  <c r="S44" i="7"/>
  <c r="Q44" i="7" s="1"/>
  <c r="B44" i="7"/>
  <c r="AU43" i="7"/>
  <c r="T43" i="7" s="1"/>
  <c r="AP43" i="7"/>
  <c r="S43" i="7"/>
  <c r="Q43" i="7" s="1"/>
  <c r="B43" i="7"/>
  <c r="BU43" i="7" s="1"/>
  <c r="B39" i="7"/>
  <c r="BU39" i="7" s="1"/>
  <c r="B40" i="7"/>
  <c r="BU40" i="7" s="1"/>
  <c r="B41" i="7"/>
  <c r="BU41" i="7" s="1"/>
  <c r="B42" i="7"/>
  <c r="BU42" i="7" s="1"/>
  <c r="B38" i="7"/>
  <c r="BU38" i="7" s="1"/>
  <c r="AU42" i="7"/>
  <c r="T42" i="7" s="1"/>
  <c r="AP42" i="7"/>
  <c r="S42" i="7"/>
  <c r="Q42" i="7" s="1"/>
  <c r="AU41" i="7"/>
  <c r="T41" i="7" s="1"/>
  <c r="AP41" i="7"/>
  <c r="S41" i="7"/>
  <c r="Q41" i="7" s="1"/>
  <c r="AU40" i="7"/>
  <c r="T40" i="7" s="1"/>
  <c r="AP40" i="7"/>
  <c r="S40" i="7"/>
  <c r="Q40" i="7" s="1"/>
  <c r="AU39" i="7"/>
  <c r="AW39" i="7" s="1"/>
  <c r="AP39" i="7"/>
  <c r="T39" i="7"/>
  <c r="S39" i="7"/>
  <c r="Q39" i="7" s="1"/>
  <c r="AU38" i="7"/>
  <c r="T38" i="7" s="1"/>
  <c r="AP38" i="7"/>
  <c r="S38" i="7"/>
  <c r="Q38" i="7" s="1"/>
  <c r="BG17" i="7" l="1"/>
  <c r="AW43" i="7"/>
  <c r="BG34" i="7"/>
  <c r="AW42" i="7"/>
  <c r="AW40" i="7"/>
  <c r="AW44" i="7"/>
  <c r="AW41" i="7"/>
  <c r="BG20" i="7"/>
  <c r="BG16" i="7"/>
  <c r="BU44" i="7"/>
  <c r="AO44" i="7"/>
  <c r="BW44" i="7"/>
  <c r="V44" i="7"/>
  <c r="W44" i="7" s="1"/>
  <c r="AO43" i="7"/>
  <c r="BW43" i="7"/>
  <c r="V43" i="7"/>
  <c r="W43" i="7" s="1"/>
  <c r="V42" i="7"/>
  <c r="W42" i="7" s="1"/>
  <c r="BW42" i="7"/>
  <c r="AO42" i="7"/>
  <c r="V41" i="7"/>
  <c r="W41" i="7" s="1"/>
  <c r="BW41" i="7"/>
  <c r="AO41" i="7"/>
  <c r="AO40" i="7"/>
  <c r="V40" i="7"/>
  <c r="W40" i="7" s="1"/>
  <c r="BW40" i="7"/>
  <c r="BW39" i="7"/>
  <c r="AO39" i="7"/>
  <c r="V39" i="7"/>
  <c r="W39" i="7" s="1"/>
  <c r="V38" i="7"/>
  <c r="W38" i="7" s="1"/>
  <c r="AO38" i="7"/>
  <c r="BW38" i="7"/>
  <c r="D34" i="7" l="1"/>
  <c r="E28" i="7"/>
  <c r="D28" i="7"/>
  <c r="E25" i="7"/>
  <c r="E24" i="7"/>
  <c r="E20" i="7"/>
  <c r="E21" i="7"/>
  <c r="E17" i="7"/>
  <c r="E16" i="7"/>
  <c r="AZ34" i="7" l="1"/>
  <c r="AY35" i="7" s="1"/>
  <c r="AZ21" i="7"/>
  <c r="BH34" i="7" l="1"/>
  <c r="AZ35" i="7" l="1"/>
  <c r="C51" i="4"/>
  <c r="B51" i="4"/>
  <c r="C50" i="4"/>
  <c r="B50" i="4"/>
  <c r="C49" i="4"/>
  <c r="B49" i="4"/>
  <c r="C48" i="4"/>
  <c r="B48" i="4"/>
  <c r="C47" i="4"/>
  <c r="B47" i="4"/>
  <c r="C46" i="4"/>
  <c r="B46" i="4"/>
  <c r="C45" i="4"/>
  <c r="B45" i="4"/>
  <c r="C44" i="4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C35" i="4"/>
  <c r="B35" i="4"/>
  <c r="B34" i="4"/>
  <c r="B33" i="4"/>
  <c r="B32" i="4"/>
  <c r="B31" i="4"/>
  <c r="B30" i="4"/>
  <c r="B29" i="4"/>
  <c r="B28" i="4"/>
  <c r="B27" i="4"/>
  <c r="B26" i="4"/>
  <c r="B25" i="4"/>
  <c r="B23" i="4"/>
  <c r="B22" i="4"/>
  <c r="B20" i="4"/>
  <c r="B18" i="4"/>
  <c r="B16" i="4"/>
  <c r="B14" i="4"/>
  <c r="B13" i="4"/>
  <c r="B12" i="4"/>
  <c r="B11" i="4"/>
  <c r="B10" i="4"/>
  <c r="B9" i="4"/>
  <c r="B8" i="4"/>
  <c r="B7" i="4"/>
  <c r="B6" i="4"/>
  <c r="B5" i="4"/>
  <c r="B4" i="4"/>
  <c r="B3" i="4"/>
  <c r="BU37" i="7"/>
  <c r="AP37" i="7"/>
  <c r="S37" i="7"/>
  <c r="Q37" i="7" s="1"/>
  <c r="BU36" i="7"/>
  <c r="AP36" i="7"/>
  <c r="S36" i="7"/>
  <c r="Q36" i="7" s="1"/>
  <c r="BU35" i="7"/>
  <c r="AV35" i="7"/>
  <c r="AU36" i="7" s="1"/>
  <c r="AU35" i="7"/>
  <c r="AW35" i="7" s="1"/>
  <c r="BG35" i="7" s="1"/>
  <c r="AP35" i="7"/>
  <c r="S35" i="7"/>
  <c r="Q35" i="7" s="1"/>
  <c r="BU34" i="7"/>
  <c r="BT34" i="7"/>
  <c r="AP34" i="7"/>
  <c r="T34" i="7"/>
  <c r="S34" i="7"/>
  <c r="Q34" i="7" s="1"/>
  <c r="F34" i="7"/>
  <c r="D35" i="7" s="1"/>
  <c r="BU32" i="7"/>
  <c r="AU32" i="7"/>
  <c r="T32" i="7" s="1"/>
  <c r="AP32" i="7"/>
  <c r="S32" i="7"/>
  <c r="Q32" i="7" s="1"/>
  <c r="BU31" i="7"/>
  <c r="BT31" i="7"/>
  <c r="AZ31" i="7"/>
  <c r="AP31" i="7"/>
  <c r="T31" i="7"/>
  <c r="S31" i="7"/>
  <c r="Q31" i="7" s="1"/>
  <c r="BA31" i="7" s="1"/>
  <c r="F31" i="7"/>
  <c r="BU29" i="7"/>
  <c r="AV29" i="7"/>
  <c r="AX29" i="7" s="1"/>
  <c r="AU29" i="7"/>
  <c r="AW29" i="7" s="1"/>
  <c r="AP29" i="7"/>
  <c r="S29" i="7"/>
  <c r="Q29" i="7" s="1"/>
  <c r="BU28" i="7"/>
  <c r="BT28" i="7"/>
  <c r="AZ28" i="7"/>
  <c r="AP28" i="7"/>
  <c r="T28" i="7"/>
  <c r="S28" i="7"/>
  <c r="Q28" i="7" s="1"/>
  <c r="BW28" i="7" s="1"/>
  <c r="F28" i="7"/>
  <c r="D29" i="7" s="1"/>
  <c r="BU26" i="7"/>
  <c r="AU26" i="7"/>
  <c r="AP26" i="7"/>
  <c r="S26" i="7"/>
  <c r="Q26" i="7"/>
  <c r="V26" i="7" s="1"/>
  <c r="W26" i="7" s="1"/>
  <c r="BU25" i="7"/>
  <c r="AP25" i="7"/>
  <c r="S25" i="7"/>
  <c r="Q25" i="7" s="1"/>
  <c r="BU24" i="7"/>
  <c r="BT24" i="7"/>
  <c r="AZ24" i="7"/>
  <c r="BH24" i="7" s="1"/>
  <c r="AV24" i="7"/>
  <c r="AX24" i="7" s="1"/>
  <c r="AP24" i="7"/>
  <c r="S24" i="7"/>
  <c r="Q24" i="7" s="1"/>
  <c r="F24" i="7"/>
  <c r="AP22" i="7"/>
  <c r="S22" i="7"/>
  <c r="Q22" i="7" s="1"/>
  <c r="B22" i="7"/>
  <c r="BU21" i="7"/>
  <c r="BT21" i="7"/>
  <c r="AP21" i="7"/>
  <c r="S21" i="7"/>
  <c r="Q21" i="7" s="1"/>
  <c r="F21" i="7"/>
  <c r="K21" i="7" s="1"/>
  <c r="BU20" i="7"/>
  <c r="BT20" i="7"/>
  <c r="AZ20" i="7"/>
  <c r="AV20" i="7"/>
  <c r="AP20" i="7"/>
  <c r="S20" i="7"/>
  <c r="Q20" i="7" s="1"/>
  <c r="F20" i="7"/>
  <c r="L20" i="7" s="1"/>
  <c r="BU18" i="7"/>
  <c r="AP18" i="7"/>
  <c r="S18" i="7"/>
  <c r="Q18" i="7" s="1"/>
  <c r="BU17" i="7"/>
  <c r="BT17" i="7"/>
  <c r="AZ17" i="7"/>
  <c r="AY18" i="7" s="1"/>
  <c r="AV17" i="7"/>
  <c r="AP17" i="7"/>
  <c r="S17" i="7"/>
  <c r="Q17" i="7" s="1"/>
  <c r="F17" i="7"/>
  <c r="D18" i="7" s="1"/>
  <c r="BU16" i="7"/>
  <c r="BT16" i="7"/>
  <c r="AP16" i="7"/>
  <c r="T16" i="7"/>
  <c r="S16" i="7"/>
  <c r="Q16" i="7" s="1"/>
  <c r="F16" i="7"/>
  <c r="K16" i="7" s="1"/>
  <c r="K7" i="7"/>
  <c r="K8" i="7" s="1"/>
  <c r="BH20" i="7" l="1"/>
  <c r="T26" i="7"/>
  <c r="AW26" i="7"/>
  <c r="L24" i="7"/>
  <c r="T17" i="7"/>
  <c r="AX17" i="7"/>
  <c r="AU18" i="7"/>
  <c r="K31" i="7"/>
  <c r="D32" i="7"/>
  <c r="AV21" i="7"/>
  <c r="AX21" i="7" s="1"/>
  <c r="BH21" i="7" s="1"/>
  <c r="AX20" i="7"/>
  <c r="BH35" i="7"/>
  <c r="AY36" i="7"/>
  <c r="BH17" i="7"/>
  <c r="BH28" i="7"/>
  <c r="AY29" i="7"/>
  <c r="BG29" i="7" s="1"/>
  <c r="AY32" i="7"/>
  <c r="BG32" i="7" s="1"/>
  <c r="BH31" i="7"/>
  <c r="K24" i="7"/>
  <c r="L16" i="7"/>
  <c r="T29" i="7"/>
  <c r="L34" i="7"/>
  <c r="L31" i="7"/>
  <c r="BW20" i="7"/>
  <c r="AO20" i="7"/>
  <c r="BA20" i="7"/>
  <c r="BB20" i="7" s="1"/>
  <c r="BJ20" i="7" s="1"/>
  <c r="L21" i="7"/>
  <c r="AV36" i="7"/>
  <c r="AO32" i="7"/>
  <c r="H16" i="7"/>
  <c r="I16" i="7" s="1"/>
  <c r="K20" i="7"/>
  <c r="T20" i="7"/>
  <c r="AO31" i="7"/>
  <c r="AO17" i="7"/>
  <c r="BA17" i="7"/>
  <c r="BB17" i="7" s="1"/>
  <c r="K34" i="7"/>
  <c r="G34" i="7"/>
  <c r="G31" i="7"/>
  <c r="G28" i="7"/>
  <c r="G17" i="7"/>
  <c r="G20" i="7"/>
  <c r="K17" i="7"/>
  <c r="H24" i="7"/>
  <c r="I24" i="7" s="1"/>
  <c r="H34" i="7"/>
  <c r="I34" i="7" s="1"/>
  <c r="H31" i="7"/>
  <c r="H28" i="7"/>
  <c r="I28" i="7" s="1"/>
  <c r="H20" i="7"/>
  <c r="H21" i="7"/>
  <c r="I21" i="7" s="1"/>
  <c r="H17" i="7"/>
  <c r="BW17" i="7"/>
  <c r="AU22" i="7"/>
  <c r="T21" i="7"/>
  <c r="BW24" i="7"/>
  <c r="AO24" i="7"/>
  <c r="BA24" i="7"/>
  <c r="V24" i="7"/>
  <c r="W24" i="7" s="1"/>
  <c r="V25" i="7"/>
  <c r="W25" i="7" s="1"/>
  <c r="BW25" i="7"/>
  <c r="AO25" i="7"/>
  <c r="AO18" i="7"/>
  <c r="BW18" i="7"/>
  <c r="V21" i="7"/>
  <c r="W21" i="7" s="1"/>
  <c r="BW21" i="7"/>
  <c r="AO21" i="7"/>
  <c r="BA21" i="7"/>
  <c r="BI21" i="7" s="1"/>
  <c r="BT32" i="7"/>
  <c r="F32" i="7"/>
  <c r="BW16" i="7"/>
  <c r="V16" i="7"/>
  <c r="W16" i="7" s="1"/>
  <c r="AZ16" i="7"/>
  <c r="G16" i="7"/>
  <c r="AO16" i="7"/>
  <c r="BA16" i="7"/>
  <c r="BI16" i="7" s="1"/>
  <c r="L17" i="7"/>
  <c r="V17" i="7"/>
  <c r="W17" i="7" s="1"/>
  <c r="V18" i="7"/>
  <c r="W18" i="7" s="1"/>
  <c r="G21" i="7"/>
  <c r="AO22" i="7"/>
  <c r="V22" i="7"/>
  <c r="W22" i="7" s="1"/>
  <c r="G24" i="7"/>
  <c r="BB31" i="7"/>
  <c r="BI31" i="7"/>
  <c r="V20" i="7"/>
  <c r="W20" i="7" s="1"/>
  <c r="BA28" i="7"/>
  <c r="AO28" i="7"/>
  <c r="BW29" i="7"/>
  <c r="AO29" i="7"/>
  <c r="AO35" i="7"/>
  <c r="BW35" i="7"/>
  <c r="V35" i="7"/>
  <c r="W35" i="7" s="1"/>
  <c r="BU22" i="7"/>
  <c r="K28" i="7"/>
  <c r="L28" i="7"/>
  <c r="BW22" i="7"/>
  <c r="AU25" i="7"/>
  <c r="T24" i="7"/>
  <c r="BW26" i="7"/>
  <c r="AO26" i="7"/>
  <c r="V28" i="7"/>
  <c r="W28" i="7" s="1"/>
  <c r="V29" i="7"/>
  <c r="W29" i="7" s="1"/>
  <c r="F35" i="7"/>
  <c r="AO34" i="7"/>
  <c r="BW34" i="7"/>
  <c r="V34" i="7"/>
  <c r="W34" i="7" s="1"/>
  <c r="T35" i="7"/>
  <c r="BT35" i="7"/>
  <c r="BW31" i="7"/>
  <c r="V31" i="7"/>
  <c r="W31" i="7" s="1"/>
  <c r="BW37" i="7"/>
  <c r="AO37" i="7"/>
  <c r="V37" i="7"/>
  <c r="W37" i="7" s="1"/>
  <c r="AO36" i="7"/>
  <c r="BW36" i="7"/>
  <c r="V36" i="7"/>
  <c r="W36" i="7" s="1"/>
  <c r="V32" i="7"/>
  <c r="W32" i="7" s="1"/>
  <c r="BW32" i="7"/>
  <c r="BA34" i="7"/>
  <c r="AW18" i="7" l="1"/>
  <c r="T18" i="7"/>
  <c r="AU37" i="7"/>
  <c r="AX36" i="7"/>
  <c r="T25" i="7"/>
  <c r="AW25" i="7"/>
  <c r="H35" i="7"/>
  <c r="I35" i="7" s="1"/>
  <c r="D36" i="7"/>
  <c r="T22" i="7"/>
  <c r="AW22" i="7"/>
  <c r="BG36" i="7"/>
  <c r="AZ36" i="7"/>
  <c r="BH36" i="7" s="1"/>
  <c r="BA36" i="7"/>
  <c r="AZ29" i="7"/>
  <c r="BH29" i="7" s="1"/>
  <c r="BG18" i="7"/>
  <c r="BH16" i="7"/>
  <c r="BA29" i="7"/>
  <c r="BB29" i="7" s="1"/>
  <c r="AZ32" i="7"/>
  <c r="BH32" i="7" s="1"/>
  <c r="J16" i="7"/>
  <c r="M16" i="7" s="1"/>
  <c r="N16" i="7" s="1"/>
  <c r="X16" i="7" s="1"/>
  <c r="Z16" i="7" s="1"/>
  <c r="AB16" i="7" s="1"/>
  <c r="BI20" i="7"/>
  <c r="BK20" i="7" s="1"/>
  <c r="BL20" i="7" s="1"/>
  <c r="I20" i="7"/>
  <c r="J20" i="7" s="1"/>
  <c r="M20" i="7" s="1"/>
  <c r="N20" i="7" s="1"/>
  <c r="X20" i="7" s="1"/>
  <c r="Z20" i="7" s="1"/>
  <c r="BD20" i="7" s="1"/>
  <c r="T36" i="7"/>
  <c r="I31" i="7"/>
  <c r="J31" i="7" s="1"/>
  <c r="M31" i="7" s="1"/>
  <c r="N31" i="7" s="1"/>
  <c r="X31" i="7" s="1"/>
  <c r="Z31" i="7" s="1"/>
  <c r="BD31" i="7" s="1"/>
  <c r="I17" i="7"/>
  <c r="J17" i="7" s="1"/>
  <c r="M17" i="7" s="1"/>
  <c r="N17" i="7" s="1"/>
  <c r="X17" i="7" s="1"/>
  <c r="K35" i="7"/>
  <c r="L35" i="7"/>
  <c r="BT29" i="7"/>
  <c r="F29" i="7"/>
  <c r="BB16" i="7"/>
  <c r="BJ16" i="7" s="1"/>
  <c r="K32" i="7"/>
  <c r="L32" i="7"/>
  <c r="J21" i="7"/>
  <c r="M21" i="7" s="1"/>
  <c r="N21" i="7" s="1"/>
  <c r="X21" i="7" s="1"/>
  <c r="Z21" i="7" s="1"/>
  <c r="BC21" i="7" s="1"/>
  <c r="J28" i="7"/>
  <c r="M28" i="7" s="1"/>
  <c r="N28" i="7" s="1"/>
  <c r="X28" i="7" s="1"/>
  <c r="Z28" i="7" s="1"/>
  <c r="BC28" i="7" s="1"/>
  <c r="H32" i="7"/>
  <c r="I32" i="7" s="1"/>
  <c r="G35" i="7"/>
  <c r="BI17" i="7"/>
  <c r="J34" i="7"/>
  <c r="M34" i="7" s="1"/>
  <c r="N34" i="7" s="1"/>
  <c r="X34" i="7" s="1"/>
  <c r="Z34" i="7" s="1"/>
  <c r="BC34" i="7" s="1"/>
  <c r="F18" i="7"/>
  <c r="D22" i="7" s="1"/>
  <c r="BT18" i="7"/>
  <c r="BI34" i="7"/>
  <c r="BB34" i="7"/>
  <c r="BA32" i="7"/>
  <c r="BI28" i="7"/>
  <c r="BB28" i="7"/>
  <c r="BJ31" i="7"/>
  <c r="BK31" i="7" s="1"/>
  <c r="BL31" i="7" s="1"/>
  <c r="BB21" i="7"/>
  <c r="BJ21" i="7" s="1"/>
  <c r="BK21" i="7" s="1"/>
  <c r="BL21" i="7" s="1"/>
  <c r="BB24" i="7"/>
  <c r="BI24" i="7"/>
  <c r="J24" i="7"/>
  <c r="M24" i="7" s="1"/>
  <c r="N24" i="7" s="1"/>
  <c r="X24" i="7" s="1"/>
  <c r="Z24" i="7" s="1"/>
  <c r="BC24" i="7" s="1"/>
  <c r="G32" i="7"/>
  <c r="J35" i="7" l="1"/>
  <c r="M35" i="7" s="1"/>
  <c r="N35" i="7" s="1"/>
  <c r="X35" i="7" s="1"/>
  <c r="Y35" i="7" s="1"/>
  <c r="T37" i="7"/>
  <c r="AW37" i="7"/>
  <c r="BA18" i="7"/>
  <c r="BB18" i="7" s="1"/>
  <c r="BJ18" i="7" s="1"/>
  <c r="BI29" i="7"/>
  <c r="AZ18" i="7"/>
  <c r="BY16" i="7"/>
  <c r="BP16" i="7" s="1"/>
  <c r="BS16" i="7" s="1"/>
  <c r="Y16" i="7"/>
  <c r="BO16" i="7" s="1"/>
  <c r="BC16" i="7"/>
  <c r="BY20" i="7"/>
  <c r="AA20" i="7" s="1"/>
  <c r="AC20" i="7" s="1"/>
  <c r="AH20" i="7" s="1"/>
  <c r="AB20" i="7"/>
  <c r="BC20" i="7"/>
  <c r="Y20" i="7"/>
  <c r="BO20" i="7" s="1"/>
  <c r="Z17" i="7"/>
  <c r="BC17" i="7" s="1"/>
  <c r="Y17" i="7"/>
  <c r="Y34" i="7"/>
  <c r="BO34" i="7" s="1"/>
  <c r="Y28" i="7"/>
  <c r="Y21" i="7"/>
  <c r="AF21" i="7" s="1"/>
  <c r="AG21" i="7" s="1"/>
  <c r="BE21" i="7" s="1"/>
  <c r="BJ34" i="7"/>
  <c r="BK34" i="7" s="1"/>
  <c r="BL34" i="7" s="1"/>
  <c r="BD34" i="7"/>
  <c r="BJ17" i="7"/>
  <c r="BK17" i="7" s="1"/>
  <c r="BL17" i="7" s="1"/>
  <c r="Y24" i="7"/>
  <c r="J32" i="7"/>
  <c r="M32" i="7" s="1"/>
  <c r="N32" i="7" s="1"/>
  <c r="X32" i="7" s="1"/>
  <c r="F36" i="7"/>
  <c r="BT36" i="7"/>
  <c r="BD24" i="7"/>
  <c r="BJ24" i="7"/>
  <c r="BK24" i="7" s="1"/>
  <c r="BL24" i="7" s="1"/>
  <c r="BD21" i="7"/>
  <c r="BB32" i="7"/>
  <c r="BI32" i="7"/>
  <c r="L18" i="7"/>
  <c r="K18" i="7"/>
  <c r="G18" i="7"/>
  <c r="H18" i="7"/>
  <c r="I18" i="7" s="1"/>
  <c r="BY28" i="7"/>
  <c r="AB28" i="7"/>
  <c r="BK16" i="7"/>
  <c r="BL16" i="7" s="1"/>
  <c r="BD16" i="7"/>
  <c r="AB24" i="7"/>
  <c r="BY24" i="7"/>
  <c r="Y31" i="7"/>
  <c r="BY21" i="7"/>
  <c r="AB21" i="7"/>
  <c r="K29" i="7"/>
  <c r="L29" i="7"/>
  <c r="H29" i="7"/>
  <c r="G29" i="7"/>
  <c r="BY31" i="7"/>
  <c r="AB31" i="7"/>
  <c r="BC31" i="7"/>
  <c r="BD28" i="7"/>
  <c r="BJ28" i="7"/>
  <c r="BK28" i="7" s="1"/>
  <c r="BL28" i="7" s="1"/>
  <c r="BY34" i="7"/>
  <c r="AB34" i="7"/>
  <c r="BJ29" i="7"/>
  <c r="BK29" i="7" s="1"/>
  <c r="BL29" i="7" s="1"/>
  <c r="AY22" i="7" l="1"/>
  <c r="BA22" i="7" s="1"/>
  <c r="BI18" i="7"/>
  <c r="BK18" i="7" s="1"/>
  <c r="BL18" i="7" s="1"/>
  <c r="BG22" i="7"/>
  <c r="BH18" i="7"/>
  <c r="AF16" i="7"/>
  <c r="AG16" i="7" s="1"/>
  <c r="BE16" i="7" s="1"/>
  <c r="CC20" i="7"/>
  <c r="CB20" i="7"/>
  <c r="AF20" i="7"/>
  <c r="AG20" i="7" s="1"/>
  <c r="BE20" i="7" s="1"/>
  <c r="CB16" i="7"/>
  <c r="BO21" i="7"/>
  <c r="CA16" i="7"/>
  <c r="AA16" i="7"/>
  <c r="AC16" i="7" s="1"/>
  <c r="AH16" i="7" s="1"/>
  <c r="CC16" i="7"/>
  <c r="BZ16" i="7"/>
  <c r="BP20" i="7"/>
  <c r="BS20" i="7" s="1"/>
  <c r="BZ20" i="7"/>
  <c r="I29" i="7"/>
  <c r="J29" i="7" s="1"/>
  <c r="M29" i="7" s="1"/>
  <c r="N29" i="7" s="1"/>
  <c r="X29" i="7" s="1"/>
  <c r="CA20" i="7"/>
  <c r="BD17" i="7"/>
  <c r="Z35" i="7"/>
  <c r="BY35" i="7" s="1"/>
  <c r="BA35" i="7"/>
  <c r="AF34" i="7"/>
  <c r="AG34" i="7" s="1"/>
  <c r="BF34" i="7" s="1"/>
  <c r="AF28" i="7"/>
  <c r="AG28" i="7" s="1"/>
  <c r="BF28" i="7" s="1"/>
  <c r="BO28" i="7"/>
  <c r="AI20" i="7"/>
  <c r="AJ20" i="7" s="1"/>
  <c r="AF17" i="7"/>
  <c r="AG17" i="7" s="1"/>
  <c r="BE17" i="7" s="1"/>
  <c r="AB17" i="7"/>
  <c r="BO17" i="7"/>
  <c r="BY17" i="7"/>
  <c r="BZ17" i="7" s="1"/>
  <c r="CC28" i="7"/>
  <c r="AA28" i="7"/>
  <c r="AI28" i="7" s="1"/>
  <c r="AJ28" i="7" s="1"/>
  <c r="CA28" i="7"/>
  <c r="BZ28" i="7"/>
  <c r="CB28" i="7"/>
  <c r="BP28" i="7"/>
  <c r="BS28" i="7" s="1"/>
  <c r="CB31" i="7"/>
  <c r="CC31" i="7"/>
  <c r="AA31" i="7"/>
  <c r="AC31" i="7" s="1"/>
  <c r="AH31" i="7" s="1"/>
  <c r="BZ31" i="7"/>
  <c r="CA31" i="7"/>
  <c r="BP31" i="7"/>
  <c r="BS31" i="7" s="1"/>
  <c r="J18" i="7"/>
  <c r="M18" i="7" s="1"/>
  <c r="N18" i="7" s="1"/>
  <c r="X18" i="7" s="1"/>
  <c r="K36" i="7"/>
  <c r="L36" i="7"/>
  <c r="G36" i="7"/>
  <c r="H36" i="7"/>
  <c r="I36" i="7" s="1"/>
  <c r="CC21" i="7"/>
  <c r="CB21" i="7"/>
  <c r="CA21" i="7"/>
  <c r="BZ21" i="7"/>
  <c r="AA21" i="7"/>
  <c r="AI21" i="7" s="1"/>
  <c r="AJ21" i="7" s="1"/>
  <c r="BP21" i="7"/>
  <c r="BS21" i="7" s="1"/>
  <c r="AF31" i="7"/>
  <c r="AG31" i="7" s="1"/>
  <c r="BO31" i="7"/>
  <c r="BF21" i="7"/>
  <c r="BO35" i="7"/>
  <c r="AF35" i="7"/>
  <c r="CB24" i="7"/>
  <c r="CC24" i="7"/>
  <c r="CA24" i="7"/>
  <c r="AA24" i="7"/>
  <c r="AC24" i="7" s="1"/>
  <c r="AH24" i="7" s="1"/>
  <c r="BZ24" i="7"/>
  <c r="BP24" i="7"/>
  <c r="BS24" i="7" s="1"/>
  <c r="F22" i="7"/>
  <c r="D25" i="7" s="1"/>
  <c r="BT22" i="7"/>
  <c r="CA34" i="7"/>
  <c r="CC34" i="7"/>
  <c r="AA34" i="7"/>
  <c r="AI34" i="7" s="1"/>
  <c r="CB34" i="7"/>
  <c r="BZ34" i="7"/>
  <c r="BP34" i="7"/>
  <c r="BS34" i="7" s="1"/>
  <c r="BJ32" i="7"/>
  <c r="BK32" i="7" s="1"/>
  <c r="BL32" i="7" s="1"/>
  <c r="Z32" i="7"/>
  <c r="Y32" i="7"/>
  <c r="AF24" i="7"/>
  <c r="AG24" i="7" s="1"/>
  <c r="BO24" i="7"/>
  <c r="CD20" i="7" l="1"/>
  <c r="AD20" i="7" s="1"/>
  <c r="AE20" i="7" s="1"/>
  <c r="BI22" i="7"/>
  <c r="BF16" i="7"/>
  <c r="AZ22" i="7"/>
  <c r="AY25" i="7" s="1"/>
  <c r="BF20" i="7"/>
  <c r="AI16" i="7"/>
  <c r="AJ16" i="7" s="1"/>
  <c r="CD16" i="7"/>
  <c r="AD16" i="7" s="1"/>
  <c r="AE16" i="7" s="1"/>
  <c r="BE28" i="7"/>
  <c r="BC35" i="7"/>
  <c r="AG35" i="7"/>
  <c r="BE35" i="7" s="1"/>
  <c r="AB35" i="7"/>
  <c r="CD21" i="7"/>
  <c r="AD21" i="7" s="1"/>
  <c r="AE21" i="7" s="1"/>
  <c r="CD28" i="7"/>
  <c r="AD28" i="7" s="1"/>
  <c r="AE28" i="7" s="1"/>
  <c r="BF17" i="7"/>
  <c r="BE34" i="7"/>
  <c r="BB35" i="7"/>
  <c r="BI35" i="7"/>
  <c r="AI31" i="7"/>
  <c r="AJ31" i="7" s="1"/>
  <c r="AI24" i="7"/>
  <c r="AJ24" i="7" s="1"/>
  <c r="BP17" i="7"/>
  <c r="BS17" i="7" s="1"/>
  <c r="AA17" i="7"/>
  <c r="AI17" i="7" s="1"/>
  <c r="AJ17" i="7" s="1"/>
  <c r="CB17" i="7"/>
  <c r="CA17" i="7"/>
  <c r="CC17" i="7"/>
  <c r="CD24" i="7"/>
  <c r="AD24" i="7" s="1"/>
  <c r="AE24" i="7" s="1"/>
  <c r="AF32" i="7"/>
  <c r="AG32" i="7" s="1"/>
  <c r="BO32" i="7"/>
  <c r="BE31" i="7"/>
  <c r="BF31" i="7"/>
  <c r="AB32" i="7"/>
  <c r="BY32" i="7"/>
  <c r="BC32" i="7"/>
  <c r="J36" i="7"/>
  <c r="M36" i="7" s="1"/>
  <c r="N36" i="7" s="1"/>
  <c r="X36" i="7" s="1"/>
  <c r="Z18" i="7"/>
  <c r="Y18" i="7"/>
  <c r="AC28" i="7"/>
  <c r="AH28" i="7" s="1"/>
  <c r="CD34" i="7"/>
  <c r="AD34" i="7" s="1"/>
  <c r="AE34" i="7" s="1"/>
  <c r="CA35" i="7"/>
  <c r="CC35" i="7"/>
  <c r="AA35" i="7"/>
  <c r="AI35" i="7" s="1"/>
  <c r="CB35" i="7"/>
  <c r="BZ35" i="7"/>
  <c r="BP35" i="7"/>
  <c r="BS35" i="7" s="1"/>
  <c r="BE24" i="7"/>
  <c r="BF24" i="7"/>
  <c r="BD32" i="7"/>
  <c r="Z29" i="7"/>
  <c r="Y29" i="7"/>
  <c r="AC34" i="7"/>
  <c r="AH34" i="7" s="1"/>
  <c r="AJ34" i="7"/>
  <c r="L22" i="7"/>
  <c r="K22" i="7"/>
  <c r="G22" i="7"/>
  <c r="H22" i="7"/>
  <c r="I22" i="7" s="1"/>
  <c r="AC21" i="7"/>
  <c r="AH21" i="7" s="1"/>
  <c r="CD31" i="7"/>
  <c r="AD31" i="7" s="1"/>
  <c r="AE31" i="7" s="1"/>
  <c r="BB22" i="7" l="1"/>
  <c r="BJ22" i="7" s="1"/>
  <c r="BK22" i="7" s="1"/>
  <c r="BL22" i="7" s="1"/>
  <c r="BH22" i="7"/>
  <c r="BG25" i="7"/>
  <c r="BF35" i="7"/>
  <c r="AC17" i="7"/>
  <c r="AH17" i="7" s="1"/>
  <c r="BD35" i="7"/>
  <c r="BJ35" i="7"/>
  <c r="BK35" i="7" s="1"/>
  <c r="BL35" i="7" s="1"/>
  <c r="CD35" i="7"/>
  <c r="AD35" i="7" s="1"/>
  <c r="AE35" i="7" s="1"/>
  <c r="CD17" i="7"/>
  <c r="AD17" i="7" s="1"/>
  <c r="AE17" i="7" s="1"/>
  <c r="AF18" i="7"/>
  <c r="AG18" i="7" s="1"/>
  <c r="BO18" i="7"/>
  <c r="BE32" i="7"/>
  <c r="BF32" i="7"/>
  <c r="AC35" i="7"/>
  <c r="AH35" i="7" s="1"/>
  <c r="AJ35" i="7"/>
  <c r="BY18" i="7"/>
  <c r="AB18" i="7"/>
  <c r="BC18" i="7"/>
  <c r="BD18" i="7"/>
  <c r="Z36" i="7"/>
  <c r="Y36" i="7"/>
  <c r="BO29" i="7"/>
  <c r="AF29" i="7"/>
  <c r="AG29" i="7" s="1"/>
  <c r="J22" i="7"/>
  <c r="M22" i="7" s="1"/>
  <c r="N22" i="7" s="1"/>
  <c r="X22" i="7" s="1"/>
  <c r="BT25" i="7"/>
  <c r="F25" i="7"/>
  <c r="AB29" i="7"/>
  <c r="BY29" i="7"/>
  <c r="BC29" i="7"/>
  <c r="BD29" i="7"/>
  <c r="BZ32" i="7"/>
  <c r="CB32" i="7"/>
  <c r="CA32" i="7"/>
  <c r="AA32" i="7"/>
  <c r="AI32" i="7" s="1"/>
  <c r="AJ32" i="7" s="1"/>
  <c r="CC32" i="7"/>
  <c r="BP32" i="7"/>
  <c r="BS32" i="7" s="1"/>
  <c r="BA25" i="7" l="1"/>
  <c r="AZ25" i="7"/>
  <c r="AY26" i="7" s="1"/>
  <c r="BI36" i="7"/>
  <c r="BB36" i="7"/>
  <c r="BJ36" i="7" s="1"/>
  <c r="CD32" i="7"/>
  <c r="AD32" i="7" s="1"/>
  <c r="AE32" i="7" s="1"/>
  <c r="BE29" i="7"/>
  <c r="BF29" i="7"/>
  <c r="CA29" i="7"/>
  <c r="CB29" i="7"/>
  <c r="AA29" i="7"/>
  <c r="AI29" i="7" s="1"/>
  <c r="AJ29" i="7" s="1"/>
  <c r="CC29" i="7"/>
  <c r="BZ29" i="7"/>
  <c r="BP29" i="7"/>
  <c r="BS29" i="7" s="1"/>
  <c r="D26" i="7"/>
  <c r="K25" i="7"/>
  <c r="L25" i="7"/>
  <c r="G25" i="7"/>
  <c r="H25" i="7"/>
  <c r="I25" i="7" s="1"/>
  <c r="CC18" i="7"/>
  <c r="CB18" i="7"/>
  <c r="CA18" i="7"/>
  <c r="AA18" i="7"/>
  <c r="AI18" i="7" s="1"/>
  <c r="AJ18" i="7" s="1"/>
  <c r="BZ18" i="7"/>
  <c r="BP18" i="7"/>
  <c r="BS18" i="7" s="1"/>
  <c r="AC32" i="7"/>
  <c r="AH32" i="7" s="1"/>
  <c r="BO36" i="7"/>
  <c r="AF36" i="7"/>
  <c r="AG36" i="7" s="1"/>
  <c r="Z22" i="7"/>
  <c r="Y22" i="7"/>
  <c r="BY36" i="7"/>
  <c r="AB36" i="7"/>
  <c r="BC36" i="7"/>
  <c r="BE18" i="7"/>
  <c r="BF18" i="7"/>
  <c r="BG26" i="7" l="1"/>
  <c r="BH25" i="7"/>
  <c r="BB25" i="7"/>
  <c r="BJ25" i="7" s="1"/>
  <c r="BI25" i="7"/>
  <c r="BK36" i="7"/>
  <c r="BL36" i="7" s="1"/>
  <c r="BD36" i="7"/>
  <c r="CD29" i="7"/>
  <c r="AD29" i="7" s="1"/>
  <c r="AE29" i="7" s="1"/>
  <c r="CD18" i="7"/>
  <c r="AD18" i="7" s="1"/>
  <c r="AE18" i="7" s="1"/>
  <c r="BE36" i="7"/>
  <c r="BF36" i="7"/>
  <c r="AB22" i="7"/>
  <c r="BY22" i="7"/>
  <c r="BC22" i="7"/>
  <c r="BD22" i="7"/>
  <c r="CA36" i="7"/>
  <c r="CC36" i="7"/>
  <c r="AA36" i="7"/>
  <c r="AI36" i="7" s="1"/>
  <c r="CB36" i="7"/>
  <c r="BZ36" i="7"/>
  <c r="BP36" i="7"/>
  <c r="BS36" i="7" s="1"/>
  <c r="BO22" i="7"/>
  <c r="AF22" i="7"/>
  <c r="AG22" i="7" s="1"/>
  <c r="AC18" i="7"/>
  <c r="AH18" i="7" s="1"/>
  <c r="J25" i="7"/>
  <c r="M25" i="7" s="1"/>
  <c r="N25" i="7" s="1"/>
  <c r="X25" i="7" s="1"/>
  <c r="BT26" i="7"/>
  <c r="F26" i="7"/>
  <c r="D37" i="7" s="1"/>
  <c r="F37" i="7" s="1"/>
  <c r="D38" i="7" s="1"/>
  <c r="AC29" i="7"/>
  <c r="AH29" i="7" s="1"/>
  <c r="BT38" i="7" l="1"/>
  <c r="F38" i="7"/>
  <c r="BK25" i="7"/>
  <c r="BL25" i="7" s="1"/>
  <c r="AZ26" i="7"/>
  <c r="AY37" i="7" s="1"/>
  <c r="BA37" i="7" s="1"/>
  <c r="BA26" i="7"/>
  <c r="BE22" i="7"/>
  <c r="BF22" i="7"/>
  <c r="L26" i="7"/>
  <c r="K26" i="7"/>
  <c r="G26" i="7"/>
  <c r="H26" i="7"/>
  <c r="AC36" i="7"/>
  <c r="AH36" i="7" s="1"/>
  <c r="AJ36" i="7"/>
  <c r="Z25" i="7"/>
  <c r="Y25" i="7"/>
  <c r="CD36" i="7"/>
  <c r="AD36" i="7" s="1"/>
  <c r="AE36" i="7" s="1"/>
  <c r="AA22" i="7"/>
  <c r="AI22" i="7" s="1"/>
  <c r="AJ22" i="7" s="1"/>
  <c r="BP22" i="7"/>
  <c r="BS22" i="7" s="1"/>
  <c r="BZ22" i="7"/>
  <c r="CC22" i="7"/>
  <c r="CB22" i="7"/>
  <c r="CA22" i="7"/>
  <c r="BT39" i="7" l="1"/>
  <c r="D39" i="7"/>
  <c r="F39" i="7" s="1"/>
  <c r="L38" i="7"/>
  <c r="K38" i="7"/>
  <c r="G38" i="7"/>
  <c r="H38" i="7"/>
  <c r="I38" i="7" s="1"/>
  <c r="J38" i="7" s="1"/>
  <c r="BG37" i="7"/>
  <c r="BH26" i="7"/>
  <c r="BI26" i="7"/>
  <c r="BB26" i="7"/>
  <c r="BJ26" i="7" s="1"/>
  <c r="CD22" i="7"/>
  <c r="AD22" i="7" s="1"/>
  <c r="AE22" i="7" s="1"/>
  <c r="I26" i="7"/>
  <c r="J26" i="7" s="1"/>
  <c r="M26" i="7" s="1"/>
  <c r="N26" i="7" s="1"/>
  <c r="X26" i="7" s="1"/>
  <c r="BT37" i="7"/>
  <c r="AC22" i="7"/>
  <c r="AH22" i="7" s="1"/>
  <c r="BO25" i="7"/>
  <c r="AF25" i="7"/>
  <c r="AG25" i="7" s="1"/>
  <c r="BY25" i="7"/>
  <c r="AB25" i="7"/>
  <c r="BC25" i="7"/>
  <c r="BD25" i="7"/>
  <c r="M38" i="7" l="1"/>
  <c r="N38" i="7" s="1"/>
  <c r="X38" i="7" s="1"/>
  <c r="D40" i="7"/>
  <c r="K39" i="7"/>
  <c r="L39" i="7"/>
  <c r="H39" i="7"/>
  <c r="I39" i="7" s="1"/>
  <c r="J39" i="7" s="1"/>
  <c r="M39" i="7" s="1"/>
  <c r="N39" i="7" s="1"/>
  <c r="X39" i="7" s="1"/>
  <c r="G39" i="7"/>
  <c r="AZ37" i="7"/>
  <c r="BK26" i="7"/>
  <c r="BL26" i="7" s="1"/>
  <c r="Z26" i="7"/>
  <c r="Y26" i="7"/>
  <c r="BE25" i="7"/>
  <c r="BF25" i="7"/>
  <c r="K37" i="7"/>
  <c r="L37" i="7"/>
  <c r="G37" i="7"/>
  <c r="H37" i="7"/>
  <c r="I37" i="7" s="1"/>
  <c r="BZ25" i="7"/>
  <c r="CA25" i="7"/>
  <c r="AA25" i="7"/>
  <c r="AI25" i="7" s="1"/>
  <c r="AJ25" i="7" s="1"/>
  <c r="CC25" i="7"/>
  <c r="CB25" i="7"/>
  <c r="BP25" i="7"/>
  <c r="BS25" i="7" s="1"/>
  <c r="Y39" i="7" l="1"/>
  <c r="Z39" i="7"/>
  <c r="BT40" i="7"/>
  <c r="F40" i="7"/>
  <c r="Y38" i="7"/>
  <c r="Z38" i="7"/>
  <c r="BH37" i="7"/>
  <c r="AY38" i="7"/>
  <c r="BG38" i="7" s="1"/>
  <c r="BI37" i="7"/>
  <c r="BB37" i="7"/>
  <c r="BJ37" i="7" s="1"/>
  <c r="CD25" i="7"/>
  <c r="AD25" i="7" s="1"/>
  <c r="AE25" i="7" s="1"/>
  <c r="AF26" i="7"/>
  <c r="AG26" i="7" s="1"/>
  <c r="BO26" i="7"/>
  <c r="AC25" i="7"/>
  <c r="AH25" i="7" s="1"/>
  <c r="J37" i="7"/>
  <c r="M37" i="7" s="1"/>
  <c r="N37" i="7" s="1"/>
  <c r="X37" i="7" s="1"/>
  <c r="AB26" i="7"/>
  <c r="BY26" i="7"/>
  <c r="BC26" i="7"/>
  <c r="BD26" i="7"/>
  <c r="BY38" i="7" l="1"/>
  <c r="AB38" i="7"/>
  <c r="BO38" i="7"/>
  <c r="AF38" i="7"/>
  <c r="AG38" i="7" s="1"/>
  <c r="D41" i="7"/>
  <c r="K40" i="7"/>
  <c r="L40" i="7"/>
  <c r="H40" i="7"/>
  <c r="I40" i="7" s="1"/>
  <c r="G40" i="7"/>
  <c r="AB39" i="7"/>
  <c r="BY39" i="7"/>
  <c r="AF39" i="7"/>
  <c r="AG39" i="7" s="1"/>
  <c r="BO39" i="7"/>
  <c r="BK37" i="7"/>
  <c r="BL37" i="7" s="1"/>
  <c r="AZ38" i="7"/>
  <c r="BH38" i="7" s="1"/>
  <c r="BA38" i="7"/>
  <c r="CB26" i="7"/>
  <c r="BZ26" i="7"/>
  <c r="CC26" i="7"/>
  <c r="CA26" i="7"/>
  <c r="AA26" i="7"/>
  <c r="AI26" i="7" s="1"/>
  <c r="AJ26" i="7" s="1"/>
  <c r="BP26" i="7"/>
  <c r="BS26" i="7" s="1"/>
  <c r="Z37" i="7"/>
  <c r="Y37" i="7"/>
  <c r="BE26" i="7"/>
  <c r="BF26" i="7"/>
  <c r="J40" i="7" l="1"/>
  <c r="M40" i="7" s="1"/>
  <c r="N40" i="7" s="1"/>
  <c r="X40" i="7" s="1"/>
  <c r="BT41" i="7"/>
  <c r="F41" i="7"/>
  <c r="CA39" i="7"/>
  <c r="BP39" i="7"/>
  <c r="BS39" i="7" s="1"/>
  <c r="CB39" i="7"/>
  <c r="AA39" i="7"/>
  <c r="CC39" i="7"/>
  <c r="BZ39" i="7"/>
  <c r="AA38" i="7"/>
  <c r="CC38" i="7"/>
  <c r="BZ38" i="7"/>
  <c r="BP38" i="7"/>
  <c r="BS38" i="7" s="1"/>
  <c r="CB38" i="7"/>
  <c r="CD38" i="7" s="1"/>
  <c r="AD38" i="7" s="1"/>
  <c r="AE38" i="7" s="1"/>
  <c r="CA38" i="7"/>
  <c r="AY39" i="7"/>
  <c r="BG39" i="7" s="1"/>
  <c r="BI38" i="7"/>
  <c r="BB38" i="7"/>
  <c r="BC38" i="7"/>
  <c r="BE38" i="7"/>
  <c r="BY37" i="7"/>
  <c r="AB37" i="7"/>
  <c r="BC37" i="7"/>
  <c r="BD37" i="7"/>
  <c r="BO37" i="7"/>
  <c r="AF37" i="7"/>
  <c r="AG37" i="7" s="1"/>
  <c r="AC26" i="7"/>
  <c r="AH26" i="7" s="1"/>
  <c r="CD26" i="7"/>
  <c r="AD26" i="7" s="1"/>
  <c r="AE26" i="7" s="1"/>
  <c r="CD39" i="7" l="1"/>
  <c r="AD39" i="7" s="1"/>
  <c r="AE39" i="7" s="1"/>
  <c r="Z40" i="7"/>
  <c r="Y40" i="7"/>
  <c r="AC38" i="7"/>
  <c r="AH38" i="7" s="1"/>
  <c r="AI38" i="7"/>
  <c r="AJ38" i="7" s="1"/>
  <c r="AC39" i="7"/>
  <c r="AH39" i="7" s="1"/>
  <c r="AI39" i="7"/>
  <c r="AJ39" i="7" s="1"/>
  <c r="D42" i="7"/>
  <c r="L41" i="7"/>
  <c r="K41" i="7"/>
  <c r="G41" i="7"/>
  <c r="H41" i="7"/>
  <c r="I41" i="7" s="1"/>
  <c r="BJ38" i="7"/>
  <c r="BK38" i="7" s="1"/>
  <c r="BL38" i="7" s="1"/>
  <c r="BD38" i="7"/>
  <c r="BF38" i="7"/>
  <c r="AZ39" i="7"/>
  <c r="BH39" i="7" s="1"/>
  <c r="BA39" i="7"/>
  <c r="BE37" i="7"/>
  <c r="BF37" i="7"/>
  <c r="CB37" i="7"/>
  <c r="CA37" i="7"/>
  <c r="BZ37" i="7"/>
  <c r="AA37" i="7"/>
  <c r="AI37" i="7" s="1"/>
  <c r="CC37" i="7"/>
  <c r="BP37" i="7"/>
  <c r="BS37" i="7" s="1"/>
  <c r="BO40" i="7" l="1"/>
  <c r="AF40" i="7"/>
  <c r="AG40" i="7" s="1"/>
  <c r="AB40" i="7"/>
  <c r="BY40" i="7"/>
  <c r="BT42" i="7"/>
  <c r="F42" i="7"/>
  <c r="J41" i="7"/>
  <c r="M41" i="7" s="1"/>
  <c r="N41" i="7" s="1"/>
  <c r="X41" i="7" s="1"/>
  <c r="BB39" i="7"/>
  <c r="BI39" i="7"/>
  <c r="BC39" i="7"/>
  <c r="BE39" i="7"/>
  <c r="AY40" i="7"/>
  <c r="BG40" i="7" s="1"/>
  <c r="CD37" i="7"/>
  <c r="AD37" i="7" s="1"/>
  <c r="AE37" i="7" s="1"/>
  <c r="AC37" i="7"/>
  <c r="AH37" i="7" s="1"/>
  <c r="AJ37" i="7"/>
  <c r="Z41" i="7" l="1"/>
  <c r="Y41" i="7"/>
  <c r="D43" i="7"/>
  <c r="G42" i="7"/>
  <c r="L42" i="7"/>
  <c r="K42" i="7"/>
  <c r="H42" i="7"/>
  <c r="I42" i="7" s="1"/>
  <c r="AA40" i="7"/>
  <c r="BP40" i="7"/>
  <c r="BS40" i="7" s="1"/>
  <c r="CB40" i="7"/>
  <c r="CC40" i="7"/>
  <c r="CA40" i="7"/>
  <c r="BZ40" i="7"/>
  <c r="AZ40" i="7"/>
  <c r="BH40" i="7" s="1"/>
  <c r="BA40" i="7"/>
  <c r="BJ39" i="7"/>
  <c r="BK39" i="7" s="1"/>
  <c r="BL39" i="7" s="1"/>
  <c r="BD39" i="7"/>
  <c r="BF39" i="7"/>
  <c r="AC40" i="7" l="1"/>
  <c r="AH40" i="7" s="1"/>
  <c r="AI40" i="7"/>
  <c r="AJ40" i="7" s="1"/>
  <c r="BY41" i="7"/>
  <c r="AB41" i="7"/>
  <c r="J42" i="7"/>
  <c r="M42" i="7" s="1"/>
  <c r="N42" i="7" s="1"/>
  <c r="X42" i="7" s="1"/>
  <c r="BT43" i="7"/>
  <c r="F43" i="7"/>
  <c r="CD40" i="7"/>
  <c r="AD40" i="7" s="1"/>
  <c r="AE40" i="7" s="1"/>
  <c r="AF41" i="7"/>
  <c r="AG41" i="7" s="1"/>
  <c r="BO41" i="7"/>
  <c r="BI40" i="7"/>
  <c r="BB40" i="7"/>
  <c r="BC40" i="7"/>
  <c r="BE40" i="7"/>
  <c r="AY41" i="7"/>
  <c r="BG41" i="7" s="1"/>
  <c r="D44" i="7" l="1"/>
  <c r="H43" i="7"/>
  <c r="I43" i="7" s="1"/>
  <c r="J43" i="7" s="1"/>
  <c r="M43" i="7" s="1"/>
  <c r="N43" i="7" s="1"/>
  <c r="X43" i="7" s="1"/>
  <c r="L43" i="7"/>
  <c r="K43" i="7"/>
  <c r="G43" i="7"/>
  <c r="Y42" i="7"/>
  <c r="Z42" i="7"/>
  <c r="BZ41" i="7"/>
  <c r="CC41" i="7"/>
  <c r="BP41" i="7"/>
  <c r="BS41" i="7" s="1"/>
  <c r="CA41" i="7"/>
  <c r="CB41" i="7"/>
  <c r="AA41" i="7"/>
  <c r="BA41" i="7"/>
  <c r="AZ41" i="7"/>
  <c r="BH41" i="7" s="1"/>
  <c r="BJ40" i="7"/>
  <c r="BK40" i="7" s="1"/>
  <c r="BL40" i="7" s="1"/>
  <c r="BD40" i="7"/>
  <c r="BF40" i="7"/>
  <c r="BO42" i="7" l="1"/>
  <c r="AF42" i="7"/>
  <c r="AG42" i="7" s="1"/>
  <c r="BT44" i="7"/>
  <c r="F44" i="7"/>
  <c r="CD41" i="7"/>
  <c r="AD41" i="7" s="1"/>
  <c r="AE41" i="7" s="1"/>
  <c r="AB42" i="7"/>
  <c r="BY42" i="7"/>
  <c r="AC41" i="7"/>
  <c r="AH41" i="7" s="1"/>
  <c r="AI41" i="7"/>
  <c r="AJ41" i="7" s="1"/>
  <c r="Z43" i="7"/>
  <c r="Y43" i="7"/>
  <c r="AY42" i="7"/>
  <c r="BG42" i="7" s="1"/>
  <c r="BB41" i="7"/>
  <c r="BI41" i="7"/>
  <c r="BC41" i="7"/>
  <c r="BE41" i="7"/>
  <c r="CC42" i="7" l="1"/>
  <c r="CA42" i="7"/>
  <c r="BZ42" i="7"/>
  <c r="CB42" i="7"/>
  <c r="CD42" i="7" s="1"/>
  <c r="AD42" i="7" s="1"/>
  <c r="AE42" i="7" s="1"/>
  <c r="BP42" i="7"/>
  <c r="BS42" i="7" s="1"/>
  <c r="AA42" i="7"/>
  <c r="G44" i="7"/>
  <c r="L44" i="7"/>
  <c r="H44" i="7"/>
  <c r="I44" i="7" s="1"/>
  <c r="K44" i="7"/>
  <c r="BO43" i="7"/>
  <c r="AF43" i="7"/>
  <c r="AG43" i="7" s="1"/>
  <c r="BY43" i="7"/>
  <c r="AB43" i="7"/>
  <c r="AZ42" i="7"/>
  <c r="BH42" i="7" s="1"/>
  <c r="BA42" i="7"/>
  <c r="BJ41" i="7"/>
  <c r="BK41" i="7" s="1"/>
  <c r="BL41" i="7" s="1"/>
  <c r="BD41" i="7"/>
  <c r="BF41" i="7"/>
  <c r="BP43" i="7" l="1"/>
  <c r="BS43" i="7" s="1"/>
  <c r="CA43" i="7"/>
  <c r="AA43" i="7"/>
  <c r="CB43" i="7"/>
  <c r="CD43" i="7" s="1"/>
  <c r="AD43" i="7" s="1"/>
  <c r="AE43" i="7" s="1"/>
  <c r="BZ43" i="7"/>
  <c r="CC43" i="7"/>
  <c r="AC42" i="7"/>
  <c r="AH42" i="7" s="1"/>
  <c r="AI42" i="7"/>
  <c r="AJ42" i="7" s="1"/>
  <c r="J44" i="7"/>
  <c r="M44" i="7" s="1"/>
  <c r="N44" i="7" s="1"/>
  <c r="X44" i="7" s="1"/>
  <c r="BI42" i="7"/>
  <c r="BB42" i="7"/>
  <c r="BC42" i="7"/>
  <c r="BE42" i="7"/>
  <c r="AY43" i="7"/>
  <c r="BG43" i="7" s="1"/>
  <c r="Y44" i="7" l="1"/>
  <c r="Z44" i="7"/>
  <c r="AC43" i="7"/>
  <c r="AH43" i="7" s="1"/>
  <c r="AI43" i="7"/>
  <c r="AJ43" i="7" s="1"/>
  <c r="AZ43" i="7"/>
  <c r="BH43" i="7" s="1"/>
  <c r="BA43" i="7"/>
  <c r="BJ42" i="7"/>
  <c r="BK42" i="7" s="1"/>
  <c r="BL42" i="7" s="1"/>
  <c r="BD42" i="7"/>
  <c r="BF42" i="7"/>
  <c r="AF44" i="7" l="1"/>
  <c r="AG44" i="7" s="1"/>
  <c r="BO44" i="7"/>
  <c r="BY44" i="7"/>
  <c r="AB44" i="7"/>
  <c r="BI43" i="7"/>
  <c r="BB43" i="7"/>
  <c r="BC43" i="7"/>
  <c r="BE43" i="7"/>
  <c r="AY44" i="7"/>
  <c r="BG44" i="7" s="1"/>
  <c r="BP44" i="7" l="1"/>
  <c r="BS44" i="7" s="1"/>
  <c r="AA44" i="7"/>
  <c r="CB44" i="7"/>
  <c r="BZ44" i="7"/>
  <c r="CC44" i="7"/>
  <c r="CA44" i="7"/>
  <c r="BJ43" i="7"/>
  <c r="BK43" i="7" s="1"/>
  <c r="BL43" i="7" s="1"/>
  <c r="BD43" i="7"/>
  <c r="BF43" i="7"/>
  <c r="AZ44" i="7"/>
  <c r="BH44" i="7" s="1"/>
  <c r="BA44" i="7"/>
  <c r="CD44" i="7" l="1"/>
  <c r="AD44" i="7" s="1"/>
  <c r="AE44" i="7" s="1"/>
  <c r="AC44" i="7"/>
  <c r="AH44" i="7" s="1"/>
  <c r="AI44" i="7"/>
  <c r="AJ44" i="7" s="1"/>
  <c r="BB44" i="7"/>
  <c r="BI44" i="7"/>
  <c r="BC44" i="7"/>
  <c r="BE44" i="7"/>
  <c r="BJ44" i="7" l="1"/>
  <c r="BK44" i="7" s="1"/>
  <c r="BL44" i="7" s="1"/>
  <c r="BD44" i="7"/>
  <c r="BF44" i="7"/>
</calcChain>
</file>

<file path=xl/comments1.xml><?xml version="1.0" encoding="utf-8"?>
<comments xmlns="http://schemas.openxmlformats.org/spreadsheetml/2006/main">
  <authors>
    <author>Jorge Restrepo</author>
  </authors>
  <commentList>
    <comment ref="Y13" authorId="0" shapeId="0">
      <text>
        <r>
          <rPr>
            <b/>
            <sz val="8"/>
            <color indexed="81"/>
            <rFont val="Tahoma"/>
            <family val="2"/>
          </rPr>
          <t>Jorge Restrepo:</t>
        </r>
        <r>
          <rPr>
            <sz val="8"/>
            <color indexed="81"/>
            <rFont val="Tahoma"/>
            <family val="2"/>
          </rPr>
          <t xml:space="preserve">
Vel. Min 0,75m/s
</t>
        </r>
      </text>
    </comment>
    <comment ref="AE13" authorId="0" shapeId="0">
      <text>
        <r>
          <rPr>
            <b/>
            <sz val="8"/>
            <color indexed="81"/>
            <rFont val="Tahoma"/>
            <family val="2"/>
          </rPr>
          <t>Jorge Restrepo: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Arial"/>
            <family val="2"/>
          </rPr>
          <t>ﺡ 1,5 N/m2 (0,15 Kg/m2) convencional 
3,08 N/m2 (0,3 Kg/m2) Lluvia</t>
        </r>
      </text>
    </comment>
  </commentList>
</comments>
</file>

<file path=xl/sharedStrings.xml><?xml version="1.0" encoding="utf-8"?>
<sst xmlns="http://schemas.openxmlformats.org/spreadsheetml/2006/main" count="625" uniqueCount="201">
  <si>
    <t>Q medio residual</t>
  </si>
  <si>
    <t>L/s</t>
  </si>
  <si>
    <t>Poblacion</t>
  </si>
  <si>
    <t>Area tributaria total</t>
  </si>
  <si>
    <t>Ha</t>
  </si>
  <si>
    <t>n</t>
  </si>
  <si>
    <t>Q infiltración</t>
  </si>
  <si>
    <t>L/s-Ha</t>
  </si>
  <si>
    <t>AREA TRIBUTARIA (Ha)</t>
  </si>
  <si>
    <t xml:space="preserve">Q medio residual </t>
  </si>
  <si>
    <t>Población servida</t>
  </si>
  <si>
    <t>F</t>
  </si>
  <si>
    <t>Qdiseño total</t>
  </si>
  <si>
    <t>L</t>
  </si>
  <si>
    <t>Φtub</t>
  </si>
  <si>
    <t>Sección plena</t>
  </si>
  <si>
    <t>Q/Qo</t>
  </si>
  <si>
    <t>d/D</t>
  </si>
  <si>
    <t>H/D</t>
  </si>
  <si>
    <t>R</t>
  </si>
  <si>
    <t>ﺡ</t>
  </si>
  <si>
    <t>d</t>
  </si>
  <si>
    <t>Vr</t>
  </si>
  <si>
    <t>V²/2g</t>
  </si>
  <si>
    <t>E</t>
  </si>
  <si>
    <t>H</t>
  </si>
  <si>
    <t>NF</t>
  </si>
  <si>
    <t>COTA BATEA</t>
  </si>
  <si>
    <t>OBSERVACION</t>
  </si>
  <si>
    <t xml:space="preserve">DE </t>
  </si>
  <si>
    <t>A</t>
  </si>
  <si>
    <t>Afluente</t>
  </si>
  <si>
    <t>TOTAL</t>
  </si>
  <si>
    <t>(m)</t>
  </si>
  <si>
    <t>Q (L/s)</t>
  </si>
  <si>
    <t>V (m/s)</t>
  </si>
  <si>
    <t>(m/s)</t>
  </si>
  <si>
    <t>INICIAL</t>
  </si>
  <si>
    <t>FINAL</t>
  </si>
  <si>
    <t>habitantes</t>
  </si>
  <si>
    <t>(L/seg-Ha)</t>
  </si>
  <si>
    <t xml:space="preserve">Q residual </t>
  </si>
  <si>
    <t>(pulg)</t>
  </si>
  <si>
    <t>P terreno</t>
  </si>
  <si>
    <t>Q conexiones erradas</t>
  </si>
  <si>
    <t xml:space="preserve">CUADRO DE CÁLCULO ALCANTARILLADO SANITARIO </t>
  </si>
  <si>
    <t>Hab/Ha</t>
  </si>
  <si>
    <t>Dotación</t>
  </si>
  <si>
    <t>h curva</t>
  </si>
  <si>
    <t>h total</t>
  </si>
  <si>
    <t>COTA LÁMINA DE AGUA</t>
  </si>
  <si>
    <t>COTA ENERGÍA</t>
  </si>
  <si>
    <t>PROFUNDIDAD A CLAVE</t>
  </si>
  <si>
    <t>( 1 )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</si>
  <si>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</si>
  <si>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</si>
  <si>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</si>
  <si>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</si>
  <si>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</si>
  <si>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</si>
  <si>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</si>
  <si>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</si>
  <si>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</si>
  <si>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</si>
  <si>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</si>
  <si>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</si>
  <si>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</si>
  <si>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</si>
  <si>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</si>
  <si>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</si>
  <si>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</si>
  <si>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</si>
  <si>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</si>
  <si>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</si>
  <si>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(23)</t>
  </si>
  <si>
    <t>(25)</t>
  </si>
  <si>
    <t>(26)</t>
  </si>
  <si>
    <t>(27)</t>
  </si>
  <si>
    <t>(28)</t>
  </si>
  <si>
    <t>(30)</t>
  </si>
  <si>
    <t>(31)</t>
  </si>
  <si>
    <t>(32)</t>
  </si>
  <si>
    <t>(33)</t>
  </si>
  <si>
    <t>(34)</t>
  </si>
  <si>
    <t>(35)</t>
  </si>
  <si>
    <t>(36)</t>
  </si>
  <si>
    <t>(37)</t>
  </si>
  <si>
    <t>(39)</t>
  </si>
  <si>
    <t>(40)</t>
  </si>
  <si>
    <t>(41)</t>
  </si>
  <si>
    <t>(46)</t>
  </si>
  <si>
    <t>(47)</t>
  </si>
  <si>
    <t>(48)</t>
  </si>
  <si>
    <t>(49)</t>
  </si>
  <si>
    <t>(50)</t>
  </si>
  <si>
    <t>(habitantes)</t>
  </si>
  <si>
    <t>(%)</t>
  </si>
  <si>
    <t>(L/s)</t>
  </si>
  <si>
    <t>0,319.Qs/Ds^2,5</t>
  </si>
  <si>
    <t>K</t>
  </si>
  <si>
    <t>Hw</t>
  </si>
  <si>
    <t>(38)</t>
  </si>
  <si>
    <t>(42</t>
  </si>
  <si>
    <t>(43)</t>
  </si>
  <si>
    <t>(44)</t>
  </si>
  <si>
    <t>(45)</t>
  </si>
  <si>
    <t>(51)</t>
  </si>
  <si>
    <t>(52)</t>
  </si>
  <si>
    <t>L/hab - día</t>
  </si>
  <si>
    <t>TRAMO</t>
  </si>
  <si>
    <t xml:space="preserve">Q residual Max. h </t>
  </si>
  <si>
    <t>(29)</t>
  </si>
  <si>
    <t>PROFUNDIDAD A BATEA</t>
  </si>
  <si>
    <t>(53)</t>
  </si>
  <si>
    <t>(54)</t>
  </si>
  <si>
    <t>Volumen excavación</t>
  </si>
  <si>
    <t>(m3)</t>
  </si>
  <si>
    <t>(55)</t>
  </si>
  <si>
    <t>Evaluación Fuerza Tractiva</t>
  </si>
  <si>
    <t>Evaluación Capacidad</t>
  </si>
  <si>
    <t>DIAM NOM</t>
  </si>
  <si>
    <t>DIAM INT</t>
  </si>
  <si>
    <t>q</t>
  </si>
  <si>
    <t>Rh</t>
  </si>
  <si>
    <t>P</t>
  </si>
  <si>
    <t>m</t>
  </si>
  <si>
    <t>Propia</t>
  </si>
  <si>
    <t>Φtub interior</t>
  </si>
  <si>
    <t>S tubería</t>
  </si>
  <si>
    <t>COTA CLAVE</t>
  </si>
  <si>
    <t>Reg. Flujo</t>
  </si>
  <si>
    <t>&gt;&lt; Critico</t>
  </si>
  <si>
    <t>Habitantes /Ha</t>
  </si>
  <si>
    <t>Coeficiente de retorno</t>
  </si>
  <si>
    <t>Material tubería</t>
  </si>
  <si>
    <t>DIAMETRO NOMINAL (pulg)</t>
  </si>
  <si>
    <t>DIAMETRO INTERNO</t>
  </si>
  <si>
    <t>Concreto (m)</t>
  </si>
  <si>
    <t>PVC (m)</t>
  </si>
  <si>
    <t>-</t>
  </si>
  <si>
    <t>(22)</t>
  </si>
  <si>
    <t>(24)</t>
  </si>
  <si>
    <t>(56)</t>
  </si>
  <si>
    <t>(57)</t>
  </si>
  <si>
    <t>Rc/Ds</t>
  </si>
  <si>
    <t>Dp</t>
  </si>
  <si>
    <t>h transición</t>
  </si>
  <si>
    <t>Vmedia</t>
  </si>
  <si>
    <t>m/s</t>
  </si>
  <si>
    <t>Yc</t>
  </si>
  <si>
    <t>Ac</t>
  </si>
  <si>
    <t>INICIO 1</t>
  </si>
  <si>
    <t>(58)</t>
  </si>
  <si>
    <t>FLUJO SUPERCRÍTICO</t>
  </si>
  <si>
    <t>Hc</t>
  </si>
  <si>
    <t>He</t>
  </si>
  <si>
    <t xml:space="preserve">FLUJO SUBCRÍTICO </t>
  </si>
  <si>
    <t>(59)</t>
  </si>
  <si>
    <t>(60)</t>
  </si>
  <si>
    <t>(Kg/m2)</t>
  </si>
  <si>
    <t xml:space="preserve">Nivel de complejidad </t>
  </si>
  <si>
    <t>Periodo de Diseño</t>
  </si>
  <si>
    <t>ALTO</t>
  </si>
  <si>
    <t>PVC</t>
  </si>
  <si>
    <t>P11</t>
  </si>
  <si>
    <t>P12</t>
  </si>
  <si>
    <t>P13</t>
  </si>
  <si>
    <t>P18</t>
  </si>
  <si>
    <t>P19</t>
  </si>
  <si>
    <t>P17</t>
  </si>
  <si>
    <t>P24</t>
  </si>
  <si>
    <t>P23</t>
  </si>
  <si>
    <t>P25</t>
  </si>
  <si>
    <t>P31</t>
  </si>
  <si>
    <t>P29</t>
  </si>
  <si>
    <t>P30</t>
  </si>
  <si>
    <t>P36</t>
  </si>
  <si>
    <t>P37</t>
  </si>
  <si>
    <t>P35</t>
  </si>
  <si>
    <t>P33</t>
  </si>
  <si>
    <t>P34</t>
  </si>
  <si>
    <t>COTA RASANTE ORIGINAL</t>
  </si>
  <si>
    <t>COTA RASANTE NECESARIA</t>
  </si>
  <si>
    <t>Subcrítico</t>
  </si>
  <si>
    <t>Sección plena a tubo lleno</t>
  </si>
  <si>
    <t>PZA</t>
  </si>
  <si>
    <t>PZB</t>
  </si>
  <si>
    <t>PZC</t>
  </si>
  <si>
    <t>PZD</t>
  </si>
  <si>
    <t>PZE</t>
  </si>
  <si>
    <t>PZF</t>
  </si>
  <si>
    <t>PZG</t>
  </si>
  <si>
    <t>PF</t>
  </si>
  <si>
    <t>Supercrítico</t>
  </si>
  <si>
    <r>
      <t>f</t>
    </r>
    <r>
      <rPr>
        <sz val="10"/>
        <color theme="1"/>
        <rFont val="Arial"/>
        <family val="2"/>
      </rPr>
      <t xml:space="preserve"> POZO</t>
    </r>
  </si>
  <si>
    <r>
      <t>f</t>
    </r>
    <r>
      <rPr>
        <sz val="10"/>
        <color theme="1"/>
        <rFont val="Arial"/>
        <family val="2"/>
      </rPr>
      <t xml:space="preserve"> SALIDA</t>
    </r>
  </si>
  <si>
    <t>CUADRO DE CÁLCULO ALCANTARILLADO SANITARIO - ANA GILMA</t>
  </si>
  <si>
    <t xml:space="preserve">Elaborado por: </t>
  </si>
  <si>
    <t>BIVIANA PISCO GARZÓN</t>
  </si>
  <si>
    <t>ANDRÉS ALBERTO CAICEDO TOLEDO</t>
  </si>
  <si>
    <t>CRISTIAN CAMILO CALDERÓN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</si>
</sst>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 * #,##0.00_ ;_ * \-#,##0.00_ ;_ * &quot;-&quot;??_ ;_ @_ "/>
    <numFmt numFmtId="165" formatCode="0.0"/>
    <numFmt numFmtId="166" formatCode="0.0000"/>
    <numFmt numFmtId="167" formatCode="#,##0.000"/>
    <numFmt numFmtId="168" formatCode="0.000"/>
    <numFmt numFmtId="169" formatCode="0_)"/>
    <numFmt numFmtId="170" formatCode="0.00_)"/>
    <numFmt numFmtId="171" formatCode="#,##0.000;[Red]\-#,##0.000"/>
    <numFmt numFmtId="172" formatCode="0.0000_)"/>
    <numFmt numFmtId="173" formatCode="General_)"/>
    <numFmt numFmtId="174" formatCode="General\ &quot;años&quot;"/>
    <numFmt numFmtId="175" formatCode="0.00\ &quot;M&quot;"/>
  </numFmts>
  <fonts count="20" x14ac:knownFonts="1">
    <font>
      <sz val="10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8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Symbol"/>
      <family val="1"/>
      <charset val="2"/>
    </font>
    <font>
      <b/>
      <sz val="20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73" fontId="7" fillId="0" borderId="0"/>
    <xf numFmtId="170" fontId="7" fillId="0" borderId="0"/>
  </cellStyleXfs>
  <cellXfs count="260">
    <xf numFmtId="0" fontId="0" fillId="0" borderId="0" xfId="0"/>
    <xf numFmtId="0" fontId="0" fillId="0" borderId="0" xfId="0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3" borderId="7" xfId="0" applyNumberForma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166" fontId="10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168" fontId="9" fillId="0" borderId="8" xfId="0" applyNumberFormat="1" applyFont="1" applyFill="1" applyBorder="1" applyAlignment="1" applyProtection="1">
      <alignment horizontal="center" vertical="center"/>
      <protection locked="0"/>
    </xf>
    <xf numFmtId="168" fontId="10" fillId="0" borderId="7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168" fontId="10" fillId="0" borderId="8" xfId="0" applyNumberFormat="1" applyFont="1" applyFill="1" applyBorder="1" applyAlignment="1">
      <alignment horizontal="center" vertical="center"/>
    </xf>
    <xf numFmtId="167" fontId="10" fillId="0" borderId="8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165" fontId="10" fillId="0" borderId="8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70" fontId="10" fillId="0" borderId="7" xfId="3" applyFont="1" applyFill="1" applyBorder="1" applyAlignment="1" applyProtection="1">
      <alignment horizontal="center" vertical="center" wrapText="1"/>
    </xf>
    <xf numFmtId="168" fontId="9" fillId="0" borderId="18" xfId="0" applyNumberFormat="1" applyFont="1" applyFill="1" applyBorder="1" applyAlignment="1" applyProtection="1">
      <alignment horizontal="center" vertical="center"/>
      <protection locked="0"/>
    </xf>
    <xf numFmtId="168" fontId="9" fillId="0" borderId="25" xfId="0" applyNumberFormat="1" applyFont="1" applyFill="1" applyBorder="1" applyAlignment="1" applyProtection="1">
      <alignment horizontal="center" vertical="center"/>
      <protection locked="0"/>
    </xf>
    <xf numFmtId="166" fontId="10" fillId="0" borderId="7" xfId="0" applyNumberFormat="1" applyFont="1" applyFill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2" fontId="10" fillId="0" borderId="7" xfId="0" applyNumberFormat="1" applyFont="1" applyFill="1" applyBorder="1" applyAlignment="1">
      <alignment horizontal="center"/>
    </xf>
    <xf numFmtId="0" fontId="9" fillId="0" borderId="8" xfId="0" applyFont="1" applyFill="1" applyBorder="1" applyAlignment="1" applyProtection="1">
      <alignment horizontal="center"/>
      <protection locked="0"/>
    </xf>
    <xf numFmtId="169" fontId="9" fillId="0" borderId="24" xfId="0" applyNumberFormat="1" applyFont="1" applyFill="1" applyBorder="1" applyAlignment="1" applyProtection="1">
      <alignment horizontal="center"/>
      <protection locked="0"/>
    </xf>
    <xf numFmtId="169" fontId="9" fillId="0" borderId="8" xfId="0" applyNumberFormat="1" applyFont="1" applyFill="1" applyBorder="1" applyAlignment="1" applyProtection="1">
      <alignment horizontal="center"/>
      <protection locked="0"/>
    </xf>
    <xf numFmtId="170" fontId="9" fillId="0" borderId="8" xfId="0" applyNumberFormat="1" applyFont="1" applyFill="1" applyBorder="1" applyAlignment="1" applyProtection="1">
      <alignment horizontal="center"/>
      <protection locked="0"/>
    </xf>
    <xf numFmtId="171" fontId="9" fillId="0" borderId="8" xfId="1" applyNumberFormat="1" applyFont="1" applyFill="1" applyBorder="1" applyAlignment="1" applyProtection="1">
      <alignment horizontal="center"/>
      <protection locked="0"/>
    </xf>
    <xf numFmtId="172" fontId="9" fillId="0" borderId="8" xfId="0" applyNumberFormat="1" applyFont="1" applyFill="1" applyBorder="1" applyAlignment="1" applyProtection="1">
      <alignment horizontal="center"/>
      <protection locked="0"/>
    </xf>
    <xf numFmtId="0" fontId="9" fillId="0" borderId="4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75" fontId="10" fillId="0" borderId="7" xfId="0" applyNumberFormat="1" applyFont="1" applyFill="1" applyBorder="1" applyAlignment="1">
      <alignment horizontal="center" vertical="center"/>
    </xf>
    <xf numFmtId="168" fontId="10" fillId="0" borderId="7" xfId="2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/>
    <xf numFmtId="4" fontId="10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  <protection locked="0"/>
    </xf>
    <xf numFmtId="168" fontId="9" fillId="0" borderId="7" xfId="0" applyNumberFormat="1" applyFont="1" applyFill="1" applyBorder="1" applyAlignment="1" applyProtection="1">
      <alignment horizontal="center" vertical="center"/>
      <protection locked="0"/>
    </xf>
    <xf numFmtId="168" fontId="9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>
      <alignment horizontal="center" vertical="center"/>
    </xf>
    <xf numFmtId="2" fontId="10" fillId="0" borderId="48" xfId="0" applyNumberFormat="1" applyFont="1" applyFill="1" applyBorder="1" applyAlignment="1">
      <alignment horizontal="center" vertical="center"/>
    </xf>
    <xf numFmtId="4" fontId="10" fillId="0" borderId="48" xfId="0" applyNumberFormat="1" applyFont="1" applyFill="1" applyBorder="1" applyAlignment="1">
      <alignment horizontal="center" vertical="center"/>
    </xf>
    <xf numFmtId="166" fontId="10" fillId="0" borderId="48" xfId="0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168" fontId="9" fillId="0" borderId="48" xfId="0" applyNumberFormat="1" applyFont="1" applyFill="1" applyBorder="1" applyAlignment="1" applyProtection="1">
      <alignment horizontal="center" vertical="center"/>
      <protection locked="0"/>
    </xf>
    <xf numFmtId="168" fontId="10" fillId="0" borderId="48" xfId="0" applyNumberFormat="1" applyFont="1" applyFill="1" applyBorder="1" applyAlignment="1">
      <alignment horizontal="center" vertical="center"/>
    </xf>
    <xf numFmtId="168" fontId="9" fillId="0" borderId="49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>
      <alignment horizontal="center"/>
    </xf>
    <xf numFmtId="167" fontId="10" fillId="0" borderId="2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justify" vertical="center"/>
    </xf>
    <xf numFmtId="3" fontId="11" fillId="0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168" fontId="11" fillId="0" borderId="7" xfId="0" applyNumberFormat="1" applyFont="1" applyFill="1" applyBorder="1" applyAlignment="1">
      <alignment horizontal="center" vertical="center"/>
    </xf>
    <xf numFmtId="174" fontId="8" fillId="0" borderId="7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justify" vertical="center"/>
    </xf>
    <xf numFmtId="168" fontId="11" fillId="0" borderId="0" xfId="0" applyNumberFormat="1" applyFont="1" applyFill="1" applyBorder="1" applyAlignment="1">
      <alignment horizontal="justify" vertical="center"/>
    </xf>
    <xf numFmtId="0" fontId="15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justify" vertical="center"/>
    </xf>
    <xf numFmtId="168" fontId="9" fillId="0" borderId="0" xfId="0" applyNumberFormat="1" applyFont="1" applyFill="1" applyBorder="1"/>
    <xf numFmtId="0" fontId="11" fillId="0" borderId="0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8" fillId="4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 applyProtection="1">
      <alignment horizontal="center" vertical="center" wrapText="1"/>
      <protection locked="0"/>
    </xf>
    <xf numFmtId="0" fontId="17" fillId="4" borderId="22" xfId="0" applyFont="1" applyFill="1" applyBorder="1" applyAlignment="1" applyProtection="1">
      <alignment horizontal="center" vertical="center" wrapText="1"/>
      <protection locked="0"/>
    </xf>
    <xf numFmtId="0" fontId="9" fillId="4" borderId="2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 wrapText="1"/>
    </xf>
    <xf numFmtId="0" fontId="8" fillId="4" borderId="13" xfId="0" applyNumberFormat="1" applyFont="1" applyFill="1" applyBorder="1" applyAlignment="1">
      <alignment horizontal="center" vertical="center" wrapText="1"/>
    </xf>
    <xf numFmtId="0" fontId="8" fillId="4" borderId="9" xfId="0" applyNumberFormat="1" applyFont="1" applyFill="1" applyBorder="1" applyAlignment="1">
      <alignment horizontal="center" vertical="center" wrapText="1"/>
    </xf>
    <xf numFmtId="0" fontId="8" fillId="4" borderId="16" xfId="0" applyNumberFormat="1" applyFont="1" applyFill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center" vertical="center" wrapText="1"/>
    </xf>
    <xf numFmtId="0" fontId="9" fillId="4" borderId="26" xfId="0" applyFont="1" applyFill="1" applyBorder="1" applyAlignment="1" applyProtection="1">
      <alignment horizontal="center" vertical="center"/>
      <protection locked="0"/>
    </xf>
    <xf numFmtId="0" fontId="8" fillId="4" borderId="8" xfId="0" applyNumberFormat="1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 applyProtection="1">
      <alignment horizontal="center" vertical="center" wrapText="1"/>
      <protection locked="0"/>
    </xf>
    <xf numFmtId="169" fontId="9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27" xfId="0" applyFont="1" applyFill="1" applyBorder="1" applyAlignment="1" applyProtection="1">
      <alignment horizontal="center" vertical="center" wrapText="1"/>
      <protection locked="0"/>
    </xf>
    <xf numFmtId="0" fontId="9" fillId="4" borderId="28" xfId="0" applyFont="1" applyFill="1" applyBorder="1" applyAlignment="1" applyProtection="1">
      <alignment horizontal="center" vertical="center" wrapText="1"/>
      <protection locked="0"/>
    </xf>
    <xf numFmtId="49" fontId="8" fillId="4" borderId="40" xfId="0" applyNumberFormat="1" applyFont="1" applyFill="1" applyBorder="1" applyAlignment="1">
      <alignment horizontal="center"/>
    </xf>
    <xf numFmtId="49" fontId="8" fillId="4" borderId="11" xfId="0" applyNumberFormat="1" applyFont="1" applyFill="1" applyBorder="1" applyAlignment="1">
      <alignment horizontal="center"/>
    </xf>
    <xf numFmtId="49" fontId="8" fillId="4" borderId="9" xfId="0" applyNumberFormat="1" applyFont="1" applyFill="1" applyBorder="1" applyAlignment="1">
      <alignment horizontal="center"/>
    </xf>
    <xf numFmtId="49" fontId="8" fillId="4" borderId="14" xfId="0" applyNumberFormat="1" applyFont="1" applyFill="1" applyBorder="1" applyAlignment="1">
      <alignment horizontal="center"/>
    </xf>
    <xf numFmtId="49" fontId="8" fillId="4" borderId="16" xfId="0" applyNumberFormat="1" applyFont="1" applyFill="1" applyBorder="1" applyAlignment="1">
      <alignment horizontal="center"/>
    </xf>
    <xf numFmtId="49" fontId="8" fillId="4" borderId="19" xfId="0" applyNumberFormat="1" applyFont="1" applyFill="1" applyBorder="1" applyAlignment="1">
      <alignment horizontal="center"/>
    </xf>
    <xf numFmtId="49" fontId="8" fillId="4" borderId="15" xfId="0" applyNumberFormat="1" applyFont="1" applyFill="1" applyBorder="1" applyAlignment="1">
      <alignment horizontal="center"/>
    </xf>
    <xf numFmtId="49" fontId="8" fillId="4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justify" vertical="center"/>
    </xf>
    <xf numFmtId="0" fontId="11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justify" vertical="center"/>
    </xf>
    <xf numFmtId="2" fontId="11" fillId="0" borderId="48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vertical="center"/>
    </xf>
    <xf numFmtId="0" fontId="15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justify" vertical="center"/>
    </xf>
    <xf numFmtId="17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13" xfId="0" applyNumberFormat="1" applyFont="1" applyFill="1" applyBorder="1" applyAlignment="1">
      <alignment horizontal="center" vertical="center" wrapText="1"/>
    </xf>
    <xf numFmtId="0" fontId="8" fillId="5" borderId="9" xfId="0" applyNumberFormat="1" applyFont="1" applyFill="1" applyBorder="1" applyAlignment="1">
      <alignment horizontal="center" vertical="center" wrapText="1"/>
    </xf>
    <xf numFmtId="49" fontId="8" fillId="5" borderId="40" xfId="0" applyNumberFormat="1" applyFont="1" applyFill="1" applyBorder="1" applyAlignment="1">
      <alignment horizontal="center"/>
    </xf>
    <xf numFmtId="49" fontId="8" fillId="5" borderId="46" xfId="0" applyNumberFormat="1" applyFont="1" applyFill="1" applyBorder="1" applyAlignment="1">
      <alignment horizontal="center"/>
    </xf>
    <xf numFmtId="49" fontId="8" fillId="5" borderId="10" xfId="0" applyNumberFormat="1" applyFont="1" applyFill="1" applyBorder="1" applyAlignment="1">
      <alignment horizontal="center"/>
    </xf>
    <xf numFmtId="49" fontId="8" fillId="5" borderId="5" xfId="0" applyNumberFormat="1" applyFont="1" applyFill="1" applyBorder="1" applyAlignment="1">
      <alignment horizontal="center"/>
    </xf>
    <xf numFmtId="167" fontId="10" fillId="0" borderId="7" xfId="0" applyNumberFormat="1" applyFont="1" applyFill="1" applyBorder="1" applyAlignment="1">
      <alignment horizontal="center" vertical="center"/>
    </xf>
    <xf numFmtId="165" fontId="10" fillId="0" borderId="7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 vertical="center" wrapText="1"/>
    </xf>
    <xf numFmtId="167" fontId="10" fillId="0" borderId="48" xfId="0" applyNumberFormat="1" applyFont="1" applyFill="1" applyBorder="1" applyAlignment="1">
      <alignment horizontal="center" vertical="center"/>
    </xf>
    <xf numFmtId="3" fontId="10" fillId="0" borderId="48" xfId="0" applyNumberFormat="1" applyFont="1" applyFill="1" applyBorder="1" applyAlignment="1">
      <alignment horizontal="center" vertical="center"/>
    </xf>
    <xf numFmtId="165" fontId="10" fillId="0" borderId="48" xfId="0" applyNumberFormat="1" applyFont="1" applyFill="1" applyBorder="1" applyAlignment="1">
      <alignment horizontal="center" vertical="center"/>
    </xf>
    <xf numFmtId="168" fontId="10" fillId="0" borderId="48" xfId="2" applyNumberFormat="1" applyFont="1" applyFill="1" applyBorder="1" applyAlignment="1" applyProtection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8" fontId="10" fillId="0" borderId="0" xfId="2" applyNumberFormat="1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5" borderId="3" xfId="0" applyNumberFormat="1" applyFont="1" applyFill="1" applyBorder="1" applyAlignment="1">
      <alignment horizontal="center" vertical="center" wrapText="1"/>
    </xf>
    <xf numFmtId="0" fontId="8" fillId="5" borderId="44" xfId="0" applyNumberFormat="1" applyFont="1" applyFill="1" applyBorder="1" applyAlignment="1">
      <alignment horizontal="center" vertical="center" wrapText="1"/>
    </xf>
    <xf numFmtId="49" fontId="8" fillId="5" borderId="37" xfId="0" applyNumberFormat="1" applyFont="1" applyFill="1" applyBorder="1" applyAlignment="1">
      <alignment horizontal="center"/>
    </xf>
    <xf numFmtId="49" fontId="8" fillId="5" borderId="43" xfId="0" applyNumberFormat="1" applyFont="1" applyFill="1" applyBorder="1" applyAlignment="1">
      <alignment horizontal="center"/>
    </xf>
    <xf numFmtId="49" fontId="8" fillId="5" borderId="20" xfId="0" applyNumberFormat="1" applyFont="1" applyFill="1" applyBorder="1" applyAlignment="1">
      <alignment horizontal="center"/>
    </xf>
    <xf numFmtId="49" fontId="8" fillId="5" borderId="45" xfId="0" applyNumberFormat="1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 applyProtection="1">
      <alignment horizontal="center" vertical="center"/>
      <protection locked="0"/>
    </xf>
    <xf numFmtId="0" fontId="8" fillId="5" borderId="7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49" fontId="8" fillId="5" borderId="41" xfId="0" applyNumberFormat="1" applyFont="1" applyFill="1" applyBorder="1" applyAlignment="1">
      <alignment horizontal="center"/>
    </xf>
    <xf numFmtId="49" fontId="8" fillId="5" borderId="7" xfId="0" applyNumberFormat="1" applyFont="1" applyFill="1" applyBorder="1" applyAlignment="1">
      <alignment horizontal="center"/>
    </xf>
    <xf numFmtId="49" fontId="8" fillId="5" borderId="6" xfId="0" applyNumberFormat="1" applyFont="1" applyFill="1" applyBorder="1" applyAlignment="1">
      <alignment horizontal="center"/>
    </xf>
    <xf numFmtId="2" fontId="10" fillId="0" borderId="6" xfId="0" applyNumberFormat="1" applyFont="1" applyFill="1" applyBorder="1" applyAlignment="1">
      <alignment horizontal="center" vertical="center"/>
    </xf>
    <xf numFmtId="2" fontId="10" fillId="0" borderId="49" xfId="0" applyNumberFormat="1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 vertical="center" wrapText="1"/>
    </xf>
    <xf numFmtId="0" fontId="12" fillId="4" borderId="22" xfId="0" applyFont="1" applyFill="1" applyBorder="1" applyAlignment="1" applyProtection="1">
      <alignment horizontal="center" vertical="center" wrapText="1"/>
      <protection locked="0"/>
    </xf>
    <xf numFmtId="0" fontId="12" fillId="4" borderId="27" xfId="0" applyFont="1" applyFill="1" applyBorder="1" applyAlignment="1" applyProtection="1">
      <alignment horizontal="center" vertical="center" wrapText="1"/>
      <protection locked="0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 applyProtection="1">
      <alignment horizontal="center" vertical="center" wrapText="1"/>
      <protection locked="0"/>
    </xf>
    <xf numFmtId="0" fontId="12" fillId="4" borderId="30" xfId="0" applyFont="1" applyFill="1" applyBorder="1" applyAlignment="1" applyProtection="1">
      <alignment horizontal="center" vertical="center" wrapText="1"/>
      <protection locked="0"/>
    </xf>
    <xf numFmtId="0" fontId="16" fillId="4" borderId="38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50" xfId="0" applyFont="1" applyFill="1" applyBorder="1" applyAlignment="1">
      <alignment horizontal="left" vertical="center"/>
    </xf>
    <xf numFmtId="0" fontId="8" fillId="5" borderId="42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12" fillId="5" borderId="39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left" vertical="center"/>
    </xf>
    <xf numFmtId="0" fontId="8" fillId="5" borderId="52" xfId="0" applyFont="1" applyFill="1" applyBorder="1" applyAlignment="1">
      <alignment horizontal="left" vertical="center"/>
    </xf>
    <xf numFmtId="0" fontId="8" fillId="5" borderId="53" xfId="0" applyFont="1" applyFill="1" applyBorder="1" applyAlignment="1">
      <alignment horizontal="left" vertical="center"/>
    </xf>
    <xf numFmtId="0" fontId="8" fillId="5" borderId="47" xfId="0" applyFont="1" applyFill="1" applyBorder="1" applyAlignment="1">
      <alignment horizontal="left" vertical="center" wrapText="1"/>
    </xf>
    <xf numFmtId="0" fontId="8" fillId="5" borderId="48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left"/>
    </xf>
    <xf numFmtId="0" fontId="8" fillId="5" borderId="41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left" vertical="center"/>
    </xf>
    <xf numFmtId="0" fontId="8" fillId="5" borderId="35" xfId="0" applyFont="1" applyFill="1" applyBorder="1" applyAlignment="1">
      <alignment horizontal="left" vertical="center"/>
    </xf>
    <xf numFmtId="0" fontId="8" fillId="5" borderId="36" xfId="0" applyFont="1" applyFill="1" applyBorder="1" applyAlignment="1">
      <alignment horizontal="left" vertical="center"/>
    </xf>
    <xf numFmtId="0" fontId="8" fillId="5" borderId="45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_CIMENTAC" xfId="2"/>
    <cellStyle name="Normal_LL052-LL051-LL050...LL042" xfId="3"/>
  </cellStyles>
  <dxfs count="2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114300</xdr:rowOff>
    </xdr:from>
    <xdr:to>
      <xdr:col>5</xdr:col>
      <xdr:colOff>1059815</xdr:colOff>
      <xdr:row>4</xdr:row>
      <xdr:rowOff>38735</xdr:rowOff>
    </xdr:to>
    <xdr:pic>
      <xdr:nvPicPr>
        <xdr:cNvPr id="2" name="Imagen 1" descr="C:\Users\opapagayo\OneDrive - uniminuto.edu\logo autorizado U\Logo horizontal con vigilada JPG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14300"/>
          <a:ext cx="3050540" cy="772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142875</xdr:rowOff>
    </xdr:from>
    <xdr:to>
      <xdr:col>4</xdr:col>
      <xdr:colOff>381000</xdr:colOff>
      <xdr:row>5</xdr:row>
      <xdr:rowOff>114300</xdr:rowOff>
    </xdr:to>
    <xdr:pic>
      <xdr:nvPicPr>
        <xdr:cNvPr id="2" name="Imagen 1" descr="C:\Users\opapagayo\OneDrive - uniminuto.edu\logo autorizado U\Logo horizontal con vigilada JPG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42875"/>
          <a:ext cx="3076575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C72"/>
  <sheetViews>
    <sheetView zoomScale="85" zoomScaleNormal="85" workbookViewId="0">
      <pane xSplit="3" topLeftCell="D1" activePane="topRight" state="frozen"/>
      <selection activeCell="A10" sqref="A10"/>
      <selection pane="topRight" activeCell="E6" sqref="E6"/>
    </sheetView>
  </sheetViews>
  <sheetFormatPr baseColWidth="10" defaultColWidth="11.42578125" defaultRowHeight="12.75" x14ac:dyDescent="0.2"/>
  <cols>
    <col min="1" max="1" width="5.85546875" style="126" customWidth="1"/>
    <col min="2" max="2" width="7.85546875" style="125" customWidth="1"/>
    <col min="3" max="3" width="9" style="125" customWidth="1"/>
    <col min="4" max="4" width="7.85546875" style="43" customWidth="1"/>
    <col min="5" max="5" width="9.5703125" style="43" customWidth="1"/>
    <col min="6" max="6" width="18.5703125" style="43" customWidth="1"/>
    <col min="7" max="7" width="8.7109375" style="43" customWidth="1"/>
    <col min="8" max="8" width="10.5703125" style="43" customWidth="1"/>
    <col min="9" max="9" width="8.7109375" style="43" customWidth="1"/>
    <col min="10" max="10" width="9.85546875" style="43" customWidth="1"/>
    <col min="11" max="11" width="9.7109375" style="43" customWidth="1"/>
    <col min="12" max="12" width="9.85546875" style="43" customWidth="1"/>
    <col min="13" max="13" width="8.85546875" style="43" customWidth="1"/>
    <col min="14" max="14" width="8.140625" style="43" customWidth="1"/>
    <col min="15" max="15" width="9.42578125" style="43" customWidth="1"/>
    <col min="16" max="16" width="8.5703125" style="43" customWidth="1"/>
    <col min="17" max="17" width="11.28515625" style="43" customWidth="1"/>
    <col min="18" max="18" width="11.42578125" style="43" customWidth="1"/>
    <col min="19" max="19" width="7.85546875" style="43" customWidth="1"/>
    <col min="20" max="20" width="8.5703125" style="43" customWidth="1"/>
    <col min="21" max="21" width="8" style="43" customWidth="1"/>
    <col min="22" max="22" width="9" style="43" customWidth="1"/>
    <col min="23" max="23" width="6.7109375" style="43" customWidth="1"/>
    <col min="24" max="24" width="7.7109375" style="43" customWidth="1"/>
    <col min="25" max="25" width="10" style="43" customWidth="1"/>
    <col min="26" max="26" width="5.85546875" style="43" customWidth="1"/>
    <col min="27" max="27" width="12.85546875" style="43" customWidth="1"/>
    <col min="28" max="28" width="5.85546875" style="43" customWidth="1"/>
    <col min="29" max="29" width="7.42578125" style="43" customWidth="1"/>
    <col min="30" max="30" width="6.42578125" style="43" customWidth="1"/>
    <col min="31" max="31" width="7" style="43" customWidth="1"/>
    <col min="32" max="33" width="5.85546875" style="43" customWidth="1"/>
    <col min="34" max="34" width="8.5703125" style="43" customWidth="1"/>
    <col min="35" max="35" width="7.42578125" style="43" customWidth="1"/>
    <col min="36" max="36" width="11" style="43" customWidth="1"/>
    <col min="37" max="37" width="5.28515625" style="43" customWidth="1"/>
    <col min="38" max="38" width="6.7109375" style="43" customWidth="1"/>
    <col min="39" max="39" width="7.85546875" style="43" customWidth="1"/>
    <col min="40" max="40" width="5.85546875" style="43" customWidth="1"/>
    <col min="41" max="42" width="8.85546875" style="43" customWidth="1"/>
    <col min="43" max="43" width="3.85546875" style="43" customWidth="1"/>
    <col min="44" max="44" width="3.28515625" style="43" customWidth="1"/>
    <col min="45" max="45" width="3.85546875" style="43" customWidth="1"/>
    <col min="46" max="46" width="3.5703125" style="43" customWidth="1"/>
    <col min="47" max="50" width="8.85546875" style="43" customWidth="1"/>
    <col min="51" max="54" width="9.7109375" style="43" customWidth="1"/>
    <col min="55" max="55" width="7.28515625" style="43" customWidth="1"/>
    <col min="56" max="58" width="9.7109375" style="43" customWidth="1"/>
    <col min="59" max="62" width="8.7109375" style="43" customWidth="1"/>
    <col min="63" max="63" width="10" style="43" customWidth="1"/>
    <col min="64" max="64" width="19.28515625" style="43" hidden="1" customWidth="1"/>
    <col min="65" max="66" width="4.7109375" style="43" customWidth="1"/>
    <col min="67" max="67" width="6.85546875" style="43" customWidth="1"/>
    <col min="68" max="68" width="5.42578125" style="43" customWidth="1"/>
    <col min="69" max="70" width="4.7109375" style="43" customWidth="1"/>
    <col min="71" max="71" width="11.28515625" style="43" customWidth="1"/>
    <col min="72" max="72" width="11.5703125" style="43" customWidth="1"/>
    <col min="73" max="82" width="7.7109375" style="43" customWidth="1"/>
    <col min="83" max="107" width="8.5703125" style="43" customWidth="1"/>
    <col min="108" max="16384" width="11.42578125" style="43"/>
  </cols>
  <sheetData>
    <row r="2" spans="1:107" s="61" customFormat="1" ht="18" customHeight="1" x14ac:dyDescent="0.25">
      <c r="A2" s="58"/>
      <c r="B2" s="220" t="s">
        <v>45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</row>
    <row r="3" spans="1:107" s="61" customFormat="1" ht="18" customHeight="1" x14ac:dyDescent="0.25">
      <c r="A3" s="58"/>
      <c r="B3" s="59"/>
      <c r="C3" s="59"/>
      <c r="D3" s="59"/>
      <c r="E3" s="59"/>
      <c r="F3" s="59"/>
      <c r="G3" s="59"/>
      <c r="H3" s="220" t="s">
        <v>197</v>
      </c>
      <c r="I3" s="220"/>
      <c r="J3" s="220"/>
      <c r="K3" s="256" t="s">
        <v>198</v>
      </c>
      <c r="L3" s="256"/>
      <c r="M3" s="256"/>
      <c r="N3" s="256"/>
      <c r="O3" s="256"/>
      <c r="P3" s="256"/>
      <c r="Q3" s="256"/>
      <c r="R3" s="256"/>
      <c r="S3" s="256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</row>
    <row r="4" spans="1:107" s="61" customFormat="1" ht="18" customHeight="1" x14ac:dyDescent="0.25">
      <c r="A4" s="58"/>
      <c r="B4" s="59"/>
      <c r="C4" s="59"/>
      <c r="D4" s="59"/>
      <c r="E4" s="59"/>
      <c r="F4" s="59"/>
      <c r="G4" s="59"/>
      <c r="H4" s="59"/>
      <c r="I4" s="59"/>
      <c r="J4" s="59"/>
      <c r="K4" s="256" t="s">
        <v>199</v>
      </c>
      <c r="L4" s="256"/>
      <c r="M4" s="256"/>
      <c r="N4" s="256"/>
      <c r="O4" s="256"/>
      <c r="P4" s="256"/>
      <c r="Q4" s="256"/>
      <c r="R4" s="256"/>
      <c r="S4" s="256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</row>
    <row r="5" spans="1:107" s="61" customFormat="1" ht="13.5" customHeight="1" x14ac:dyDescent="0.2">
      <c r="A5" s="58"/>
      <c r="B5" s="62"/>
      <c r="C5" s="62"/>
      <c r="D5" s="42"/>
      <c r="E5" s="42"/>
      <c r="F5" s="42"/>
      <c r="G5" s="42"/>
      <c r="H5" s="42"/>
      <c r="I5" s="42"/>
      <c r="J5" s="42"/>
      <c r="K5" s="256" t="s">
        <v>200</v>
      </c>
      <c r="L5" s="256"/>
      <c r="M5" s="256"/>
      <c r="N5" s="256"/>
      <c r="O5" s="256"/>
      <c r="P5" s="256"/>
      <c r="Q5" s="256"/>
      <c r="R5" s="256"/>
      <c r="S5" s="256"/>
      <c r="T5" s="42"/>
      <c r="U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</row>
    <row r="6" spans="1:107" s="61" customFormat="1" ht="15" customHeight="1" x14ac:dyDescent="0.2">
      <c r="A6" s="58"/>
      <c r="B6" s="63"/>
      <c r="C6" s="63"/>
      <c r="G6" s="42"/>
      <c r="H6" s="42"/>
      <c r="I6" s="42"/>
      <c r="J6" s="42"/>
      <c r="K6" s="42"/>
      <c r="L6" s="42"/>
      <c r="M6" s="42"/>
      <c r="N6" s="195"/>
      <c r="O6" s="195"/>
      <c r="P6" s="195"/>
      <c r="Q6" s="64"/>
      <c r="R6" s="42"/>
      <c r="S6" s="42"/>
      <c r="T6" s="42"/>
      <c r="U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</row>
    <row r="7" spans="1:107" ht="15" customHeight="1" x14ac:dyDescent="0.2">
      <c r="A7" s="65"/>
      <c r="B7" s="66" t="s">
        <v>3</v>
      </c>
      <c r="C7" s="66"/>
      <c r="D7" s="66"/>
      <c r="E7" s="67">
        <v>2.17</v>
      </c>
      <c r="F7" s="68" t="s">
        <v>4</v>
      </c>
      <c r="G7" s="61"/>
      <c r="H7" s="193" t="s">
        <v>0</v>
      </c>
      <c r="I7" s="193"/>
      <c r="J7" s="193"/>
      <c r="K7" s="69">
        <f>+E8*E10*E11/86400</f>
        <v>1.0329861111111112</v>
      </c>
      <c r="L7" s="70" t="s">
        <v>1</v>
      </c>
      <c r="M7" s="61"/>
      <c r="N7" s="194" t="s">
        <v>160</v>
      </c>
      <c r="O7" s="194"/>
      <c r="P7" s="194"/>
      <c r="Q7" s="68" t="s">
        <v>162</v>
      </c>
      <c r="R7" s="71"/>
      <c r="S7" s="71"/>
      <c r="T7" s="71"/>
      <c r="U7" s="71"/>
      <c r="V7" s="61"/>
      <c r="W7" s="61"/>
      <c r="X7" s="61"/>
      <c r="Y7" s="61"/>
      <c r="Z7" s="61"/>
      <c r="AA7" s="61"/>
      <c r="AB7" s="6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2"/>
      <c r="AV7" s="72"/>
      <c r="AW7" s="72"/>
      <c r="AX7" s="72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3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</row>
    <row r="8" spans="1:107" ht="15" customHeight="1" x14ac:dyDescent="0.2">
      <c r="A8" s="65"/>
      <c r="B8" s="193" t="s">
        <v>2</v>
      </c>
      <c r="C8" s="193"/>
      <c r="D8" s="193"/>
      <c r="E8" s="74">
        <v>750</v>
      </c>
      <c r="F8" s="75" t="s">
        <v>39</v>
      </c>
      <c r="G8" s="61"/>
      <c r="H8" s="193" t="s">
        <v>41</v>
      </c>
      <c r="I8" s="193"/>
      <c r="J8" s="193"/>
      <c r="K8" s="76">
        <f>+K7/E7</f>
        <v>0.47603046594982085</v>
      </c>
      <c r="L8" s="66" t="s">
        <v>40</v>
      </c>
      <c r="M8" s="61"/>
      <c r="N8" s="194" t="s">
        <v>161</v>
      </c>
      <c r="O8" s="194"/>
      <c r="P8" s="194"/>
      <c r="Q8" s="77">
        <v>25</v>
      </c>
      <c r="R8" s="71"/>
      <c r="S8" s="71"/>
      <c r="T8" s="71"/>
      <c r="U8" s="71"/>
      <c r="V8" s="61"/>
      <c r="W8" s="61"/>
      <c r="X8" s="61"/>
      <c r="Y8" s="61"/>
      <c r="Z8" s="61"/>
      <c r="AA8" s="61"/>
      <c r="AB8" s="6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2"/>
      <c r="AV8" s="72"/>
      <c r="AW8" s="72"/>
      <c r="AX8" s="72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3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</row>
    <row r="9" spans="1:107" ht="18" customHeight="1" x14ac:dyDescent="0.2">
      <c r="A9" s="65"/>
      <c r="B9" s="193" t="s">
        <v>132</v>
      </c>
      <c r="C9" s="193"/>
      <c r="D9" s="193"/>
      <c r="E9" s="78">
        <f>+E8/E7</f>
        <v>345.62211981566821</v>
      </c>
      <c r="F9" s="75" t="s">
        <v>46</v>
      </c>
      <c r="G9" s="79"/>
      <c r="H9" s="193" t="s">
        <v>6</v>
      </c>
      <c r="I9" s="193"/>
      <c r="J9" s="193"/>
      <c r="K9" s="69">
        <v>0.1</v>
      </c>
      <c r="L9" s="75" t="s">
        <v>7</v>
      </c>
      <c r="M9" s="61"/>
      <c r="N9" s="195"/>
      <c r="O9" s="195"/>
      <c r="P9" s="195"/>
      <c r="Q9" s="80"/>
      <c r="R9" s="71"/>
      <c r="S9" s="71"/>
      <c r="T9" s="71"/>
      <c r="U9" s="71"/>
      <c r="V9" s="61"/>
      <c r="W9" s="61"/>
      <c r="X9" s="61"/>
      <c r="Y9" s="61"/>
      <c r="Z9" s="61"/>
      <c r="AA9" s="61"/>
      <c r="AB9" s="61"/>
      <c r="AC9" s="71"/>
      <c r="AD9" s="71"/>
      <c r="AE9" s="71"/>
      <c r="AF9" s="71"/>
      <c r="AG9" s="71"/>
      <c r="AH9" s="71"/>
      <c r="AI9" s="71"/>
      <c r="AJ9" s="71"/>
      <c r="AK9" s="71"/>
      <c r="AL9" s="81"/>
      <c r="AM9" s="71"/>
      <c r="AN9" s="71"/>
      <c r="AO9" s="71"/>
      <c r="AP9" s="71"/>
      <c r="AQ9" s="71"/>
      <c r="AR9" s="71"/>
      <c r="AS9" s="71"/>
      <c r="AT9" s="71"/>
      <c r="AU9" s="72"/>
      <c r="AV9" s="72"/>
      <c r="AW9" s="72"/>
      <c r="AX9" s="72"/>
      <c r="AY9" s="71"/>
      <c r="AZ9" s="71"/>
      <c r="BA9" s="82"/>
      <c r="BB9" s="71"/>
      <c r="BC9" s="82"/>
      <c r="BD9" s="71"/>
      <c r="BE9" s="71"/>
      <c r="BF9" s="71"/>
      <c r="BG9" s="71"/>
      <c r="BH9" s="71"/>
      <c r="BI9" s="71"/>
      <c r="BJ9" s="71"/>
      <c r="BK9" s="71"/>
      <c r="BL9" s="73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</row>
    <row r="10" spans="1:107" ht="14.25" x14ac:dyDescent="0.2">
      <c r="A10" s="65"/>
      <c r="B10" s="196" t="s">
        <v>47</v>
      </c>
      <c r="C10" s="196"/>
      <c r="D10" s="196"/>
      <c r="E10" s="83">
        <v>140</v>
      </c>
      <c r="F10" s="84" t="s">
        <v>108</v>
      </c>
      <c r="G10" s="61"/>
      <c r="H10" s="193" t="s">
        <v>44</v>
      </c>
      <c r="I10" s="193"/>
      <c r="J10" s="193"/>
      <c r="K10" s="69">
        <v>0.2</v>
      </c>
      <c r="L10" s="75" t="s">
        <v>7</v>
      </c>
      <c r="M10" s="61"/>
      <c r="N10" s="61"/>
      <c r="O10" s="61"/>
      <c r="P10" s="85"/>
      <c r="Q10" s="61"/>
      <c r="R10" s="71"/>
      <c r="S10" s="61"/>
      <c r="T10" s="71"/>
      <c r="U10" s="71"/>
      <c r="V10" s="61"/>
      <c r="W10" s="61"/>
      <c r="X10" s="61"/>
      <c r="Y10" s="61"/>
      <c r="Z10" s="61"/>
      <c r="AA10" s="61"/>
      <c r="AB10" s="6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2"/>
      <c r="AV10" s="72"/>
      <c r="AW10" s="72"/>
      <c r="AX10" s="72"/>
      <c r="AY10" s="71"/>
      <c r="AZ10" s="71"/>
      <c r="BA10" s="82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3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</row>
    <row r="11" spans="1:107" ht="18" customHeight="1" x14ac:dyDescent="0.2">
      <c r="A11" s="65"/>
      <c r="B11" s="196" t="s">
        <v>133</v>
      </c>
      <c r="C11" s="196"/>
      <c r="D11" s="196"/>
      <c r="E11" s="83">
        <v>0.85</v>
      </c>
      <c r="F11" s="84"/>
      <c r="G11" s="71"/>
      <c r="H11" s="71"/>
      <c r="I11" s="86"/>
      <c r="J11" s="71"/>
      <c r="K11" s="79"/>
      <c r="L11" s="79"/>
      <c r="M11" s="79"/>
      <c r="N11" s="61"/>
      <c r="O11" s="61"/>
      <c r="P11" s="61"/>
      <c r="Q11" s="61"/>
      <c r="R11" s="71"/>
      <c r="S11" s="82"/>
      <c r="T11" s="71"/>
      <c r="U11" s="71"/>
      <c r="V11" s="61"/>
      <c r="W11" s="61"/>
      <c r="X11" s="61"/>
      <c r="Y11" s="61"/>
      <c r="Z11" s="61"/>
      <c r="AA11" s="61"/>
      <c r="AB11" s="6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3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</row>
    <row r="12" spans="1:107" ht="13.5" thickBot="1" x14ac:dyDescent="0.25">
      <c r="A12" s="65"/>
      <c r="B12" s="218"/>
      <c r="C12" s="219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8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87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</row>
    <row r="13" spans="1:107" s="99" customFormat="1" ht="39.75" customHeight="1" thickBot="1" x14ac:dyDescent="0.25">
      <c r="A13" s="189" t="s">
        <v>151</v>
      </c>
      <c r="B13" s="191" t="s">
        <v>109</v>
      </c>
      <c r="C13" s="192"/>
      <c r="D13" s="192" t="s">
        <v>8</v>
      </c>
      <c r="E13" s="192"/>
      <c r="F13" s="192"/>
      <c r="G13" s="88" t="s">
        <v>9</v>
      </c>
      <c r="H13" s="88" t="s">
        <v>10</v>
      </c>
      <c r="I13" s="88" t="s">
        <v>11</v>
      </c>
      <c r="J13" s="88" t="s">
        <v>110</v>
      </c>
      <c r="K13" s="88" t="s">
        <v>6</v>
      </c>
      <c r="L13" s="88" t="s">
        <v>44</v>
      </c>
      <c r="M13" s="88" t="s">
        <v>12</v>
      </c>
      <c r="N13" s="88" t="s">
        <v>12</v>
      </c>
      <c r="O13" s="88" t="s">
        <v>13</v>
      </c>
      <c r="P13" s="88" t="s">
        <v>14</v>
      </c>
      <c r="Q13" s="88" t="s">
        <v>127</v>
      </c>
      <c r="R13" s="88" t="s">
        <v>134</v>
      </c>
      <c r="S13" s="192" t="s">
        <v>5</v>
      </c>
      <c r="T13" s="88" t="s">
        <v>43</v>
      </c>
      <c r="U13" s="88" t="s">
        <v>128</v>
      </c>
      <c r="V13" s="192" t="s">
        <v>184</v>
      </c>
      <c r="W13" s="192"/>
      <c r="X13" s="215" t="s">
        <v>16</v>
      </c>
      <c r="Y13" s="89" t="s">
        <v>22</v>
      </c>
      <c r="Z13" s="90" t="s">
        <v>21</v>
      </c>
      <c r="AA13" s="88" t="s">
        <v>25</v>
      </c>
      <c r="AB13" s="88" t="s">
        <v>17</v>
      </c>
      <c r="AC13" s="88" t="s">
        <v>18</v>
      </c>
      <c r="AD13" s="88" t="s">
        <v>19</v>
      </c>
      <c r="AE13" s="91" t="s">
        <v>20</v>
      </c>
      <c r="AF13" s="88" t="s">
        <v>23</v>
      </c>
      <c r="AG13" s="88" t="s">
        <v>24</v>
      </c>
      <c r="AH13" s="88" t="s">
        <v>25</v>
      </c>
      <c r="AI13" s="217" t="s">
        <v>26</v>
      </c>
      <c r="AJ13" s="92" t="s">
        <v>130</v>
      </c>
      <c r="AK13" s="211" t="s">
        <v>156</v>
      </c>
      <c r="AL13" s="212"/>
      <c r="AM13" s="212"/>
      <c r="AN13" s="213"/>
      <c r="AO13" s="199" t="s">
        <v>153</v>
      </c>
      <c r="AP13" s="200"/>
      <c r="AQ13" s="200"/>
      <c r="AR13" s="200"/>
      <c r="AS13" s="200"/>
      <c r="AT13" s="201"/>
      <c r="AU13" s="192" t="s">
        <v>181</v>
      </c>
      <c r="AV13" s="192"/>
      <c r="AW13" s="192" t="s">
        <v>182</v>
      </c>
      <c r="AX13" s="192"/>
      <c r="AY13" s="202" t="s">
        <v>129</v>
      </c>
      <c r="AZ13" s="203"/>
      <c r="BA13" s="192" t="s">
        <v>27</v>
      </c>
      <c r="BB13" s="192"/>
      <c r="BC13" s="192" t="s">
        <v>50</v>
      </c>
      <c r="BD13" s="192"/>
      <c r="BE13" s="202" t="s">
        <v>51</v>
      </c>
      <c r="BF13" s="204"/>
      <c r="BG13" s="205" t="s">
        <v>52</v>
      </c>
      <c r="BH13" s="206"/>
      <c r="BI13" s="205" t="s">
        <v>112</v>
      </c>
      <c r="BJ13" s="206"/>
      <c r="BK13" s="93" t="s">
        <v>115</v>
      </c>
      <c r="BL13" s="207" t="s">
        <v>28</v>
      </c>
      <c r="BM13" s="94"/>
      <c r="BN13" s="89" t="s">
        <v>145</v>
      </c>
      <c r="BO13" s="89" t="s">
        <v>147</v>
      </c>
      <c r="BP13" s="89" t="s">
        <v>149</v>
      </c>
      <c r="BQ13" s="89" t="s">
        <v>150</v>
      </c>
      <c r="BR13" s="94"/>
      <c r="BS13" s="209" t="s">
        <v>118</v>
      </c>
      <c r="BT13" s="197" t="s">
        <v>119</v>
      </c>
      <c r="BU13" s="95" t="s">
        <v>120</v>
      </c>
      <c r="BV13" s="95"/>
      <c r="BW13" s="95" t="s">
        <v>121</v>
      </c>
      <c r="BX13" s="96" t="s">
        <v>194</v>
      </c>
      <c r="BY13" s="96" t="s">
        <v>122</v>
      </c>
      <c r="BZ13" s="95" t="s">
        <v>25</v>
      </c>
      <c r="CA13" s="95" t="s">
        <v>123</v>
      </c>
      <c r="CB13" s="95" t="s">
        <v>30</v>
      </c>
      <c r="CC13" s="95" t="s">
        <v>124</v>
      </c>
      <c r="CD13" s="97" t="s">
        <v>123</v>
      </c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</row>
    <row r="14" spans="1:107" s="99" customFormat="1" ht="35.25" customHeight="1" thickBot="1" x14ac:dyDescent="0.25">
      <c r="A14" s="190"/>
      <c r="B14" s="100" t="s">
        <v>29</v>
      </c>
      <c r="C14" s="101" t="s">
        <v>30</v>
      </c>
      <c r="D14" s="101" t="s">
        <v>31</v>
      </c>
      <c r="E14" s="101" t="s">
        <v>126</v>
      </c>
      <c r="F14" s="101" t="s">
        <v>32</v>
      </c>
      <c r="G14" s="101" t="s">
        <v>97</v>
      </c>
      <c r="H14" s="101" t="s">
        <v>95</v>
      </c>
      <c r="I14" s="101"/>
      <c r="J14" s="101" t="s">
        <v>97</v>
      </c>
      <c r="K14" s="101" t="s">
        <v>97</v>
      </c>
      <c r="L14" s="101" t="s">
        <v>97</v>
      </c>
      <c r="M14" s="101" t="s">
        <v>97</v>
      </c>
      <c r="N14" s="101" t="s">
        <v>97</v>
      </c>
      <c r="O14" s="101" t="s">
        <v>33</v>
      </c>
      <c r="P14" s="101" t="s">
        <v>42</v>
      </c>
      <c r="Q14" s="101" t="s">
        <v>33</v>
      </c>
      <c r="R14" s="101"/>
      <c r="S14" s="214"/>
      <c r="T14" s="101" t="s">
        <v>96</v>
      </c>
      <c r="U14" s="101" t="s">
        <v>96</v>
      </c>
      <c r="V14" s="101" t="s">
        <v>34</v>
      </c>
      <c r="W14" s="101" t="s">
        <v>35</v>
      </c>
      <c r="X14" s="216"/>
      <c r="Y14" s="102" t="s">
        <v>36</v>
      </c>
      <c r="Z14" s="103" t="s">
        <v>33</v>
      </c>
      <c r="AA14" s="101" t="s">
        <v>33</v>
      </c>
      <c r="AB14" s="101"/>
      <c r="AC14" s="101"/>
      <c r="AD14" s="101" t="s">
        <v>33</v>
      </c>
      <c r="AE14" s="100" t="s">
        <v>159</v>
      </c>
      <c r="AF14" s="101" t="s">
        <v>33</v>
      </c>
      <c r="AG14" s="101" t="s">
        <v>33</v>
      </c>
      <c r="AH14" s="101" t="s">
        <v>33</v>
      </c>
      <c r="AI14" s="214"/>
      <c r="AJ14" s="104" t="s">
        <v>131</v>
      </c>
      <c r="AK14" s="105" t="s">
        <v>144</v>
      </c>
      <c r="AL14" s="105" t="s">
        <v>48</v>
      </c>
      <c r="AM14" s="105" t="s">
        <v>146</v>
      </c>
      <c r="AN14" s="106" t="s">
        <v>49</v>
      </c>
      <c r="AO14" s="106" t="s">
        <v>149</v>
      </c>
      <c r="AP14" s="107" t="s">
        <v>98</v>
      </c>
      <c r="AQ14" s="89" t="s">
        <v>154</v>
      </c>
      <c r="AR14" s="89" t="s">
        <v>155</v>
      </c>
      <c r="AS14" s="89" t="s">
        <v>99</v>
      </c>
      <c r="AT14" s="89" t="s">
        <v>100</v>
      </c>
      <c r="AU14" s="108" t="s">
        <v>37</v>
      </c>
      <c r="AV14" s="108" t="s">
        <v>38</v>
      </c>
      <c r="AW14" s="108" t="s">
        <v>37</v>
      </c>
      <c r="AX14" s="108" t="s">
        <v>38</v>
      </c>
      <c r="AY14" s="108" t="s">
        <v>37</v>
      </c>
      <c r="AZ14" s="108" t="s">
        <v>38</v>
      </c>
      <c r="BA14" s="108" t="s">
        <v>37</v>
      </c>
      <c r="BB14" s="108" t="s">
        <v>38</v>
      </c>
      <c r="BC14" s="108" t="s">
        <v>37</v>
      </c>
      <c r="BD14" s="108" t="s">
        <v>38</v>
      </c>
      <c r="BE14" s="108" t="s">
        <v>37</v>
      </c>
      <c r="BF14" s="108" t="s">
        <v>38</v>
      </c>
      <c r="BG14" s="108" t="s">
        <v>37</v>
      </c>
      <c r="BH14" s="108" t="s">
        <v>38</v>
      </c>
      <c r="BI14" s="108" t="s">
        <v>37</v>
      </c>
      <c r="BJ14" s="108" t="s">
        <v>38</v>
      </c>
      <c r="BK14" s="108" t="s">
        <v>116</v>
      </c>
      <c r="BL14" s="208"/>
      <c r="BM14" s="94"/>
      <c r="BN14" s="89" t="s">
        <v>125</v>
      </c>
      <c r="BO14" s="89" t="s">
        <v>148</v>
      </c>
      <c r="BP14" s="89"/>
      <c r="BQ14" s="89"/>
      <c r="BR14" s="94"/>
      <c r="BS14" s="210"/>
      <c r="BT14" s="198"/>
      <c r="BU14" s="109"/>
      <c r="BV14" s="110"/>
      <c r="BW14" s="109" t="s">
        <v>125</v>
      </c>
      <c r="BX14" s="111" t="s">
        <v>195</v>
      </c>
      <c r="BY14" s="109"/>
      <c r="BZ14" s="109"/>
      <c r="CA14" s="109"/>
      <c r="CB14" s="109"/>
      <c r="CC14" s="109"/>
      <c r="CD14" s="112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</row>
    <row r="15" spans="1:107" s="42" customFormat="1" ht="14.25" customHeight="1" thickBot="1" x14ac:dyDescent="0.25">
      <c r="A15" s="113" t="s">
        <v>53</v>
      </c>
      <c r="B15" s="114" t="s">
        <v>54</v>
      </c>
      <c r="C15" s="114" t="s">
        <v>55</v>
      </c>
      <c r="D15" s="114" t="s">
        <v>56</v>
      </c>
      <c r="E15" s="114" t="s">
        <v>57</v>
      </c>
      <c r="F15" s="114" t="s">
        <v>58</v>
      </c>
      <c r="G15" s="114" t="s">
        <v>59</v>
      </c>
      <c r="H15" s="114" t="s">
        <v>60</v>
      </c>
      <c r="I15" s="114" t="s">
        <v>61</v>
      </c>
      <c r="J15" s="114" t="s">
        <v>62</v>
      </c>
      <c r="K15" s="114" t="s">
        <v>63</v>
      </c>
      <c r="L15" s="114" t="s">
        <v>64</v>
      </c>
      <c r="M15" s="114" t="s">
        <v>65</v>
      </c>
      <c r="N15" s="114" t="s">
        <v>66</v>
      </c>
      <c r="O15" s="114" t="s">
        <v>67</v>
      </c>
      <c r="P15" s="114" t="s">
        <v>68</v>
      </c>
      <c r="Q15" s="115" t="s">
        <v>69</v>
      </c>
      <c r="R15" s="114" t="s">
        <v>70</v>
      </c>
      <c r="S15" s="114" t="s">
        <v>71</v>
      </c>
      <c r="T15" s="114" t="s">
        <v>72</v>
      </c>
      <c r="U15" s="114" t="s">
        <v>71</v>
      </c>
      <c r="V15" s="116" t="s">
        <v>72</v>
      </c>
      <c r="W15" s="114" t="s">
        <v>73</v>
      </c>
      <c r="X15" s="117" t="s">
        <v>140</v>
      </c>
      <c r="Y15" s="118" t="s">
        <v>74</v>
      </c>
      <c r="Z15" s="119" t="s">
        <v>141</v>
      </c>
      <c r="AA15" s="116" t="s">
        <v>75</v>
      </c>
      <c r="AB15" s="114" t="s">
        <v>76</v>
      </c>
      <c r="AC15" s="120" t="s">
        <v>77</v>
      </c>
      <c r="AD15" s="120" t="s">
        <v>78</v>
      </c>
      <c r="AE15" s="117" t="s">
        <v>111</v>
      </c>
      <c r="AF15" s="114" t="s">
        <v>79</v>
      </c>
      <c r="AG15" s="114" t="s">
        <v>80</v>
      </c>
      <c r="AH15" s="114" t="s">
        <v>81</v>
      </c>
      <c r="AI15" s="114" t="s">
        <v>82</v>
      </c>
      <c r="AJ15" s="114" t="s">
        <v>83</v>
      </c>
      <c r="AK15" s="114" t="s">
        <v>84</v>
      </c>
      <c r="AL15" s="114" t="s">
        <v>85</v>
      </c>
      <c r="AM15" s="114" t="s">
        <v>86</v>
      </c>
      <c r="AN15" s="114" t="s">
        <v>101</v>
      </c>
      <c r="AO15" s="114" t="s">
        <v>87</v>
      </c>
      <c r="AP15" s="114" t="s">
        <v>88</v>
      </c>
      <c r="AQ15" s="114" t="s">
        <v>89</v>
      </c>
      <c r="AR15" s="114" t="s">
        <v>102</v>
      </c>
      <c r="AS15" s="114" t="s">
        <v>103</v>
      </c>
      <c r="AT15" s="114" t="s">
        <v>104</v>
      </c>
      <c r="AU15" s="114" t="s">
        <v>105</v>
      </c>
      <c r="AV15" s="114" t="s">
        <v>90</v>
      </c>
      <c r="AW15" s="114"/>
      <c r="AX15" s="114"/>
      <c r="AY15" s="114" t="s">
        <v>91</v>
      </c>
      <c r="AZ15" s="114" t="s">
        <v>92</v>
      </c>
      <c r="BA15" s="114" t="s">
        <v>93</v>
      </c>
      <c r="BB15" s="114" t="s">
        <v>94</v>
      </c>
      <c r="BC15" s="120" t="s">
        <v>106</v>
      </c>
      <c r="BD15" s="114" t="s">
        <v>107</v>
      </c>
      <c r="BE15" s="114" t="s">
        <v>113</v>
      </c>
      <c r="BF15" s="114" t="s">
        <v>114</v>
      </c>
      <c r="BG15" s="114" t="s">
        <v>117</v>
      </c>
      <c r="BH15" s="120" t="s">
        <v>142</v>
      </c>
      <c r="BI15" s="120" t="s">
        <v>143</v>
      </c>
      <c r="BJ15" s="120" t="s">
        <v>152</v>
      </c>
      <c r="BK15" s="120" t="s">
        <v>157</v>
      </c>
      <c r="BL15" s="121" t="s">
        <v>158</v>
      </c>
      <c r="BM15" s="122"/>
      <c r="BN15" s="123"/>
      <c r="BO15" s="123"/>
      <c r="BP15" s="123"/>
      <c r="BQ15" s="123"/>
      <c r="BR15" s="122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</row>
    <row r="16" spans="1:107" ht="23.1" customHeight="1" x14ac:dyDescent="0.2">
      <c r="A16" s="37">
        <v>1</v>
      </c>
      <c r="B16" s="38" t="s">
        <v>164</v>
      </c>
      <c r="C16" s="39" t="s">
        <v>165</v>
      </c>
      <c r="D16" s="14">
        <v>2.9036</v>
      </c>
      <c r="E16" s="14">
        <f>4908.3/10000</f>
        <v>0.49083000000000004</v>
      </c>
      <c r="F16" s="15">
        <f>+D16+E16</f>
        <v>3.3944299999999998</v>
      </c>
      <c r="G16" s="16">
        <f>+$K$8*F16</f>
        <v>1.6158520945340502</v>
      </c>
      <c r="H16" s="17">
        <f>+$E$9*F16</f>
        <v>1173.1900921658987</v>
      </c>
      <c r="I16" s="18">
        <f>IF((5/((H16/1000)^0.2))&lt;1.4,1.4,IF((5/((H16/1000)^0.2))&gt;3.8,3.8,(5/((H16/1000)^0.2))))</f>
        <v>3.8</v>
      </c>
      <c r="J16" s="9">
        <f>+I16*G16</f>
        <v>6.1402379592293901</v>
      </c>
      <c r="K16" s="15">
        <f>+$K$9*F16</f>
        <v>0.33944299999999999</v>
      </c>
      <c r="L16" s="15">
        <f>+$K$10*F16</f>
        <v>0.67888599999999999</v>
      </c>
      <c r="M16" s="15">
        <f>+J16+K16+L16</f>
        <v>7.1585669592293906</v>
      </c>
      <c r="N16" s="57">
        <f>IF(M16&lt;1.5,1.5,M16)</f>
        <v>7.1585669592293906</v>
      </c>
      <c r="O16" s="40">
        <v>101.3</v>
      </c>
      <c r="P16" s="19">
        <v>8</v>
      </c>
      <c r="Q16" s="19">
        <f>VLOOKUP(P16,'D internos'!A:C,IF(S16=0.013,2,3),FALSE)</f>
        <v>0.182</v>
      </c>
      <c r="R16" s="41" t="s">
        <v>163</v>
      </c>
      <c r="S16" s="20">
        <f>+IF(R16="PVC",0.01,0.013)</f>
        <v>0.01</v>
      </c>
      <c r="T16" s="7">
        <f>(+AU16-AV16)/O16*100</f>
        <v>0</v>
      </c>
      <c r="U16" s="8">
        <v>0.25</v>
      </c>
      <c r="V16" s="9">
        <f>((0.312*Q16^(2.66666666666667)*(U16/100)^0.5)/S16)*1000</f>
        <v>16.595167222971977</v>
      </c>
      <c r="W16" s="9">
        <f>(+V16/1000)/(PI()*(Q16)^2/4)</f>
        <v>0.63789467334200978</v>
      </c>
      <c r="X16" s="10">
        <f>+N16/V16</f>
        <v>0.43136455710552252</v>
      </c>
      <c r="Y16" s="21">
        <f>W16*1.054148687*(X16)^0.2948111209</f>
        <v>0.52480617128383722</v>
      </c>
      <c r="Z16" s="21">
        <f>Q16*0.858451597*(X16)^0.5896824401</f>
        <v>9.5161524354627547E-2</v>
      </c>
      <c r="AA16" s="11">
        <f>1/8*((BY16-SIN(BY16))/SIN(BY16/2))*Q16</f>
        <v>7.5710515434937481E-2</v>
      </c>
      <c r="AB16" s="12">
        <f>Z16/Q16</f>
        <v>0.52286551843201945</v>
      </c>
      <c r="AC16" s="12">
        <f>AA16/Q16</f>
        <v>0.41599184304910702</v>
      </c>
      <c r="AD16" s="13">
        <f>+CD16</f>
        <v>4.6785820947090759E-2</v>
      </c>
      <c r="AE16" s="22">
        <f>1000*AD16*U16/100</f>
        <v>0.11696455236772689</v>
      </c>
      <c r="AF16" s="12">
        <f>(Y16^2)/(2*9.81)</f>
        <v>1.4037793956044866E-2</v>
      </c>
      <c r="AG16" s="12">
        <f>Z16+AF16</f>
        <v>0.10919931831067241</v>
      </c>
      <c r="AH16" s="15">
        <f>+AC16*Q16</f>
        <v>7.5710515434937481E-2</v>
      </c>
      <c r="AI16" s="12">
        <f>0.319*Y16/(AA16)^(1/2)</f>
        <v>0.60843125414109578</v>
      </c>
      <c r="AJ16" s="23" t="str">
        <f>IF(AI16&lt;=0.99,"Subcrítico",IF(AI16=1,"CRITICO","Supercrítico"))</f>
        <v>Subcrítico</v>
      </c>
      <c r="AK16" s="14"/>
      <c r="AL16" s="24"/>
      <c r="AM16" s="24"/>
      <c r="AN16" s="24"/>
      <c r="AO16" s="14" t="e">
        <f>1.0381283*Q16*AP16^0.5208062</f>
        <v>#REF!</v>
      </c>
      <c r="AP16" s="14" t="e">
        <f>(0.319*(#REF!/1000))/#REF!^2.5</f>
        <v>#REF!</v>
      </c>
      <c r="AQ16" s="14"/>
      <c r="AR16" s="14"/>
      <c r="AS16" s="14"/>
      <c r="AT16" s="14"/>
      <c r="AU16" s="14">
        <v>311</v>
      </c>
      <c r="AV16" s="14">
        <v>311</v>
      </c>
      <c r="AW16" s="14">
        <f>+AU16</f>
        <v>311</v>
      </c>
      <c r="AX16" s="14">
        <f>+AV16</f>
        <v>311</v>
      </c>
      <c r="AY16" s="14">
        <f>+AW16-1.2</f>
        <v>309.8</v>
      </c>
      <c r="AZ16" s="14">
        <f>+AY16-O16*U16/100</f>
        <v>309.54675000000003</v>
      </c>
      <c r="BA16" s="14">
        <f>+AY16-Q16</f>
        <v>309.61799999999999</v>
      </c>
      <c r="BB16" s="8">
        <f>+BA16-O16*U16/100</f>
        <v>309.36475000000002</v>
      </c>
      <c r="BC16" s="8">
        <f>+BA16+Z16</f>
        <v>309.71316152435463</v>
      </c>
      <c r="BD16" s="8">
        <f>+BB16+Z16</f>
        <v>309.45991152435465</v>
      </c>
      <c r="BE16" s="25">
        <f>+BA16+AG16</f>
        <v>309.72719931831068</v>
      </c>
      <c r="BF16" s="25">
        <f>+BB16+AG16</f>
        <v>309.4739493183107</v>
      </c>
      <c r="BG16" s="26">
        <f>+AW16-AY16</f>
        <v>1.1999999999999886</v>
      </c>
      <c r="BH16" s="26">
        <f t="shared" ref="BG16:BH18" si="0">+AX16-AZ16</f>
        <v>1.4532499999999686</v>
      </c>
      <c r="BI16" s="26">
        <f t="shared" ref="BI16:BJ18" si="1">+AW16-BA16</f>
        <v>1.382000000000005</v>
      </c>
      <c r="BJ16" s="26">
        <f t="shared" si="1"/>
        <v>1.635249999999985</v>
      </c>
      <c r="BK16" s="26">
        <f>(((+BI16+BJ16)/2)+0.1)*O16</f>
        <v>162.95371249999951</v>
      </c>
      <c r="BL16" s="27">
        <f>+BK16*30000</f>
        <v>4888611.3749999851</v>
      </c>
      <c r="BM16" s="28"/>
      <c r="BN16" s="29">
        <v>2.2000000000000002</v>
      </c>
      <c r="BO16" s="29" t="e">
        <f>(+Y16+#REF!)/2</f>
        <v>#REF!</v>
      </c>
      <c r="BP16" s="30">
        <f>(+Q16/2)*(1-COS(BY16/2))</f>
        <v>9.5161524354627533E-2</v>
      </c>
      <c r="BQ16" s="29"/>
      <c r="BR16" s="28"/>
      <c r="BS16" s="31" t="str">
        <f>IF(OR(D16="",E16=""),"",IF(BP16&lt;0.12,"Restricción","O K"))</f>
        <v>Restricción</v>
      </c>
      <c r="BT16" s="31" t="e">
        <f>IF(OR(D16="",E16=""),"",IF(#REF!&lt;1,"OK","Restricción"))</f>
        <v>#REF!</v>
      </c>
      <c r="BU16" s="32">
        <f>IF(OR(B16="",C16=""),"",P16)</f>
        <v>8</v>
      </c>
      <c r="BV16" s="33"/>
      <c r="BW16" s="31">
        <f>IF(OR(B16="",C16=""),"",Q16)</f>
        <v>0.182</v>
      </c>
      <c r="BX16" s="34"/>
      <c r="BY16" s="35">
        <f>IF(OR(B16="",C16=""),"",2*ACOS(1-(2*Z16)/Q16))</f>
        <v>3.2330866368855613</v>
      </c>
      <c r="BZ16" s="31">
        <f>IF(OR(B16="",C16=""),"",1/8*((BY16-SIN(BY16))/SIN(BY16/2))*BW16)</f>
        <v>7.5710515434937481E-2</v>
      </c>
      <c r="CA16" s="31">
        <f>IF(OR(B16="",C16=""),"",0.25*(1-(SIN(BY16)/BY16))*BW16)</f>
        <v>4.6785820947090759E-2</v>
      </c>
      <c r="CB16" s="36">
        <f>IF(OR(B16="",C16=""),"",1/8*(BY16-SIN(BY16))*BW16^2)</f>
        <v>1.3764897737478132E-2</v>
      </c>
      <c r="CC16" s="31">
        <f>IF(OR(B16="",C16=""),"",0.5*BY16*BW16)</f>
        <v>0.29421088395658607</v>
      </c>
      <c r="CD16" s="31">
        <f>IF(OR(B16="",C16=""),"",CB16/CC16)</f>
        <v>4.6785820947090759E-2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</row>
    <row r="17" spans="1:107" ht="14.25" x14ac:dyDescent="0.2">
      <c r="A17" s="37">
        <v>1</v>
      </c>
      <c r="B17" s="38" t="s">
        <v>166</v>
      </c>
      <c r="C17" s="39" t="s">
        <v>165</v>
      </c>
      <c r="D17" s="14">
        <v>0</v>
      </c>
      <c r="E17" s="13">
        <f>3364.3/10000</f>
        <v>0.33643000000000001</v>
      </c>
      <c r="F17" s="15">
        <f t="shared" ref="F17:F36" si="2">+D17+E17</f>
        <v>0.33643000000000001</v>
      </c>
      <c r="G17" s="16">
        <f t="shared" ref="G17:G36" si="3">+$K$8*F17</f>
        <v>0.16015092965949823</v>
      </c>
      <c r="H17" s="17">
        <f t="shared" ref="H17:H36" si="4">+$E$9*F17</f>
        <v>116.27764976958525</v>
      </c>
      <c r="I17" s="18">
        <f t="shared" ref="I17:I18" si="5">IF((5/((H17/1000)^0.2))&lt;1.4,1.4,IF((5/((H17/1000)^0.2))&gt;3.8,3.8,(5/((H17/1000)^0.2))))</f>
        <v>3.8</v>
      </c>
      <c r="J17" s="9">
        <f t="shared" ref="J17:J36" si="6">+I17*G17</f>
        <v>0.60857353270609327</v>
      </c>
      <c r="K17" s="15">
        <f t="shared" ref="K17:K36" si="7">+$K$9*F17</f>
        <v>3.3642999999999999E-2</v>
      </c>
      <c r="L17" s="15">
        <f t="shared" ref="L17:L36" si="8">+$K$10*F17</f>
        <v>6.7285999999999999E-2</v>
      </c>
      <c r="M17" s="15">
        <f t="shared" ref="M17:M36" si="9">+J17+K17+L17</f>
        <v>0.7095025327060932</v>
      </c>
      <c r="N17" s="57">
        <f t="shared" ref="N17:N36" si="10">IF(M17&lt;1.5,1.5,M17)</f>
        <v>1.5</v>
      </c>
      <c r="O17" s="40">
        <v>65.5</v>
      </c>
      <c r="P17" s="19">
        <v>8</v>
      </c>
      <c r="Q17" s="19">
        <f>VLOOKUP(P17,'D internos'!A:C,IF(S17=0.013,2,3),FALSE)</f>
        <v>0.182</v>
      </c>
      <c r="R17" s="41" t="s">
        <v>163</v>
      </c>
      <c r="S17" s="20">
        <f t="shared" ref="S17:S36" si="11">+IF(R17="PVC",0.01,0.013)</f>
        <v>0.01</v>
      </c>
      <c r="T17" s="7">
        <f>(+AU17-AV17)/O17*100</f>
        <v>-0.30534351145036431</v>
      </c>
      <c r="U17" s="8">
        <v>0.55000000000000004</v>
      </c>
      <c r="V17" s="9">
        <f t="shared" ref="V17:V36" si="12">((0.312*Q17^(2.66666666666667)*(U17/100)^0.5)/S17)*1000</f>
        <v>24.61461081042086</v>
      </c>
      <c r="W17" s="9">
        <f t="shared" ref="W17:W36" si="13">(+V17/1000)/(PI()*(Q17)^2/4)</f>
        <v>0.94615070227307907</v>
      </c>
      <c r="X17" s="10">
        <f>+N17/V17</f>
        <v>6.0939415680907653E-2</v>
      </c>
      <c r="Y17" s="21">
        <f t="shared" ref="Y17:Y36" si="14">W17*1.054148687*(X17)^0.2948111209</f>
        <v>0.43715624793396102</v>
      </c>
      <c r="Z17" s="21">
        <f t="shared" ref="Z17:Z36" si="15">Q17*0.858451597*(X17)^0.5896824401</f>
        <v>3.0009796953795777E-2</v>
      </c>
      <c r="AA17" s="11">
        <f t="shared" ref="AA17:AA36" si="16">1/8*((BY17-SIN(BY17))/SIN(BY17/2))*Q17</f>
        <v>2.0775634876776153E-2</v>
      </c>
      <c r="AB17" s="12">
        <f t="shared" ref="AB17:AB36" si="17">Z17/Q17</f>
        <v>0.16488899425162515</v>
      </c>
      <c r="AC17" s="12">
        <f t="shared" ref="AC17:AC36" si="18">AA17/Q17</f>
        <v>0.11415183998228656</v>
      </c>
      <c r="AD17" s="13">
        <f t="shared" ref="AD17:AD36" si="19">+CD17</f>
        <v>1.8437250043000345E-2</v>
      </c>
      <c r="AE17" s="22">
        <f t="shared" ref="AE17:AE36" si="20">1000*AD17*U17/100</f>
        <v>0.10140487523650191</v>
      </c>
      <c r="AF17" s="12">
        <f t="shared" ref="AF17:AF36" si="21">(Y17^2)/(2*9.81)</f>
        <v>9.7403458260804671E-3</v>
      </c>
      <c r="AG17" s="12">
        <f t="shared" ref="AG17:AG36" si="22">Z17+AF17</f>
        <v>3.9750142779876242E-2</v>
      </c>
      <c r="AH17" s="15">
        <f t="shared" ref="AH17:AH36" si="23">+AC17*Q17</f>
        <v>2.0775634876776153E-2</v>
      </c>
      <c r="AI17" s="12">
        <f t="shared" ref="AI17:AI18" si="24">0.319*Y17/(AA17)^(1/2)</f>
        <v>0.96749832272122693</v>
      </c>
      <c r="AJ17" s="23" t="str">
        <f t="shared" ref="AJ17:AJ18" si="25">IF(AI17&lt;=0.99,"Subcrítico",IF(AI17=1,"CRITICO","Supercrítico"))</f>
        <v>Subcrítico</v>
      </c>
      <c r="AK17" s="14"/>
      <c r="AL17" s="24"/>
      <c r="AM17" s="24"/>
      <c r="AN17" s="24"/>
      <c r="AO17" s="14" t="e">
        <f t="shared" ref="AO17:AO36" si="26">1.0381283*Q17*AP17^0.5208062</f>
        <v>#REF!</v>
      </c>
      <c r="AP17" s="14" t="e">
        <f>(0.319*(#REF!/1000))/#REF!^2.5</f>
        <v>#REF!</v>
      </c>
      <c r="AQ17" s="14"/>
      <c r="AR17" s="14"/>
      <c r="AS17" s="14"/>
      <c r="AT17" s="14"/>
      <c r="AU17" s="14">
        <v>310.8</v>
      </c>
      <c r="AV17" s="14">
        <f>+AV16</f>
        <v>311</v>
      </c>
      <c r="AW17" s="14">
        <f t="shared" ref="AW17:AW18" si="27">+AU17</f>
        <v>310.8</v>
      </c>
      <c r="AX17" s="14">
        <f t="shared" ref="AX17:AX18" si="28">+AV17</f>
        <v>311</v>
      </c>
      <c r="AY17" s="14">
        <f>+AW17-1.2</f>
        <v>309.60000000000002</v>
      </c>
      <c r="AZ17" s="14">
        <f>+AY17-O17*U17/100</f>
        <v>309.23975000000002</v>
      </c>
      <c r="BA17" s="14">
        <f t="shared" ref="BA17:BA35" si="29">+AY17-Q17</f>
        <v>309.41800000000001</v>
      </c>
      <c r="BB17" s="8">
        <f>+BA17-O17*U17/100</f>
        <v>309.05775</v>
      </c>
      <c r="BC17" s="8">
        <f t="shared" ref="BC17:BC36" si="30">+BA17+Z17</f>
        <v>309.44800979695378</v>
      </c>
      <c r="BD17" s="8">
        <f t="shared" ref="BD17:BD36" si="31">+BB17+Z17</f>
        <v>309.08775979695378</v>
      </c>
      <c r="BE17" s="25">
        <f t="shared" ref="BE17:BE36" si="32">+BA17+AG17</f>
        <v>309.4577501427799</v>
      </c>
      <c r="BF17" s="25">
        <f t="shared" ref="BF17:BF36" si="33">+BB17+AG17</f>
        <v>309.09750014277989</v>
      </c>
      <c r="BG17" s="26">
        <f>+AW17-AY17</f>
        <v>1.1999999999999886</v>
      </c>
      <c r="BH17" s="26">
        <f t="shared" si="0"/>
        <v>1.760249999999985</v>
      </c>
      <c r="BI17" s="26">
        <f t="shared" si="1"/>
        <v>1.382000000000005</v>
      </c>
      <c r="BJ17" s="26">
        <f t="shared" si="1"/>
        <v>1.9422500000000014</v>
      </c>
      <c r="BK17" s="26">
        <f>(((+BI17+BJ17)/2)+0.1)*O17</f>
        <v>115.41918750000022</v>
      </c>
      <c r="BL17" s="27">
        <f t="shared" ref="BL17:BL36" si="34">+BK17*30000</f>
        <v>3462575.6250000065</v>
      </c>
      <c r="BM17" s="28"/>
      <c r="BN17" s="29">
        <v>3.2</v>
      </c>
      <c r="BO17" s="29" t="e">
        <f>(+Y17+#REF!)/2</f>
        <v>#REF!</v>
      </c>
      <c r="BP17" s="30">
        <f t="shared" ref="BP17:BP36" si="35">(+Q17/2)*(1-COS(BY17/2))</f>
        <v>3.000979695379577E-2</v>
      </c>
      <c r="BQ17" s="29"/>
      <c r="BR17" s="28"/>
      <c r="BS17" s="31" t="str">
        <f>IF(OR(D17="",E17=""),"",IF(BP17&lt;0.12,"Restricción","O K"))</f>
        <v>Restricción</v>
      </c>
      <c r="BT17" s="31" t="e">
        <f>IF(OR(D17="",E17=""),"",IF(#REF!&lt;1,"OK","Restricción"))</f>
        <v>#REF!</v>
      </c>
      <c r="BU17" s="32">
        <f>IF(OR(B17="",C17=""),"",P17)</f>
        <v>8</v>
      </c>
      <c r="BV17" s="33"/>
      <c r="BW17" s="31">
        <f>IF(OR(B17="",C17=""),"",Q17)</f>
        <v>0.182</v>
      </c>
      <c r="BX17" s="34"/>
      <c r="BY17" s="35">
        <f>IF(OR(B17="",C17=""),"",2*ACOS(1-(2*Z17)/Q17))</f>
        <v>1.6725768752741526</v>
      </c>
      <c r="BZ17" s="31">
        <f>IF(OR(B17="",C17=""),"",1/8*((BY17-SIN(BY17))/SIN(BY17/2))*BW17)</f>
        <v>2.0775634876776153E-2</v>
      </c>
      <c r="CA17" s="31">
        <f>IF(OR(B17="",C17=""),"",0.25*(1-(SIN(BY17)/BY17))*BW17)</f>
        <v>1.8437250043000345E-2</v>
      </c>
      <c r="CB17" s="36">
        <f>IF(OR(B17="",C17=""),"",1/8*(BY17-SIN(BY17))*BW17^2)</f>
        <v>2.8062323439668473E-3</v>
      </c>
      <c r="CC17" s="31">
        <f>IF(OR(B17="",C17=""),"",0.5*BY17*BW17)</f>
        <v>0.15220449564994787</v>
      </c>
      <c r="CD17" s="31">
        <f>IF(OR(B17="",C17=""),"",CB17/CC17)</f>
        <v>1.8437250043000345E-2</v>
      </c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</row>
    <row r="18" spans="1:107" ht="14.25" x14ac:dyDescent="0.2">
      <c r="A18" s="37"/>
      <c r="B18" s="38" t="s">
        <v>165</v>
      </c>
      <c r="C18" s="39" t="s">
        <v>167</v>
      </c>
      <c r="D18" s="14">
        <f>+F17+F16</f>
        <v>3.7308599999999998</v>
      </c>
      <c r="E18" s="13">
        <v>0.1</v>
      </c>
      <c r="F18" s="15">
        <f t="shared" si="2"/>
        <v>3.8308599999999999</v>
      </c>
      <c r="G18" s="16">
        <f t="shared" si="3"/>
        <v>1.8236060707885307</v>
      </c>
      <c r="H18" s="17">
        <f t="shared" si="4"/>
        <v>1324.0299539170508</v>
      </c>
      <c r="I18" s="18">
        <f t="shared" si="5"/>
        <v>3.8</v>
      </c>
      <c r="J18" s="9">
        <f t="shared" si="6"/>
        <v>6.9297030689964165</v>
      </c>
      <c r="K18" s="15">
        <f t="shared" si="7"/>
        <v>0.38308600000000004</v>
      </c>
      <c r="L18" s="15">
        <f t="shared" si="8"/>
        <v>0.76617200000000008</v>
      </c>
      <c r="M18" s="15">
        <f t="shared" si="9"/>
        <v>8.0789610689964171</v>
      </c>
      <c r="N18" s="57">
        <f t="shared" si="10"/>
        <v>8.0789610689964171</v>
      </c>
      <c r="O18" s="40">
        <v>35.799999999999997</v>
      </c>
      <c r="P18" s="19">
        <v>8</v>
      </c>
      <c r="Q18" s="19">
        <f>VLOOKUP(P18,'D internos'!A:C,IF(S18=0.013,2,3),FALSE)</f>
        <v>0.182</v>
      </c>
      <c r="R18" s="41" t="s">
        <v>163</v>
      </c>
      <c r="S18" s="20">
        <f t="shared" si="11"/>
        <v>0.01</v>
      </c>
      <c r="T18" s="7">
        <f>(+AU18-AV18)/O18*100</f>
        <v>-1.6759776536313487</v>
      </c>
      <c r="U18" s="8">
        <v>0.25</v>
      </c>
      <c r="V18" s="9">
        <f t="shared" si="12"/>
        <v>16.595167222971977</v>
      </c>
      <c r="W18" s="9">
        <f t="shared" si="13"/>
        <v>0.63789467334200978</v>
      </c>
      <c r="X18" s="10">
        <f>+N18/V18</f>
        <v>0.48682613199661273</v>
      </c>
      <c r="Y18" s="21">
        <f t="shared" si="14"/>
        <v>0.54385758721643551</v>
      </c>
      <c r="Z18" s="21">
        <f t="shared" si="15"/>
        <v>0.10219674627075172</v>
      </c>
      <c r="AA18" s="11">
        <f t="shared" si="16"/>
        <v>8.3272402876125695E-2</v>
      </c>
      <c r="AB18" s="12">
        <f t="shared" si="17"/>
        <v>0.56152058390522919</v>
      </c>
      <c r="AC18" s="12">
        <f t="shared" si="18"/>
        <v>0.45754067514354779</v>
      </c>
      <c r="AD18" s="13">
        <f t="shared" si="19"/>
        <v>4.8779422717088225E-2</v>
      </c>
      <c r="AE18" s="22">
        <f t="shared" si="20"/>
        <v>0.12194855679272056</v>
      </c>
      <c r="AF18" s="12">
        <f t="shared" si="21"/>
        <v>1.5075488031237653E-2</v>
      </c>
      <c r="AG18" s="12">
        <f t="shared" si="22"/>
        <v>0.11727223430198937</v>
      </c>
      <c r="AH18" s="15">
        <f t="shared" si="23"/>
        <v>8.3272402876125695E-2</v>
      </c>
      <c r="AI18" s="12">
        <f t="shared" si="24"/>
        <v>0.60120879661558468</v>
      </c>
      <c r="AJ18" s="23" t="str">
        <f t="shared" si="25"/>
        <v>Subcrítico</v>
      </c>
      <c r="AK18" s="14"/>
      <c r="AL18" s="24"/>
      <c r="AM18" s="24"/>
      <c r="AN18" s="24"/>
      <c r="AO18" s="14" t="e">
        <f t="shared" si="26"/>
        <v>#REF!</v>
      </c>
      <c r="AP18" s="14" t="e">
        <f>(0.319*(#REF!/1000))/#REF!^2.5</f>
        <v>#REF!</v>
      </c>
      <c r="AQ18" s="14"/>
      <c r="AR18" s="14"/>
      <c r="AS18" s="14"/>
      <c r="AT18" s="14"/>
      <c r="AU18" s="14">
        <f>+AV17</f>
        <v>311</v>
      </c>
      <c r="AV18" s="14">
        <v>311.60000000000002</v>
      </c>
      <c r="AW18" s="14">
        <f t="shared" si="27"/>
        <v>311</v>
      </c>
      <c r="AX18" s="14">
        <f t="shared" si="28"/>
        <v>311.60000000000002</v>
      </c>
      <c r="AY18" s="14">
        <f>+AZ17-0.02</f>
        <v>309.21975000000003</v>
      </c>
      <c r="AZ18" s="14">
        <f>+AY18-O18*U18/100</f>
        <v>309.13025000000005</v>
      </c>
      <c r="BA18" s="14">
        <f>+AY18-Q18</f>
        <v>309.03775000000002</v>
      </c>
      <c r="BB18" s="8">
        <f>+BA18-O18*U18/100</f>
        <v>308.94825000000003</v>
      </c>
      <c r="BC18" s="8">
        <f t="shared" si="30"/>
        <v>309.13994674627077</v>
      </c>
      <c r="BD18" s="8">
        <f t="shared" si="31"/>
        <v>309.05044674627078</v>
      </c>
      <c r="BE18" s="25">
        <f t="shared" si="32"/>
        <v>309.15502223430201</v>
      </c>
      <c r="BF18" s="25">
        <f t="shared" si="33"/>
        <v>309.06552223430202</v>
      </c>
      <c r="BG18" s="26">
        <f t="shared" si="0"/>
        <v>1.7802499999999668</v>
      </c>
      <c r="BH18" s="26">
        <f t="shared" si="0"/>
        <v>2.4697499999999764</v>
      </c>
      <c r="BI18" s="26">
        <f t="shared" si="1"/>
        <v>1.9622499999999832</v>
      </c>
      <c r="BJ18" s="26">
        <f t="shared" si="1"/>
        <v>2.6517499999999927</v>
      </c>
      <c r="BK18" s="26">
        <f>(((+BI18+BJ18)/2)+0.1)*O18</f>
        <v>86.170599999999567</v>
      </c>
      <c r="BL18" s="27">
        <f t="shared" si="34"/>
        <v>2585117.999999987</v>
      </c>
      <c r="BM18" s="28"/>
      <c r="BN18" s="29">
        <v>4.2</v>
      </c>
      <c r="BO18" s="29" t="e">
        <f>(+Y18+#REF!)/2</f>
        <v>#REF!</v>
      </c>
      <c r="BP18" s="30">
        <f t="shared" si="35"/>
        <v>0.1021967462707517</v>
      </c>
      <c r="BQ18" s="29"/>
      <c r="BR18" s="28"/>
      <c r="BS18" s="31" t="str">
        <f>IF(OR(D18="",E18=""),"",IF(BP18&lt;0.12,"Restricción","O K"))</f>
        <v>Restricción</v>
      </c>
      <c r="BT18" s="31" t="e">
        <f>IF(OR(D18="",E18=""),"",IF(#REF!&lt;1,"OK","Restricción"))</f>
        <v>#REF!</v>
      </c>
      <c r="BU18" s="32">
        <f>IF(OR(B18="",C18=""),"",P18)</f>
        <v>8</v>
      </c>
      <c r="BV18" s="33"/>
      <c r="BW18" s="31">
        <f>IF(OR(B18="",C18=""),"",Q18)</f>
        <v>0.182</v>
      </c>
      <c r="BX18" s="34"/>
      <c r="BY18" s="35">
        <f>IF(OR(B18="",C18=""),"",2*ACOS(1-(2*Z18)/Q18))</f>
        <v>3.3883001697929291</v>
      </c>
      <c r="BZ18" s="31">
        <f>IF(OR(B18="",C18=""),"",1/8*((BY18-SIN(BY18))/SIN(BY18/2))*BW18)</f>
        <v>8.3272402876125695E-2</v>
      </c>
      <c r="CA18" s="31">
        <f>IF(OR(B18="",C18=""),"",0.25*(1-(SIN(BY18)/BY18))*BW18)</f>
        <v>4.8779422717088225E-2</v>
      </c>
      <c r="CB18" s="36">
        <f>IF(OR(B18="",C18=""),"",1/8*(BY18-SIN(BY18))*BW18^2)</f>
        <v>1.5040418690998709E-2</v>
      </c>
      <c r="CC18" s="31">
        <f>IF(OR(B18="",C18=""),"",0.5*BY18*BW18)</f>
        <v>0.30833531545115656</v>
      </c>
      <c r="CD18" s="31">
        <f>IF(OR(B18="",C18=""),"",CB18/CC18)</f>
        <v>4.8779422717088225E-2</v>
      </c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</row>
    <row r="19" spans="1:107" ht="14.25" x14ac:dyDescent="0.2">
      <c r="A19" s="37"/>
      <c r="B19" s="38"/>
      <c r="C19" s="39"/>
      <c r="D19" s="14"/>
      <c r="E19" s="13"/>
      <c r="F19" s="15"/>
      <c r="G19" s="16"/>
      <c r="H19" s="17"/>
      <c r="I19" s="18"/>
      <c r="J19" s="9"/>
      <c r="K19" s="15"/>
      <c r="L19" s="15"/>
      <c r="M19" s="15"/>
      <c r="N19" s="57"/>
      <c r="O19" s="40"/>
      <c r="P19" s="19"/>
      <c r="Q19" s="19"/>
      <c r="R19" s="41"/>
      <c r="S19" s="20"/>
      <c r="T19" s="7"/>
      <c r="U19" s="8"/>
      <c r="V19" s="9"/>
      <c r="W19" s="9"/>
      <c r="X19" s="10"/>
      <c r="Y19" s="21"/>
      <c r="Z19" s="21"/>
      <c r="AA19" s="11"/>
      <c r="AB19" s="12"/>
      <c r="AC19" s="12"/>
      <c r="AD19" s="13"/>
      <c r="AE19" s="22"/>
      <c r="AF19" s="12"/>
      <c r="AG19" s="12"/>
      <c r="AH19" s="15"/>
      <c r="AI19" s="12"/>
      <c r="AJ19" s="23"/>
      <c r="AK19" s="14"/>
      <c r="AL19" s="24"/>
      <c r="AM19" s="24"/>
      <c r="AN19" s="2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8"/>
      <c r="BC19" s="8"/>
      <c r="BD19" s="8"/>
      <c r="BE19" s="25"/>
      <c r="BF19" s="25"/>
      <c r="BG19" s="26"/>
      <c r="BH19" s="26"/>
      <c r="BI19" s="26"/>
      <c r="BJ19" s="26"/>
      <c r="BK19" s="26"/>
      <c r="BL19" s="27"/>
      <c r="BM19" s="28"/>
      <c r="BN19" s="29"/>
      <c r="BO19" s="29"/>
      <c r="BP19" s="30"/>
      <c r="BQ19" s="29"/>
      <c r="BR19" s="28"/>
      <c r="BS19" s="31"/>
      <c r="BT19" s="31"/>
      <c r="BU19" s="32"/>
      <c r="BV19" s="33"/>
      <c r="BW19" s="31"/>
      <c r="BX19" s="34"/>
      <c r="BY19" s="35"/>
      <c r="BZ19" s="31"/>
      <c r="CA19" s="31"/>
      <c r="CB19" s="36"/>
      <c r="CC19" s="31"/>
      <c r="CD19" s="31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</row>
    <row r="20" spans="1:107" ht="14.25" x14ac:dyDescent="0.2">
      <c r="A20" s="37">
        <v>1</v>
      </c>
      <c r="B20" s="38" t="s">
        <v>168</v>
      </c>
      <c r="C20" s="39" t="s">
        <v>167</v>
      </c>
      <c r="D20" s="14">
        <v>0</v>
      </c>
      <c r="E20" s="13">
        <f>3503.2/10000</f>
        <v>0.35031999999999996</v>
      </c>
      <c r="F20" s="15">
        <f t="shared" si="2"/>
        <v>0.35031999999999996</v>
      </c>
      <c r="G20" s="16">
        <f t="shared" si="3"/>
        <v>0.16676299283154122</v>
      </c>
      <c r="H20" s="17">
        <f t="shared" si="4"/>
        <v>121.07834101382488</v>
      </c>
      <c r="I20" s="18">
        <f t="shared" ref="I20:I22" si="36">IF((5/((H20/1000)^0.2))&lt;1.4,1.4,IF((5/((H20/1000)^0.2))&gt;3.8,3.8,(5/((H20/1000)^0.2))))</f>
        <v>3.8</v>
      </c>
      <c r="J20" s="9">
        <f t="shared" si="6"/>
        <v>0.63369937275985666</v>
      </c>
      <c r="K20" s="15">
        <f t="shared" si="7"/>
        <v>3.5032000000000001E-2</v>
      </c>
      <c r="L20" s="15">
        <f t="shared" si="8"/>
        <v>7.0064000000000001E-2</v>
      </c>
      <c r="M20" s="15">
        <f t="shared" si="9"/>
        <v>0.73879537275985663</v>
      </c>
      <c r="N20" s="57">
        <f t="shared" si="10"/>
        <v>1.5</v>
      </c>
      <c r="O20" s="40">
        <v>84.5</v>
      </c>
      <c r="P20" s="19">
        <v>8</v>
      </c>
      <c r="Q20" s="19">
        <f>VLOOKUP(P20,'D internos'!A:C,IF(S20=0.013,2,3),FALSE)</f>
        <v>0.182</v>
      </c>
      <c r="R20" s="41" t="s">
        <v>163</v>
      </c>
      <c r="S20" s="20">
        <f t="shared" si="11"/>
        <v>0.01</v>
      </c>
      <c r="T20" s="7">
        <f>(+AU20-AV20)/O20*100</f>
        <v>-0.9467455621301909</v>
      </c>
      <c r="U20" s="8">
        <v>0.55000000000000004</v>
      </c>
      <c r="V20" s="9">
        <f t="shared" si="12"/>
        <v>24.61461081042086</v>
      </c>
      <c r="W20" s="9">
        <f t="shared" si="13"/>
        <v>0.94615070227307907</v>
      </c>
      <c r="X20" s="10">
        <f>+N20/V20</f>
        <v>6.0939415680907653E-2</v>
      </c>
      <c r="Y20" s="21">
        <f t="shared" si="14"/>
        <v>0.43715624793396102</v>
      </c>
      <c r="Z20" s="21">
        <f t="shared" si="15"/>
        <v>3.0009796953795777E-2</v>
      </c>
      <c r="AA20" s="11">
        <f t="shared" si="16"/>
        <v>2.0775634876776153E-2</v>
      </c>
      <c r="AB20" s="12">
        <f t="shared" si="17"/>
        <v>0.16488899425162515</v>
      </c>
      <c r="AC20" s="12">
        <f t="shared" si="18"/>
        <v>0.11415183998228656</v>
      </c>
      <c r="AD20" s="13">
        <f t="shared" si="19"/>
        <v>1.8437250043000345E-2</v>
      </c>
      <c r="AE20" s="22">
        <f t="shared" si="20"/>
        <v>0.10140487523650191</v>
      </c>
      <c r="AF20" s="12">
        <f t="shared" si="21"/>
        <v>9.7403458260804671E-3</v>
      </c>
      <c r="AG20" s="12">
        <f t="shared" si="22"/>
        <v>3.9750142779876242E-2</v>
      </c>
      <c r="AH20" s="15">
        <f t="shared" si="23"/>
        <v>2.0775634876776153E-2</v>
      </c>
      <c r="AI20" s="12">
        <f t="shared" ref="AI20:AI22" si="37">0.319*Y20/(AA20)^(1/2)</f>
        <v>0.96749832272122693</v>
      </c>
      <c r="AJ20" s="23" t="str">
        <f t="shared" ref="AJ20:AJ22" si="38">IF(AI20&lt;=0.99,"Subcrítico",IF(AI20=1,"CRITICO","Supercrítico"))</f>
        <v>Subcrítico</v>
      </c>
      <c r="AK20" s="14"/>
      <c r="AL20" s="24"/>
      <c r="AM20" s="24"/>
      <c r="AN20" s="24"/>
      <c r="AO20" s="14" t="e">
        <f t="shared" si="26"/>
        <v>#REF!</v>
      </c>
      <c r="AP20" s="14" t="e">
        <f>(0.319*(#REF!/1000))/#REF!^2.5</f>
        <v>#REF!</v>
      </c>
      <c r="AQ20" s="14"/>
      <c r="AR20" s="14"/>
      <c r="AS20" s="14"/>
      <c r="AT20" s="14"/>
      <c r="AU20" s="14">
        <v>310.8</v>
      </c>
      <c r="AV20" s="14">
        <f>+AV18</f>
        <v>311.60000000000002</v>
      </c>
      <c r="AW20" s="14">
        <f t="shared" ref="AW20:AW22" si="39">+AU20</f>
        <v>310.8</v>
      </c>
      <c r="AX20" s="14">
        <f t="shared" ref="AX20:AX22" si="40">+AV20</f>
        <v>311.60000000000002</v>
      </c>
      <c r="AY20" s="14">
        <f t="shared" ref="AY20:AY21" si="41">+AW20-1.2</f>
        <v>309.60000000000002</v>
      </c>
      <c r="AZ20" s="14">
        <f>+AY20-O20*U20/100</f>
        <v>309.13525000000004</v>
      </c>
      <c r="BA20" s="14">
        <f t="shared" si="29"/>
        <v>309.41800000000001</v>
      </c>
      <c r="BB20" s="8">
        <f>+BA20-O20*U20/100</f>
        <v>308.95325000000003</v>
      </c>
      <c r="BC20" s="8">
        <f t="shared" si="30"/>
        <v>309.44800979695378</v>
      </c>
      <c r="BD20" s="8">
        <f t="shared" si="31"/>
        <v>308.9832597969538</v>
      </c>
      <c r="BE20" s="25">
        <f t="shared" si="32"/>
        <v>309.4577501427799</v>
      </c>
      <c r="BF20" s="25">
        <f t="shared" si="33"/>
        <v>308.99300014277992</v>
      </c>
      <c r="BG20" s="26">
        <f t="shared" ref="BG20:BH22" si="42">+AW20-AY20</f>
        <v>1.1999999999999886</v>
      </c>
      <c r="BH20" s="26">
        <f t="shared" si="42"/>
        <v>2.4647499999999809</v>
      </c>
      <c r="BI20" s="26">
        <f t="shared" ref="BI20:BJ22" si="43">+AW20-BA20</f>
        <v>1.382000000000005</v>
      </c>
      <c r="BJ20" s="26">
        <f t="shared" si="43"/>
        <v>2.6467499999999973</v>
      </c>
      <c r="BK20" s="26">
        <f>(((+BI20+BJ20)/2)+0.1)*O20</f>
        <v>178.6646875000001</v>
      </c>
      <c r="BL20" s="27">
        <f t="shared" si="34"/>
        <v>5359940.6250000028</v>
      </c>
      <c r="BM20" s="28"/>
      <c r="BN20" s="29">
        <v>6.2</v>
      </c>
      <c r="BO20" s="29" t="e">
        <f>(+Y20+#REF!)/2</f>
        <v>#REF!</v>
      </c>
      <c r="BP20" s="30">
        <f t="shared" si="35"/>
        <v>3.000979695379577E-2</v>
      </c>
      <c r="BQ20" s="29"/>
      <c r="BR20" s="28"/>
      <c r="BS20" s="31" t="str">
        <f>IF(OR(D20="",E20=""),"",IF(BP20&lt;0.12,"Restricción","O K"))</f>
        <v>Restricción</v>
      </c>
      <c r="BT20" s="31" t="e">
        <f>IF(OR(D20="",E20=""),"",IF(#REF!&lt;1,"OK","Restricción"))</f>
        <v>#REF!</v>
      </c>
      <c r="BU20" s="32">
        <f>IF(OR(B20="",C20=""),"",P20)</f>
        <v>8</v>
      </c>
      <c r="BV20" s="33"/>
      <c r="BW20" s="31">
        <f>IF(OR(B20="",C20=""),"",Q20)</f>
        <v>0.182</v>
      </c>
      <c r="BX20" s="34"/>
      <c r="BY20" s="35">
        <f>IF(OR(B20="",C20=""),"",2*ACOS(1-(2*Z20)/Q20))</f>
        <v>1.6725768752741526</v>
      </c>
      <c r="BZ20" s="31">
        <f>IF(OR(B20="",C20=""),"",1/8*((BY20-SIN(BY20))/SIN(BY20/2))*BW20)</f>
        <v>2.0775634876776153E-2</v>
      </c>
      <c r="CA20" s="31">
        <f>IF(OR(B20="",C20=""),"",0.25*(1-(SIN(BY20)/BY20))*BW20)</f>
        <v>1.8437250043000345E-2</v>
      </c>
      <c r="CB20" s="36">
        <f>IF(OR(B20="",C20=""),"",1/8*(BY20-SIN(BY20))*BW20^2)</f>
        <v>2.8062323439668473E-3</v>
      </c>
      <c r="CC20" s="31">
        <f>IF(OR(B20="",C20=""),"",0.5*BY20*BW20)</f>
        <v>0.15220449564994787</v>
      </c>
      <c r="CD20" s="31">
        <f>IF(OR(B20="",C20=""),"",CB20/CC20)</f>
        <v>1.8437250043000345E-2</v>
      </c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</row>
    <row r="21" spans="1:107" ht="14.25" x14ac:dyDescent="0.2">
      <c r="A21" s="37">
        <v>1</v>
      </c>
      <c r="B21" s="39" t="s">
        <v>169</v>
      </c>
      <c r="C21" s="39" t="s">
        <v>167</v>
      </c>
      <c r="D21" s="14">
        <v>1.0795999999999999</v>
      </c>
      <c r="E21" s="13">
        <f>3734.6/10000</f>
        <v>0.37346000000000001</v>
      </c>
      <c r="F21" s="15">
        <f t="shared" si="2"/>
        <v>1.4530599999999998</v>
      </c>
      <c r="G21" s="16">
        <f t="shared" si="3"/>
        <v>0.69170082885304662</v>
      </c>
      <c r="H21" s="17">
        <f t="shared" si="4"/>
        <v>502.20967741935476</v>
      </c>
      <c r="I21" s="18">
        <f t="shared" si="36"/>
        <v>3.8</v>
      </c>
      <c r="J21" s="9">
        <f t="shared" si="6"/>
        <v>2.6284631496415769</v>
      </c>
      <c r="K21" s="15">
        <f t="shared" si="7"/>
        <v>0.14530599999999999</v>
      </c>
      <c r="L21" s="15">
        <f t="shared" si="8"/>
        <v>0.29061199999999998</v>
      </c>
      <c r="M21" s="15">
        <f t="shared" si="9"/>
        <v>3.0643811496415769</v>
      </c>
      <c r="N21" s="57">
        <f t="shared" si="10"/>
        <v>3.0643811496415769</v>
      </c>
      <c r="O21" s="40">
        <v>99.93</v>
      </c>
      <c r="P21" s="19">
        <v>8</v>
      </c>
      <c r="Q21" s="19">
        <f>VLOOKUP(P21,'D internos'!A:C,IF(S21=0.013,2,3),FALSE)</f>
        <v>0.182</v>
      </c>
      <c r="R21" s="41" t="s">
        <v>163</v>
      </c>
      <c r="S21" s="20">
        <f t="shared" si="11"/>
        <v>0.01</v>
      </c>
      <c r="T21" s="7">
        <f>(+AU21-AV21)/O21*100</f>
        <v>-0.80056039227460363</v>
      </c>
      <c r="U21" s="8">
        <v>0.35</v>
      </c>
      <c r="V21" s="9">
        <f t="shared" si="12"/>
        <v>19.635666660996378</v>
      </c>
      <c r="W21" s="9">
        <f t="shared" si="13"/>
        <v>0.75476715614111944</v>
      </c>
      <c r="X21" s="10">
        <f>+N21/V21</f>
        <v>0.15606198671769875</v>
      </c>
      <c r="Y21" s="21">
        <f t="shared" si="14"/>
        <v>0.46013989461933652</v>
      </c>
      <c r="Z21" s="21">
        <f t="shared" si="15"/>
        <v>5.225028754866691E-2</v>
      </c>
      <c r="AA21" s="11">
        <f t="shared" si="16"/>
        <v>3.7496018740353854E-2</v>
      </c>
      <c r="AB21" s="12">
        <f t="shared" si="17"/>
        <v>0.28708949202564238</v>
      </c>
      <c r="AC21" s="12">
        <f t="shared" si="18"/>
        <v>0.20602208099095526</v>
      </c>
      <c r="AD21" s="13">
        <f t="shared" si="19"/>
        <v>2.999899076118407E-2</v>
      </c>
      <c r="AE21" s="22">
        <f t="shared" si="20"/>
        <v>0.10499646766414424</v>
      </c>
      <c r="AF21" s="12">
        <f t="shared" si="21"/>
        <v>1.0791474139668406E-2</v>
      </c>
      <c r="AG21" s="12">
        <f t="shared" si="22"/>
        <v>6.3041761688335321E-2</v>
      </c>
      <c r="AH21" s="15">
        <f t="shared" si="23"/>
        <v>3.7496018740353854E-2</v>
      </c>
      <c r="AI21" s="12">
        <f t="shared" si="37"/>
        <v>0.75803279135668944</v>
      </c>
      <c r="AJ21" s="23" t="str">
        <f t="shared" si="38"/>
        <v>Subcrítico</v>
      </c>
      <c r="AK21" s="14"/>
      <c r="AL21" s="24"/>
      <c r="AM21" s="24"/>
      <c r="AN21" s="24"/>
      <c r="AO21" s="14" t="e">
        <f t="shared" si="26"/>
        <v>#REF!</v>
      </c>
      <c r="AP21" s="14" t="e">
        <f>(0.319*(#REF!/1000))/#REF!^2.5</f>
        <v>#REF!</v>
      </c>
      <c r="AQ21" s="14"/>
      <c r="AR21" s="14"/>
      <c r="AS21" s="14"/>
      <c r="AT21" s="14"/>
      <c r="AU21" s="14">
        <v>310.8</v>
      </c>
      <c r="AV21" s="14">
        <f>+AV20</f>
        <v>311.60000000000002</v>
      </c>
      <c r="AW21" s="14">
        <f t="shared" si="39"/>
        <v>310.8</v>
      </c>
      <c r="AX21" s="14">
        <f t="shared" si="40"/>
        <v>311.60000000000002</v>
      </c>
      <c r="AY21" s="14">
        <f t="shared" si="41"/>
        <v>309.60000000000002</v>
      </c>
      <c r="AZ21" s="14">
        <f>+AY21-O21*U21/100</f>
        <v>309.25024500000001</v>
      </c>
      <c r="BA21" s="14">
        <f t="shared" si="29"/>
        <v>309.41800000000001</v>
      </c>
      <c r="BB21" s="8">
        <f>+BA21-O21*U21/100</f>
        <v>309.06824499999999</v>
      </c>
      <c r="BC21" s="8">
        <f t="shared" si="30"/>
        <v>309.47025028754865</v>
      </c>
      <c r="BD21" s="8">
        <f t="shared" si="31"/>
        <v>309.12049528754864</v>
      </c>
      <c r="BE21" s="25">
        <f t="shared" si="32"/>
        <v>309.48104176168835</v>
      </c>
      <c r="BF21" s="25">
        <f t="shared" si="33"/>
        <v>309.13128676168833</v>
      </c>
      <c r="BG21" s="26">
        <f t="shared" si="42"/>
        <v>1.1999999999999886</v>
      </c>
      <c r="BH21" s="26">
        <f t="shared" si="42"/>
        <v>2.349755000000016</v>
      </c>
      <c r="BI21" s="26">
        <f t="shared" si="43"/>
        <v>1.382000000000005</v>
      </c>
      <c r="BJ21" s="26">
        <f t="shared" si="43"/>
        <v>2.5317550000000324</v>
      </c>
      <c r="BK21" s="26">
        <f>(((+BI21+BJ21)/2)+0.1)*O21</f>
        <v>205.54376857500191</v>
      </c>
      <c r="BL21" s="27">
        <f t="shared" si="34"/>
        <v>6166313.0572500573</v>
      </c>
      <c r="BM21" s="28"/>
      <c r="BN21" s="29">
        <v>7.2</v>
      </c>
      <c r="BO21" s="29" t="e">
        <f>(+Y21+#REF!)/2</f>
        <v>#REF!</v>
      </c>
      <c r="BP21" s="30">
        <f t="shared" si="35"/>
        <v>5.2250287548666903E-2</v>
      </c>
      <c r="BQ21" s="29"/>
      <c r="BR21" s="28"/>
      <c r="BS21" s="31" t="str">
        <f>IF(OR(D21="",E21=""),"",IF(BP21&lt;0.12,"Restricción","O K"))</f>
        <v>Restricción</v>
      </c>
      <c r="BT21" s="31" t="e">
        <f>IF(OR(D21="",E21=""),"",IF(#REF!&lt;1,"OK","Restricción"))</f>
        <v>#REF!</v>
      </c>
      <c r="BU21" s="32">
        <f>IF(OR(B21="",C21=""),"",P21)</f>
        <v>8</v>
      </c>
      <c r="BV21" s="33"/>
      <c r="BW21" s="31">
        <f>IF(OR(B21="",C21=""),"",Q21)</f>
        <v>0.182</v>
      </c>
      <c r="BX21" s="34"/>
      <c r="BY21" s="35">
        <f>IF(OR(B21="",C21=""),"",2*ACOS(1-(2*Z21)/Q21))</f>
        <v>2.2618544833767089</v>
      </c>
      <c r="BZ21" s="31">
        <f>IF(OR(B21="",C21=""),"",1/8*((BY21-SIN(BY21))/SIN(BY21/2))*BW21)</f>
        <v>3.7496018740353854E-2</v>
      </c>
      <c r="CA21" s="31">
        <f>IF(OR(B21="",C21=""),"",0.25*(1-(SIN(BY21)/BY21))*BW21)</f>
        <v>2.9998990761184067E-2</v>
      </c>
      <c r="CB21" s="36">
        <f>IF(OR(B21="",C21=""),"",1/8*(BY21-SIN(BY21))*BW21^2)</f>
        <v>6.1746550092464198E-3</v>
      </c>
      <c r="CC21" s="31">
        <f>IF(OR(B21="",C21=""),"",0.5*BY21*BW21)</f>
        <v>0.20582875798728051</v>
      </c>
      <c r="CD21" s="31">
        <f>IF(OR(B21="",C21=""),"",CB21/CC21)</f>
        <v>2.999899076118407E-2</v>
      </c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</row>
    <row r="22" spans="1:107" ht="14.25" x14ac:dyDescent="0.2">
      <c r="A22" s="37"/>
      <c r="B22" s="38" t="str">
        <f>+C21</f>
        <v>P18</v>
      </c>
      <c r="C22" s="39" t="s">
        <v>170</v>
      </c>
      <c r="D22" s="14">
        <f>+F21+F20+F18</f>
        <v>5.6342400000000001</v>
      </c>
      <c r="E22" s="13">
        <v>0.1</v>
      </c>
      <c r="F22" s="15">
        <f t="shared" si="2"/>
        <v>5.7342399999999998</v>
      </c>
      <c r="G22" s="16">
        <f t="shared" si="3"/>
        <v>2.7296729390681005</v>
      </c>
      <c r="H22" s="17">
        <f t="shared" si="4"/>
        <v>1981.8801843317972</v>
      </c>
      <c r="I22" s="18">
        <f t="shared" si="36"/>
        <v>3.8</v>
      </c>
      <c r="J22" s="9">
        <f t="shared" si="6"/>
        <v>10.372757168458781</v>
      </c>
      <c r="K22" s="15">
        <f t="shared" si="7"/>
        <v>0.57342400000000004</v>
      </c>
      <c r="L22" s="15">
        <f t="shared" si="8"/>
        <v>1.1468480000000001</v>
      </c>
      <c r="M22" s="15">
        <f t="shared" si="9"/>
        <v>12.093029168458781</v>
      </c>
      <c r="N22" s="57">
        <f t="shared" si="10"/>
        <v>12.093029168458781</v>
      </c>
      <c r="O22" s="40">
        <v>36.299999999999997</v>
      </c>
      <c r="P22" s="19">
        <v>10</v>
      </c>
      <c r="Q22" s="19">
        <f>VLOOKUP(P22,'D internos'!A:C,IF(S22=0.013,2,3),FALSE)</f>
        <v>0.22700000000000001</v>
      </c>
      <c r="R22" s="41" t="s">
        <v>163</v>
      </c>
      <c r="S22" s="20">
        <f t="shared" si="11"/>
        <v>0.01</v>
      </c>
      <c r="T22" s="7">
        <f>(+AU22-AV22)/O22*100</f>
        <v>-1.1019283746555848</v>
      </c>
      <c r="U22" s="8">
        <v>0.35</v>
      </c>
      <c r="V22" s="9">
        <f t="shared" si="12"/>
        <v>35.393559004239961</v>
      </c>
      <c r="W22" s="9">
        <f t="shared" si="13"/>
        <v>0.87454596349852709</v>
      </c>
      <c r="X22" s="10">
        <f>+N22/V22</f>
        <v>0.34167316056037483</v>
      </c>
      <c r="Y22" s="21">
        <f t="shared" si="14"/>
        <v>0.67171927121496844</v>
      </c>
      <c r="Z22" s="21">
        <f t="shared" si="15"/>
        <v>0.10344754462284943</v>
      </c>
      <c r="AA22" s="11">
        <f t="shared" si="16"/>
        <v>7.9415485569469257E-2</v>
      </c>
      <c r="AB22" s="12">
        <f t="shared" si="17"/>
        <v>0.45571605560726619</v>
      </c>
      <c r="AC22" s="12">
        <f t="shared" si="18"/>
        <v>0.34984795405052538</v>
      </c>
      <c r="AD22" s="13">
        <f t="shared" si="19"/>
        <v>5.3372067337087416E-2</v>
      </c>
      <c r="AE22" s="22">
        <f t="shared" si="20"/>
        <v>0.18680223567980594</v>
      </c>
      <c r="AF22" s="12">
        <f t="shared" si="21"/>
        <v>2.2997287427195121E-2</v>
      </c>
      <c r="AG22" s="12">
        <f t="shared" si="22"/>
        <v>0.12644483205004456</v>
      </c>
      <c r="AH22" s="15">
        <f t="shared" si="23"/>
        <v>7.9415485569469257E-2</v>
      </c>
      <c r="AI22" s="12">
        <f t="shared" si="37"/>
        <v>0.76037161020000466</v>
      </c>
      <c r="AJ22" s="23" t="str">
        <f t="shared" si="38"/>
        <v>Subcrítico</v>
      </c>
      <c r="AK22" s="14"/>
      <c r="AL22" s="24"/>
      <c r="AM22" s="24"/>
      <c r="AN22" s="24"/>
      <c r="AO22" s="14" t="e">
        <f t="shared" si="26"/>
        <v>#REF!</v>
      </c>
      <c r="AP22" s="14" t="e">
        <f>(0.319*(#REF!/1000))/#REF!^2.5</f>
        <v>#REF!</v>
      </c>
      <c r="AQ22" s="14"/>
      <c r="AR22" s="14"/>
      <c r="AS22" s="14"/>
      <c r="AT22" s="14"/>
      <c r="AU22" s="14">
        <f>+AV21</f>
        <v>311.60000000000002</v>
      </c>
      <c r="AV22" s="14">
        <v>312</v>
      </c>
      <c r="AW22" s="14">
        <f t="shared" si="39"/>
        <v>311.60000000000002</v>
      </c>
      <c r="AX22" s="14">
        <f t="shared" si="40"/>
        <v>312</v>
      </c>
      <c r="AY22" s="14">
        <f>+AZ18-0.02</f>
        <v>309.11025000000006</v>
      </c>
      <c r="AZ22" s="14">
        <f>+AY22-O22*U22/100</f>
        <v>308.98320000000007</v>
      </c>
      <c r="BA22" s="14">
        <f>+AY22-Q22</f>
        <v>308.88325000000009</v>
      </c>
      <c r="BB22" s="8">
        <f>+BA22-O22*U22/100</f>
        <v>308.75620000000009</v>
      </c>
      <c r="BC22" s="8">
        <f t="shared" si="30"/>
        <v>308.98669754462293</v>
      </c>
      <c r="BD22" s="8">
        <f t="shared" si="31"/>
        <v>308.85964754462293</v>
      </c>
      <c r="BE22" s="25">
        <f t="shared" si="32"/>
        <v>309.00969483205012</v>
      </c>
      <c r="BF22" s="25">
        <f t="shared" si="33"/>
        <v>308.88264483205012</v>
      </c>
      <c r="BG22" s="26">
        <f t="shared" si="42"/>
        <v>2.4897499999999582</v>
      </c>
      <c r="BH22" s="26">
        <f t="shared" si="42"/>
        <v>3.0167999999999324</v>
      </c>
      <c r="BI22" s="26">
        <f t="shared" si="43"/>
        <v>2.7167499999999336</v>
      </c>
      <c r="BJ22" s="26">
        <f t="shared" si="43"/>
        <v>3.2437999999999079</v>
      </c>
      <c r="BK22" s="26">
        <f>(((+BI22+BJ22)/2)+0.1)*O22</f>
        <v>111.81398249999712</v>
      </c>
      <c r="BL22" s="27">
        <f t="shared" si="34"/>
        <v>3354419.4749999139</v>
      </c>
      <c r="BM22" s="28"/>
      <c r="BN22" s="29">
        <v>8.1999999999999993</v>
      </c>
      <c r="BO22" s="29" t="e">
        <f>(+Y22+#REF!)/2</f>
        <v>#REF!</v>
      </c>
      <c r="BP22" s="30">
        <f t="shared" si="35"/>
        <v>0.10344754462284943</v>
      </c>
      <c r="BQ22" s="29"/>
      <c r="BR22" s="28"/>
      <c r="BS22" s="31" t="str">
        <f>IF(OR(D22="",E22=""),"",IF(BP22&lt;0.12,"Restricción","O K"))</f>
        <v>Restricción</v>
      </c>
      <c r="BT22" s="31" t="e">
        <f>IF(OR(D22="",E22=""),"",IF(#REF!&lt;1,"OK","Restricción"))</f>
        <v>#REF!</v>
      </c>
      <c r="BU22" s="32">
        <f>IF(OR(B22="",C22=""),"",P22)</f>
        <v>10</v>
      </c>
      <c r="BV22" s="33"/>
      <c r="BW22" s="31">
        <f>IF(OR(B22="",C22=""),"",Q22)</f>
        <v>0.22700000000000001</v>
      </c>
      <c r="BX22" s="34"/>
      <c r="BY22" s="35">
        <f>IF(OR(B22="",C22=""),"",2*ACOS(1-(2*Z22)/Q22))</f>
        <v>2.9642244712047967</v>
      </c>
      <c r="BZ22" s="31">
        <f>IF(OR(B22="",C22=""),"",1/8*((BY22-SIN(BY22))/SIN(BY22/2))*BW22)</f>
        <v>7.9415485569469257E-2</v>
      </c>
      <c r="CA22" s="31">
        <f>IF(OR(B22="",C22=""),"",0.25*(1-(SIN(BY22)/BY22))*BW22)</f>
        <v>5.3372067337087416E-2</v>
      </c>
      <c r="CB22" s="36">
        <f>IF(OR(B22="",C22=""),"",1/8*(BY22-SIN(BY22))*BW22^2)</f>
        <v>1.7956470447010171E-2</v>
      </c>
      <c r="CC22" s="31">
        <f>IF(OR(B22="",C22=""),"",0.5*BY22*BW22)</f>
        <v>0.33643947748174446</v>
      </c>
      <c r="CD22" s="31">
        <f>IF(OR(B22="",C22=""),"",CB22/CC22)</f>
        <v>5.3372067337087416E-2</v>
      </c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</row>
    <row r="23" spans="1:107" ht="14.25" x14ac:dyDescent="0.2">
      <c r="A23" s="37"/>
      <c r="B23" s="38"/>
      <c r="C23" s="39"/>
      <c r="D23" s="14"/>
      <c r="E23" s="13"/>
      <c r="F23" s="15"/>
      <c r="G23" s="16"/>
      <c r="H23" s="17"/>
      <c r="I23" s="18"/>
      <c r="J23" s="9"/>
      <c r="K23" s="15"/>
      <c r="L23" s="15"/>
      <c r="M23" s="15"/>
      <c r="N23" s="57"/>
      <c r="O23" s="40"/>
      <c r="P23" s="19"/>
      <c r="Q23" s="19"/>
      <c r="R23" s="41"/>
      <c r="S23" s="20"/>
      <c r="T23" s="7"/>
      <c r="U23" s="8"/>
      <c r="V23" s="9"/>
      <c r="W23" s="9"/>
      <c r="X23" s="10"/>
      <c r="Y23" s="21"/>
      <c r="Z23" s="21"/>
      <c r="AA23" s="11"/>
      <c r="AB23" s="12"/>
      <c r="AC23" s="12"/>
      <c r="AD23" s="13"/>
      <c r="AE23" s="22"/>
      <c r="AF23" s="12"/>
      <c r="AG23" s="12"/>
      <c r="AH23" s="15"/>
      <c r="AI23" s="12"/>
      <c r="AJ23" s="23"/>
      <c r="AK23" s="14"/>
      <c r="AL23" s="24"/>
      <c r="AM23" s="24"/>
      <c r="AN23" s="2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8"/>
      <c r="BC23" s="8"/>
      <c r="BD23" s="8"/>
      <c r="BE23" s="25"/>
      <c r="BF23" s="25"/>
      <c r="BG23" s="26"/>
      <c r="BH23" s="26"/>
      <c r="BI23" s="26"/>
      <c r="BJ23" s="26"/>
      <c r="BK23" s="26"/>
      <c r="BL23" s="27"/>
      <c r="BM23" s="28"/>
      <c r="BN23" s="29"/>
      <c r="BO23" s="29"/>
      <c r="BP23" s="30"/>
      <c r="BQ23" s="29"/>
      <c r="BR23" s="28"/>
      <c r="BS23" s="31"/>
      <c r="BT23" s="31"/>
      <c r="BU23" s="32"/>
      <c r="BV23" s="33"/>
      <c r="BW23" s="31"/>
      <c r="BX23" s="34"/>
      <c r="BY23" s="35"/>
      <c r="BZ23" s="31"/>
      <c r="CA23" s="31"/>
      <c r="CB23" s="36"/>
      <c r="CC23" s="31"/>
      <c r="CD23" s="31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</row>
    <row r="24" spans="1:107" ht="14.25" x14ac:dyDescent="0.2">
      <c r="A24" s="37">
        <v>1</v>
      </c>
      <c r="B24" s="38" t="s">
        <v>171</v>
      </c>
      <c r="C24" s="39" t="s">
        <v>170</v>
      </c>
      <c r="D24" s="14">
        <v>1.0720000000000001</v>
      </c>
      <c r="E24" s="13">
        <f>4293.3/10000</f>
        <v>0.42933000000000004</v>
      </c>
      <c r="F24" s="15">
        <f t="shared" si="2"/>
        <v>1.5013300000000001</v>
      </c>
      <c r="G24" s="16">
        <f t="shared" si="3"/>
        <v>0.71467881944444456</v>
      </c>
      <c r="H24" s="17">
        <f t="shared" si="4"/>
        <v>518.89285714285722</v>
      </c>
      <c r="I24" s="18">
        <f t="shared" ref="I24:I26" si="44">IF((5/((H24/1000)^0.2))&lt;1.4,1.4,IF((5/((H24/1000)^0.2))&gt;3.8,3.8,(5/((H24/1000)^0.2))))</f>
        <v>3.8</v>
      </c>
      <c r="J24" s="9">
        <f t="shared" si="6"/>
        <v>2.7157795138888892</v>
      </c>
      <c r="K24" s="15">
        <f t="shared" si="7"/>
        <v>0.15013300000000002</v>
      </c>
      <c r="L24" s="15">
        <f t="shared" si="8"/>
        <v>0.30026600000000003</v>
      </c>
      <c r="M24" s="15">
        <f t="shared" si="9"/>
        <v>3.1661785138888892</v>
      </c>
      <c r="N24" s="57">
        <f t="shared" si="10"/>
        <v>3.1661785138888892</v>
      </c>
      <c r="O24" s="40">
        <v>98.55</v>
      </c>
      <c r="P24" s="19">
        <v>8</v>
      </c>
      <c r="Q24" s="19">
        <f>VLOOKUP(P24,'D internos'!A:C,IF(S24=0.013,2,3),FALSE)</f>
        <v>0.182</v>
      </c>
      <c r="R24" s="41" t="s">
        <v>163</v>
      </c>
      <c r="S24" s="20">
        <f t="shared" si="11"/>
        <v>0.01</v>
      </c>
      <c r="T24" s="7">
        <f>(+AU24-AV24)/O24*100</f>
        <v>-0.60882800608830323</v>
      </c>
      <c r="U24" s="8">
        <v>0.33</v>
      </c>
      <c r="V24" s="9">
        <f t="shared" si="12"/>
        <v>19.066395548427412</v>
      </c>
      <c r="W24" s="9">
        <f t="shared" si="13"/>
        <v>0.73288518258121749</v>
      </c>
      <c r="X24" s="10">
        <f>+N24/V24</f>
        <v>0.16606067496328819</v>
      </c>
      <c r="Y24" s="21">
        <f t="shared" si="14"/>
        <v>0.45505489913652686</v>
      </c>
      <c r="Z24" s="21">
        <f t="shared" si="15"/>
        <v>5.419911862308302E-2</v>
      </c>
      <c r="AA24" s="11">
        <f t="shared" si="16"/>
        <v>3.9033893849732576E-2</v>
      </c>
      <c r="AB24" s="12">
        <f t="shared" si="17"/>
        <v>0.29779735507188476</v>
      </c>
      <c r="AC24" s="12">
        <f t="shared" si="18"/>
        <v>0.21447194422929988</v>
      </c>
      <c r="AD24" s="13">
        <f t="shared" si="19"/>
        <v>3.0923004235068656E-2</v>
      </c>
      <c r="AE24" s="22">
        <f t="shared" si="20"/>
        <v>0.10204591397572656</v>
      </c>
      <c r="AF24" s="12">
        <f t="shared" si="21"/>
        <v>1.0554279369426841E-2</v>
      </c>
      <c r="AG24" s="12">
        <f t="shared" si="22"/>
        <v>6.4753397992509856E-2</v>
      </c>
      <c r="AH24" s="15">
        <f t="shared" si="23"/>
        <v>3.9033893849732576E-2</v>
      </c>
      <c r="AI24" s="12">
        <f t="shared" ref="AI24:AI26" si="45">0.319*Y24/(AA24)^(1/2)</f>
        <v>0.73473975488120913</v>
      </c>
      <c r="AJ24" s="23" t="str">
        <f t="shared" ref="AJ24:AJ26" si="46">IF(AI24&lt;=0.99,"Subcrítico",IF(AI24=1,"CRITICO","Supercrítico"))</f>
        <v>Subcrítico</v>
      </c>
      <c r="AK24" s="14"/>
      <c r="AL24" s="24"/>
      <c r="AM24" s="24"/>
      <c r="AN24" s="24"/>
      <c r="AO24" s="14" t="e">
        <f t="shared" si="26"/>
        <v>#REF!</v>
      </c>
      <c r="AP24" s="14" t="e">
        <f>(0.319*(#REF!/1000))/#REF!^2.5</f>
        <v>#REF!</v>
      </c>
      <c r="AQ24" s="14"/>
      <c r="AR24" s="14"/>
      <c r="AS24" s="14"/>
      <c r="AT24" s="14"/>
      <c r="AU24" s="14">
        <v>311.39999999999998</v>
      </c>
      <c r="AV24" s="14">
        <f>+AV22</f>
        <v>312</v>
      </c>
      <c r="AW24" s="14">
        <f t="shared" ref="AW24:AW26" si="47">+AU24</f>
        <v>311.39999999999998</v>
      </c>
      <c r="AX24" s="14">
        <f t="shared" ref="AX24:AX26" si="48">+AV24</f>
        <v>312</v>
      </c>
      <c r="AY24" s="14">
        <f>+AW24-1.2</f>
        <v>310.2</v>
      </c>
      <c r="AZ24" s="14">
        <f>+AY24-O24*U24/100</f>
        <v>309.87478499999997</v>
      </c>
      <c r="BA24" s="14">
        <f t="shared" si="29"/>
        <v>310.01799999999997</v>
      </c>
      <c r="BB24" s="8">
        <f>+BA24-O24*U24/100</f>
        <v>309.69278499999996</v>
      </c>
      <c r="BC24" s="8">
        <f t="shared" si="30"/>
        <v>310.07219911862308</v>
      </c>
      <c r="BD24" s="8">
        <f t="shared" si="31"/>
        <v>309.74698411862306</v>
      </c>
      <c r="BE24" s="25">
        <f t="shared" si="32"/>
        <v>310.08275339799246</v>
      </c>
      <c r="BF24" s="25">
        <f t="shared" si="33"/>
        <v>309.75753839799245</v>
      </c>
      <c r="BG24" s="26">
        <f t="shared" ref="BG24:BH26" si="49">+AW24-AY24</f>
        <v>1.1999999999999886</v>
      </c>
      <c r="BH24" s="26">
        <f t="shared" si="49"/>
        <v>2.1252150000000256</v>
      </c>
      <c r="BI24" s="26">
        <f t="shared" ref="BI24:BJ26" si="50">+AW24-BA24</f>
        <v>1.382000000000005</v>
      </c>
      <c r="BJ24" s="26">
        <f t="shared" si="50"/>
        <v>2.307215000000042</v>
      </c>
      <c r="BK24" s="26">
        <f>(((+BI24+BJ24)/2)+0.1)*O24</f>
        <v>191.64106912500233</v>
      </c>
      <c r="BL24" s="27">
        <f t="shared" si="34"/>
        <v>5749232.0737500703</v>
      </c>
      <c r="BM24" s="28"/>
      <c r="BN24" s="29">
        <v>10.199999999999999</v>
      </c>
      <c r="BO24" s="29" t="e">
        <f>(+Y24+#REF!)/2</f>
        <v>#REF!</v>
      </c>
      <c r="BP24" s="30">
        <f t="shared" si="35"/>
        <v>5.4199118623083013E-2</v>
      </c>
      <c r="BQ24" s="29"/>
      <c r="BR24" s="28"/>
      <c r="BS24" s="31" t="str">
        <f>IF(OR(D24="",E24=""),"",IF(BP24&lt;0.12,"Restricción","O K"))</f>
        <v>Restricción</v>
      </c>
      <c r="BT24" s="31" t="e">
        <f>IF(OR(D24="",E24=""),"",IF(#REF!&lt;1,"OK","Restricción"))</f>
        <v>#REF!</v>
      </c>
      <c r="BU24" s="32">
        <f>IF(OR(B24="",C24=""),"",P24)</f>
        <v>8</v>
      </c>
      <c r="BV24" s="33"/>
      <c r="BW24" s="31">
        <f>IF(OR(B24="",C24=""),"",Q24)</f>
        <v>0.182</v>
      </c>
      <c r="BX24" s="34"/>
      <c r="BY24" s="35">
        <f>IF(OR(B24="",C24=""),"",2*ACOS(1-(2*Z24)/Q24))</f>
        <v>2.3089356894667947</v>
      </c>
      <c r="BZ24" s="31">
        <f>IF(OR(B24="",C24=""),"",1/8*((BY24-SIN(BY24))/SIN(BY24/2))*BW24)</f>
        <v>3.9033893849732576E-2</v>
      </c>
      <c r="CA24" s="31">
        <f>IF(OR(B24="",C24=""),"",0.25*(1-(SIN(BY24)/BY24))*BW24)</f>
        <v>3.0923004235068653E-2</v>
      </c>
      <c r="CB24" s="36">
        <f>IF(OR(B24="",C24=""),"",1/8*(BY24-SIN(BY24))*BW24^2)</f>
        <v>6.4973297574533401E-3</v>
      </c>
      <c r="CC24" s="31">
        <f>IF(OR(B24="",C24=""),"",0.5*BY24*BW24)</f>
        <v>0.21011314774147832</v>
      </c>
      <c r="CD24" s="31">
        <f>IF(OR(B24="",C24=""),"",CB24/CC24)</f>
        <v>3.0923004235068656E-2</v>
      </c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</row>
    <row r="25" spans="1:107" ht="14.25" x14ac:dyDescent="0.2">
      <c r="A25" s="37"/>
      <c r="B25" s="38" t="s">
        <v>170</v>
      </c>
      <c r="C25" s="39" t="s">
        <v>172</v>
      </c>
      <c r="D25" s="14">
        <f>+F24+F22</f>
        <v>7.2355700000000001</v>
      </c>
      <c r="E25" s="13">
        <f>3762.6/10000</f>
        <v>0.37625999999999998</v>
      </c>
      <c r="F25" s="15">
        <f t="shared" si="2"/>
        <v>7.6118300000000003</v>
      </c>
      <c r="G25" s="16">
        <f t="shared" si="3"/>
        <v>3.623462981630825</v>
      </c>
      <c r="H25" s="17">
        <f t="shared" si="4"/>
        <v>2630.8168202764978</v>
      </c>
      <c r="I25" s="18">
        <f t="shared" si="44"/>
        <v>3.8</v>
      </c>
      <c r="J25" s="9">
        <f t="shared" si="6"/>
        <v>13.769159330197134</v>
      </c>
      <c r="K25" s="15">
        <f t="shared" si="7"/>
        <v>0.76118300000000005</v>
      </c>
      <c r="L25" s="15">
        <f t="shared" si="8"/>
        <v>1.5223660000000001</v>
      </c>
      <c r="M25" s="15">
        <f t="shared" si="9"/>
        <v>16.052708330197135</v>
      </c>
      <c r="N25" s="57">
        <f t="shared" si="10"/>
        <v>16.052708330197135</v>
      </c>
      <c r="O25" s="40">
        <v>100.3</v>
      </c>
      <c r="P25" s="19">
        <v>12</v>
      </c>
      <c r="Q25" s="19">
        <f>VLOOKUP(P25,'D internos'!A:C,IF(S25=0.013,2,3),FALSE)</f>
        <v>0.28399999999999997</v>
      </c>
      <c r="R25" s="41" t="s">
        <v>163</v>
      </c>
      <c r="S25" s="20">
        <f t="shared" si="11"/>
        <v>0.01</v>
      </c>
      <c r="T25" s="7">
        <f>(+AU25-AV25)/O25*100</f>
        <v>1.1964107676968978</v>
      </c>
      <c r="U25" s="8">
        <v>0.33</v>
      </c>
      <c r="V25" s="9">
        <f t="shared" si="12"/>
        <v>62.458824170252662</v>
      </c>
      <c r="W25" s="9">
        <f t="shared" si="13"/>
        <v>0.98597804070653261</v>
      </c>
      <c r="X25" s="10">
        <f>+N25/V25</f>
        <v>0.25701265663343337</v>
      </c>
      <c r="Y25" s="21">
        <f t="shared" si="14"/>
        <v>0.69633326511907756</v>
      </c>
      <c r="Z25" s="21">
        <f t="shared" si="15"/>
        <v>0.10941949072140707</v>
      </c>
      <c r="AA25" s="11">
        <f t="shared" si="16"/>
        <v>8.1405869692953173E-2</v>
      </c>
      <c r="AB25" s="12">
        <f t="shared" si="17"/>
        <v>0.38527989690636294</v>
      </c>
      <c r="AC25" s="12">
        <f t="shared" si="18"/>
        <v>0.28664038624279287</v>
      </c>
      <c r="AD25" s="13">
        <f t="shared" si="19"/>
        <v>5.9161167218296173E-2</v>
      </c>
      <c r="AE25" s="22">
        <f t="shared" si="20"/>
        <v>0.19523185182037736</v>
      </c>
      <c r="AF25" s="12">
        <f t="shared" si="21"/>
        <v>2.4713558415463587E-2</v>
      </c>
      <c r="AG25" s="12">
        <f t="shared" si="22"/>
        <v>0.13413304913687066</v>
      </c>
      <c r="AH25" s="15">
        <f t="shared" si="23"/>
        <v>8.1405869692953173E-2</v>
      </c>
      <c r="AI25" s="12">
        <f t="shared" si="45"/>
        <v>0.77853826975596607</v>
      </c>
      <c r="AJ25" s="23" t="str">
        <f t="shared" si="46"/>
        <v>Subcrítico</v>
      </c>
      <c r="AK25" s="14"/>
      <c r="AL25" s="24"/>
      <c r="AM25" s="24"/>
      <c r="AN25" s="24"/>
      <c r="AO25" s="14" t="e">
        <f t="shared" si="26"/>
        <v>#REF!</v>
      </c>
      <c r="AP25" s="14" t="e">
        <f>(0.319*(#REF!/1000))/#REF!^2.5</f>
        <v>#REF!</v>
      </c>
      <c r="AQ25" s="14"/>
      <c r="AR25" s="14"/>
      <c r="AS25" s="14"/>
      <c r="AT25" s="14"/>
      <c r="AU25" s="14">
        <f>+AV24</f>
        <v>312</v>
      </c>
      <c r="AV25" s="14">
        <v>310.8</v>
      </c>
      <c r="AW25" s="14">
        <f t="shared" si="47"/>
        <v>312</v>
      </c>
      <c r="AX25" s="14">
        <f t="shared" si="48"/>
        <v>310.8</v>
      </c>
      <c r="AY25" s="14">
        <f>+AZ22-0.02</f>
        <v>308.96320000000009</v>
      </c>
      <c r="AZ25" s="14">
        <f>+AY25-O25*U25/100</f>
        <v>308.6322100000001</v>
      </c>
      <c r="BA25" s="14">
        <f>+AY25-Q25</f>
        <v>308.67920000000009</v>
      </c>
      <c r="BB25" s="8">
        <f>+BA25-O25*U25/100</f>
        <v>308.34821000000011</v>
      </c>
      <c r="BC25" s="8">
        <f t="shared" si="30"/>
        <v>308.78861949072149</v>
      </c>
      <c r="BD25" s="8">
        <f t="shared" si="31"/>
        <v>308.4576294907215</v>
      </c>
      <c r="BE25" s="25">
        <f t="shared" si="32"/>
        <v>308.81333304913699</v>
      </c>
      <c r="BF25" s="25">
        <f t="shared" si="33"/>
        <v>308.482343049137</v>
      </c>
      <c r="BG25" s="26">
        <f t="shared" si="49"/>
        <v>3.0367999999999142</v>
      </c>
      <c r="BH25" s="26">
        <f t="shared" si="49"/>
        <v>2.1677899999999113</v>
      </c>
      <c r="BI25" s="26">
        <f t="shared" si="50"/>
        <v>3.320799999999906</v>
      </c>
      <c r="BJ25" s="26">
        <f t="shared" si="50"/>
        <v>2.4517899999999031</v>
      </c>
      <c r="BK25" s="26">
        <f>(((+BI25+BJ25)/2)+0.1)*O25</f>
        <v>299.52538849999041</v>
      </c>
      <c r="BL25" s="27">
        <f t="shared" si="34"/>
        <v>8985761.6549997125</v>
      </c>
      <c r="BM25" s="28"/>
      <c r="BN25" s="29">
        <v>11.2</v>
      </c>
      <c r="BO25" s="29" t="e">
        <f>(+Y25+#REF!)/2</f>
        <v>#REF!</v>
      </c>
      <c r="BP25" s="30">
        <f t="shared" si="35"/>
        <v>0.10941949072140705</v>
      </c>
      <c r="BQ25" s="29"/>
      <c r="BR25" s="28"/>
      <c r="BS25" s="31" t="str">
        <f>IF(OR(D25="",E25=""),"",IF(BP25&lt;0.12,"Restricción","O K"))</f>
        <v>Restricción</v>
      </c>
      <c r="BT25" s="31" t="e">
        <f>IF(OR(D25="",E25=""),"",IF(#REF!&lt;1,"OK","Restricción"))</f>
        <v>#REF!</v>
      </c>
      <c r="BU25" s="32">
        <f>IF(OR(B25="",C25=""),"",P25)</f>
        <v>12</v>
      </c>
      <c r="BV25" s="33"/>
      <c r="BW25" s="31">
        <f>IF(OR(B25="",C25=""),"",Q25)</f>
        <v>0.28399999999999997</v>
      </c>
      <c r="BX25" s="34"/>
      <c r="BY25" s="35">
        <f>IF(OR(B25="",C25=""),"",2*ACOS(1-(2*Z25)/Q25))</f>
        <v>2.6785876396698183</v>
      </c>
      <c r="BZ25" s="31">
        <f>IF(OR(B25="",C25=""),"",1/8*((BY25-SIN(BY25))/SIN(BY25/2))*BW25)</f>
        <v>8.1405869692953173E-2</v>
      </c>
      <c r="CA25" s="31">
        <f>IF(OR(B25="",C25=""),"",0.25*(1-(SIN(BY25)/BY25))*BW25)</f>
        <v>5.916116721829618E-2</v>
      </c>
      <c r="CB25" s="36">
        <f>IF(OR(B25="",C25=""),"",1/8*(BY25-SIN(BY25))*BW25^2)</f>
        <v>2.2502508718830166E-2</v>
      </c>
      <c r="CC25" s="31">
        <f>IF(OR(B25="",C25=""),"",0.5*BY25*BW25)</f>
        <v>0.38035944483311418</v>
      </c>
      <c r="CD25" s="31">
        <f>IF(OR(B25="",C25=""),"",CB25/CC25)</f>
        <v>5.9161167218296173E-2</v>
      </c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</row>
    <row r="26" spans="1:107" ht="14.25" x14ac:dyDescent="0.2">
      <c r="A26" s="37"/>
      <c r="B26" s="38" t="s">
        <v>172</v>
      </c>
      <c r="C26" s="39" t="s">
        <v>173</v>
      </c>
      <c r="D26" s="14">
        <f>+F25</f>
        <v>7.6118300000000003</v>
      </c>
      <c r="E26" s="13">
        <v>0.1</v>
      </c>
      <c r="F26" s="15">
        <f t="shared" si="2"/>
        <v>7.71183</v>
      </c>
      <c r="G26" s="16">
        <f t="shared" si="3"/>
        <v>3.6710660282258067</v>
      </c>
      <c r="H26" s="17">
        <f t="shared" si="4"/>
        <v>2665.3790322580644</v>
      </c>
      <c r="I26" s="18">
        <f t="shared" si="44"/>
        <v>3.8</v>
      </c>
      <c r="J26" s="9">
        <f t="shared" si="6"/>
        <v>13.950050907258065</v>
      </c>
      <c r="K26" s="15">
        <f t="shared" si="7"/>
        <v>0.77118300000000006</v>
      </c>
      <c r="L26" s="15">
        <f t="shared" si="8"/>
        <v>1.5423660000000001</v>
      </c>
      <c r="M26" s="15">
        <f t="shared" si="9"/>
        <v>16.263599907258065</v>
      </c>
      <c r="N26" s="57">
        <f t="shared" si="10"/>
        <v>16.263599907258065</v>
      </c>
      <c r="O26" s="40">
        <v>36.9</v>
      </c>
      <c r="P26" s="19">
        <v>12</v>
      </c>
      <c r="Q26" s="19">
        <f>VLOOKUP(P26,'D internos'!A:C,IF(S26=0.013,2,3),FALSE)</f>
        <v>0.28399999999999997</v>
      </c>
      <c r="R26" s="41" t="s">
        <v>163</v>
      </c>
      <c r="S26" s="20">
        <f t="shared" si="11"/>
        <v>0.01</v>
      </c>
      <c r="T26" s="7">
        <f>(+AU26-AV26)/O26*100</f>
        <v>0.54200542005416974</v>
      </c>
      <c r="U26" s="8">
        <v>0.33</v>
      </c>
      <c r="V26" s="9">
        <f t="shared" si="12"/>
        <v>62.458824170252662</v>
      </c>
      <c r="W26" s="9">
        <f t="shared" si="13"/>
        <v>0.98597804070653261</v>
      </c>
      <c r="X26" s="10">
        <f>+N26/V26</f>
        <v>0.26038914634265481</v>
      </c>
      <c r="Y26" s="21">
        <f t="shared" si="14"/>
        <v>0.69901780880064102</v>
      </c>
      <c r="Z26" s="21">
        <f t="shared" si="15"/>
        <v>0.11026488417026434</v>
      </c>
      <c r="AA26" s="11">
        <f t="shared" si="16"/>
        <v>8.2135058463436009E-2</v>
      </c>
      <c r="AB26" s="12">
        <f t="shared" si="17"/>
        <v>0.38825663440233926</v>
      </c>
      <c r="AC26" s="12">
        <f t="shared" si="18"/>
        <v>0.2892079523360423</v>
      </c>
      <c r="AD26" s="13">
        <f t="shared" si="19"/>
        <v>5.9504423110432129E-2</v>
      </c>
      <c r="AE26" s="22">
        <f t="shared" si="20"/>
        <v>0.19636459626442604</v>
      </c>
      <c r="AF26" s="12">
        <f t="shared" si="21"/>
        <v>2.4904479970461236E-2</v>
      </c>
      <c r="AG26" s="12">
        <f t="shared" si="22"/>
        <v>0.13516936414072558</v>
      </c>
      <c r="AH26" s="15">
        <f t="shared" si="23"/>
        <v>8.2135058463436009E-2</v>
      </c>
      <c r="AI26" s="12">
        <f t="shared" si="45"/>
        <v>0.77806277559476833</v>
      </c>
      <c r="AJ26" s="23" t="str">
        <f t="shared" si="46"/>
        <v>Subcrítico</v>
      </c>
      <c r="AK26" s="14"/>
      <c r="AL26" s="24"/>
      <c r="AM26" s="24"/>
      <c r="AN26" s="24"/>
      <c r="AO26" s="14" t="e">
        <f t="shared" si="26"/>
        <v>#REF!</v>
      </c>
      <c r="AP26" s="14" t="e">
        <f>(0.319*(#REF!/1000))/#REF!^2.5</f>
        <v>#REF!</v>
      </c>
      <c r="AQ26" s="14"/>
      <c r="AR26" s="14"/>
      <c r="AS26" s="14"/>
      <c r="AT26" s="14"/>
      <c r="AU26" s="14">
        <f>+AV25</f>
        <v>310.8</v>
      </c>
      <c r="AV26" s="14">
        <v>310.60000000000002</v>
      </c>
      <c r="AW26" s="14">
        <f t="shared" si="47"/>
        <v>310.8</v>
      </c>
      <c r="AX26" s="14">
        <f t="shared" si="48"/>
        <v>310.60000000000002</v>
      </c>
      <c r="AY26" s="14">
        <f>+AZ25-0.02</f>
        <v>308.61221000000012</v>
      </c>
      <c r="AZ26" s="14">
        <f>+AY26-O26*U26/100</f>
        <v>308.49044000000009</v>
      </c>
      <c r="BA26" s="14">
        <f t="shared" si="29"/>
        <v>308.32821000000013</v>
      </c>
      <c r="BB26" s="8">
        <f>+BA26-O26*U26/100</f>
        <v>308.2064400000001</v>
      </c>
      <c r="BC26" s="8">
        <f t="shared" si="30"/>
        <v>308.43847488417038</v>
      </c>
      <c r="BD26" s="8">
        <f t="shared" si="31"/>
        <v>308.31670488417035</v>
      </c>
      <c r="BE26" s="25">
        <f t="shared" si="32"/>
        <v>308.46337936414085</v>
      </c>
      <c r="BF26" s="25">
        <f t="shared" si="33"/>
        <v>308.34160936414082</v>
      </c>
      <c r="BG26" s="26">
        <f t="shared" si="49"/>
        <v>2.1877899999998931</v>
      </c>
      <c r="BH26" s="26">
        <f t="shared" si="49"/>
        <v>2.1095599999999308</v>
      </c>
      <c r="BI26" s="26">
        <f t="shared" si="50"/>
        <v>2.4717899999998849</v>
      </c>
      <c r="BJ26" s="26">
        <f t="shared" si="50"/>
        <v>2.3935599999999226</v>
      </c>
      <c r="BK26" s="26">
        <f>(((+BI26+BJ26)/2)+0.1)*O26</f>
        <v>93.45570749999645</v>
      </c>
      <c r="BL26" s="27">
        <f t="shared" si="34"/>
        <v>2803671.2249998935</v>
      </c>
      <c r="BM26" s="28"/>
      <c r="BN26" s="29">
        <v>12.2</v>
      </c>
      <c r="BO26" s="29" t="e">
        <f>(+Y26+#REF!)/2</f>
        <v>#REF!</v>
      </c>
      <c r="BP26" s="30">
        <f t="shared" si="35"/>
        <v>0.11026488417026434</v>
      </c>
      <c r="BQ26" s="29"/>
      <c r="BR26" s="28"/>
      <c r="BS26" s="31" t="str">
        <f>IF(OR(D26="",E26=""),"",IF(BP26&lt;0.12,"Restricción","O K"))</f>
        <v>Restricción</v>
      </c>
      <c r="BT26" s="31" t="e">
        <f>IF(OR(D26="",E26=""),"",IF(#REF!&lt;1,"OK","Restricción"))</f>
        <v>#REF!</v>
      </c>
      <c r="BU26" s="32">
        <f>IF(OR(B26="",C26=""),"",P26)</f>
        <v>12</v>
      </c>
      <c r="BV26" s="33"/>
      <c r="BW26" s="31">
        <f>IF(OR(B26="",C26=""),"",Q26)</f>
        <v>0.28399999999999997</v>
      </c>
      <c r="BX26" s="34"/>
      <c r="BY26" s="35">
        <f>IF(OR(B26="",C26=""),"",2*ACOS(1-(2*Z26)/Q26))</f>
        <v>2.6908122096847102</v>
      </c>
      <c r="BZ26" s="31">
        <f>IF(OR(B26="",C26=""),"",1/8*((BY26-SIN(BY26))/SIN(BY26/2))*BW26)</f>
        <v>8.2135058463436009E-2</v>
      </c>
      <c r="CA26" s="31">
        <f>IF(OR(B26="",C26=""),"",0.25*(1-(SIN(BY26)/BY26))*BW26)</f>
        <v>5.9504423110432123E-2</v>
      </c>
      <c r="CB26" s="36">
        <f>IF(OR(B26="",C26=""),"",1/8*(BY26-SIN(BY26))*BW26^2)</f>
        <v>2.2736362409483003E-2</v>
      </c>
      <c r="CC26" s="31">
        <f>IF(OR(B26="",C26=""),"",0.5*BY26*BW26)</f>
        <v>0.38209533377522881</v>
      </c>
      <c r="CD26" s="31">
        <f>IF(OR(B26="",C26=""),"",CB26/CC26)</f>
        <v>5.9504423110432129E-2</v>
      </c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</row>
    <row r="27" spans="1:107" ht="14.25" x14ac:dyDescent="0.2">
      <c r="A27" s="37"/>
      <c r="B27" s="38"/>
      <c r="C27" s="39"/>
      <c r="D27" s="14"/>
      <c r="E27" s="13"/>
      <c r="F27" s="15"/>
      <c r="G27" s="16"/>
      <c r="H27" s="17"/>
      <c r="I27" s="18"/>
      <c r="J27" s="9"/>
      <c r="K27" s="15"/>
      <c r="L27" s="15"/>
      <c r="M27" s="15"/>
      <c r="N27" s="57"/>
      <c r="O27" s="40"/>
      <c r="P27" s="19"/>
      <c r="Q27" s="19"/>
      <c r="R27" s="41"/>
      <c r="S27" s="20"/>
      <c r="T27" s="7"/>
      <c r="U27" s="8"/>
      <c r="V27" s="9"/>
      <c r="W27" s="9"/>
      <c r="X27" s="10"/>
      <c r="Y27" s="21"/>
      <c r="Z27" s="21"/>
      <c r="AA27" s="11"/>
      <c r="AB27" s="12"/>
      <c r="AC27" s="12"/>
      <c r="AD27" s="13"/>
      <c r="AE27" s="22"/>
      <c r="AF27" s="12"/>
      <c r="AG27" s="12"/>
      <c r="AH27" s="15"/>
      <c r="AI27" s="12"/>
      <c r="AJ27" s="23"/>
      <c r="AK27" s="14"/>
      <c r="AL27" s="24"/>
      <c r="AM27" s="24"/>
      <c r="AN27" s="2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8"/>
      <c r="BC27" s="8"/>
      <c r="BD27" s="8"/>
      <c r="BE27" s="25"/>
      <c r="BF27" s="25"/>
      <c r="BG27" s="26"/>
      <c r="BH27" s="26"/>
      <c r="BI27" s="26"/>
      <c r="BJ27" s="26"/>
      <c r="BK27" s="26"/>
      <c r="BL27" s="27"/>
      <c r="BM27" s="28"/>
      <c r="BN27" s="29"/>
      <c r="BO27" s="29"/>
      <c r="BP27" s="30"/>
      <c r="BQ27" s="29"/>
      <c r="BR27" s="28"/>
      <c r="BS27" s="31"/>
      <c r="BT27" s="31"/>
      <c r="BU27" s="32"/>
      <c r="BV27" s="33"/>
      <c r="BW27" s="31"/>
      <c r="BX27" s="34"/>
      <c r="BY27" s="35"/>
      <c r="BZ27" s="31"/>
      <c r="CA27" s="31"/>
      <c r="CB27" s="36"/>
      <c r="CC27" s="31"/>
      <c r="CD27" s="31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</row>
    <row r="28" spans="1:107" ht="14.25" x14ac:dyDescent="0.2">
      <c r="A28" s="37">
        <v>1</v>
      </c>
      <c r="B28" s="38" t="s">
        <v>174</v>
      </c>
      <c r="C28" s="39" t="s">
        <v>175</v>
      </c>
      <c r="D28" s="14">
        <f>12343.7/10000</f>
        <v>1.23437</v>
      </c>
      <c r="E28" s="13">
        <f>4293.3/10000</f>
        <v>0.42933000000000004</v>
      </c>
      <c r="F28" s="15">
        <f t="shared" si="2"/>
        <v>1.6637</v>
      </c>
      <c r="G28" s="16">
        <f t="shared" si="3"/>
        <v>0.7919718862007169</v>
      </c>
      <c r="H28" s="17">
        <f t="shared" si="4"/>
        <v>575.01152073732715</v>
      </c>
      <c r="I28" s="18">
        <f t="shared" ref="I28:I29" si="51">IF((5/((H28/1000)^0.2))&lt;1.4,1.4,IF((5/((H28/1000)^0.2))&gt;3.8,3.8,(5/((H28/1000)^0.2))))</f>
        <v>3.8</v>
      </c>
      <c r="J28" s="9">
        <f t="shared" si="6"/>
        <v>3.0094931675627241</v>
      </c>
      <c r="K28" s="15">
        <f t="shared" si="7"/>
        <v>0.16637000000000002</v>
      </c>
      <c r="L28" s="15">
        <f t="shared" si="8"/>
        <v>0.33274000000000004</v>
      </c>
      <c r="M28" s="15">
        <f t="shared" si="9"/>
        <v>3.5086031675627245</v>
      </c>
      <c r="N28" s="57">
        <f t="shared" si="10"/>
        <v>3.5086031675627245</v>
      </c>
      <c r="O28" s="40">
        <v>98.05</v>
      </c>
      <c r="P28" s="19">
        <v>8</v>
      </c>
      <c r="Q28" s="19">
        <f>VLOOKUP(P28,'D internos'!A:C,IF(S28=0.013,2,3),FALSE)</f>
        <v>0.182</v>
      </c>
      <c r="R28" s="41" t="s">
        <v>163</v>
      </c>
      <c r="S28" s="20">
        <f t="shared" si="11"/>
        <v>0.01</v>
      </c>
      <c r="T28" s="7">
        <f>(+AU28-AV28)/O28*100</f>
        <v>-0.61193268740435069</v>
      </c>
      <c r="U28" s="8">
        <v>0.45</v>
      </c>
      <c r="V28" s="9">
        <f t="shared" si="12"/>
        <v>22.26475320512505</v>
      </c>
      <c r="W28" s="9">
        <f t="shared" si="13"/>
        <v>0.85582551124665418</v>
      </c>
      <c r="X28" s="10">
        <f>+N28/V28</f>
        <v>0.15758554048356083</v>
      </c>
      <c r="Y28" s="21">
        <f t="shared" si="14"/>
        <v>0.52324610068363231</v>
      </c>
      <c r="Z28" s="21">
        <f t="shared" si="15"/>
        <v>5.2550480718571636E-2</v>
      </c>
      <c r="AA28" s="11">
        <f t="shared" si="16"/>
        <v>3.7732032689559186E-2</v>
      </c>
      <c r="AB28" s="12">
        <f t="shared" si="17"/>
        <v>0.28873890504709693</v>
      </c>
      <c r="AC28" s="12">
        <f t="shared" si="18"/>
        <v>0.20731886093164389</v>
      </c>
      <c r="AD28" s="13">
        <f t="shared" si="19"/>
        <v>3.0142278333016918E-2</v>
      </c>
      <c r="AE28" s="22">
        <f t="shared" si="20"/>
        <v>0.13564025249857614</v>
      </c>
      <c r="AF28" s="12">
        <f t="shared" si="21"/>
        <v>1.3954458811448821E-2</v>
      </c>
      <c r="AG28" s="12">
        <f t="shared" si="22"/>
        <v>6.6504939530020457E-2</v>
      </c>
      <c r="AH28" s="15">
        <f t="shared" si="23"/>
        <v>3.7732032689559186E-2</v>
      </c>
      <c r="AI28" s="12">
        <f t="shared" ref="AI28:AI29" si="52">0.319*Y28/(AA28)^(1/2)</f>
        <v>0.85929361077494704</v>
      </c>
      <c r="AJ28" s="23" t="str">
        <f t="shared" ref="AJ28:AJ29" si="53">IF(AI28&lt;=0.99,"Subcrítico",IF(AI28=1,"CRITICO","Supercrítico"))</f>
        <v>Subcrítico</v>
      </c>
      <c r="AK28" s="14"/>
      <c r="AL28" s="24"/>
      <c r="AM28" s="24"/>
      <c r="AN28" s="24"/>
      <c r="AO28" s="14" t="e">
        <f t="shared" si="26"/>
        <v>#REF!</v>
      </c>
      <c r="AP28" s="14" t="e">
        <f>(0.319*(#REF!/1000))/#REF!^2.5</f>
        <v>#REF!</v>
      </c>
      <c r="AQ28" s="14"/>
      <c r="AR28" s="14"/>
      <c r="AS28" s="14"/>
      <c r="AT28" s="14"/>
      <c r="AU28" s="14">
        <v>311.60000000000002</v>
      </c>
      <c r="AV28" s="14">
        <v>312.2</v>
      </c>
      <c r="AW28" s="14">
        <f t="shared" ref="AW28:AW29" si="54">+AU28</f>
        <v>311.60000000000002</v>
      </c>
      <c r="AX28" s="14">
        <f t="shared" ref="AX28:AX29" si="55">+AV28</f>
        <v>312.2</v>
      </c>
      <c r="AY28" s="14">
        <f>+AW28-1.2</f>
        <v>310.40000000000003</v>
      </c>
      <c r="AZ28" s="14">
        <f>+AY28-O28*U28/100</f>
        <v>309.95877500000006</v>
      </c>
      <c r="BA28" s="14">
        <f t="shared" si="29"/>
        <v>310.21800000000002</v>
      </c>
      <c r="BB28" s="8">
        <f>+BA28-O28*U28/100</f>
        <v>309.77677500000004</v>
      </c>
      <c r="BC28" s="8">
        <f t="shared" si="30"/>
        <v>310.27055048071861</v>
      </c>
      <c r="BD28" s="8">
        <f t="shared" si="31"/>
        <v>309.82932548071864</v>
      </c>
      <c r="BE28" s="25">
        <f t="shared" si="32"/>
        <v>310.28450493953005</v>
      </c>
      <c r="BF28" s="25">
        <f t="shared" si="33"/>
        <v>309.84327993953008</v>
      </c>
      <c r="BG28" s="26">
        <f>+AW28-AY28</f>
        <v>1.1999999999999886</v>
      </c>
      <c r="BH28" s="26">
        <f>+AX28-AZ28</f>
        <v>2.241224999999929</v>
      </c>
      <c r="BI28" s="26">
        <f>+AW28-BA28</f>
        <v>1.382000000000005</v>
      </c>
      <c r="BJ28" s="26">
        <f>+AX28-BB28</f>
        <v>2.4232249999999453</v>
      </c>
      <c r="BK28" s="26">
        <f>(((+BI28+BJ28)/2)+0.1)*O28</f>
        <v>196.35615562499757</v>
      </c>
      <c r="BL28" s="27">
        <f t="shared" si="34"/>
        <v>5890684.6687499275</v>
      </c>
      <c r="BM28" s="28"/>
      <c r="BN28" s="29">
        <v>14.2</v>
      </c>
      <c r="BO28" s="29" t="e">
        <f>(+Y28+#REF!)/2</f>
        <v>#REF!</v>
      </c>
      <c r="BP28" s="30">
        <f t="shared" si="35"/>
        <v>5.2550480718571636E-2</v>
      </c>
      <c r="BQ28" s="29"/>
      <c r="BR28" s="28"/>
      <c r="BS28" s="31" t="str">
        <f>IF(OR(D28="",E28=""),"",IF(BP28&lt;0.12,"Restricción","O K"))</f>
        <v>Restricción</v>
      </c>
      <c r="BT28" s="31" t="e">
        <f>IF(OR(D28="",E28=""),"",IF(#REF!&lt;1,"OK","Restricción"))</f>
        <v>#REF!</v>
      </c>
      <c r="BU28" s="32">
        <f>IF(OR(B28="",C28=""),"",P28)</f>
        <v>8</v>
      </c>
      <c r="BV28" s="33"/>
      <c r="BW28" s="31">
        <f>IF(OR(B28="",C28=""),"",Q28)</f>
        <v>0.182</v>
      </c>
      <c r="BX28" s="34"/>
      <c r="BY28" s="35">
        <f>IF(OR(B28="",C28=""),"",2*ACOS(1-(2*Z28)/Q28))</f>
        <v>2.2691400294360125</v>
      </c>
      <c r="BZ28" s="31">
        <f>IF(OR(B28="",C28=""),"",1/8*((BY28-SIN(BY28))/SIN(BY28/2))*BW28)</f>
        <v>3.7732032689559186E-2</v>
      </c>
      <c r="CA28" s="31">
        <f>IF(OR(B28="",C28=""),"",0.25*(1-(SIN(BY28)/BY28))*BW28)</f>
        <v>3.0142278333016914E-2</v>
      </c>
      <c r="CB28" s="36">
        <f>IF(OR(B28="",C28=""),"",1/8*(BY28-SIN(BY28))*BW28^2)</f>
        <v>6.2241315812903942E-3</v>
      </c>
      <c r="CC28" s="31">
        <f>IF(OR(B28="",C28=""),"",0.5*BY28*BW28)</f>
        <v>0.20649174267867712</v>
      </c>
      <c r="CD28" s="31">
        <f>IF(OR(B28="",C28=""),"",CB28/CC28)</f>
        <v>3.0142278333016918E-2</v>
      </c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</row>
    <row r="29" spans="1:107" ht="14.25" x14ac:dyDescent="0.2">
      <c r="A29" s="37"/>
      <c r="B29" s="38" t="s">
        <v>175</v>
      </c>
      <c r="C29" s="39" t="s">
        <v>173</v>
      </c>
      <c r="D29" s="14">
        <f>+F28</f>
        <v>1.6637</v>
      </c>
      <c r="E29" s="13">
        <v>0.43609999999999999</v>
      </c>
      <c r="F29" s="15">
        <f t="shared" si="2"/>
        <v>2.0998000000000001</v>
      </c>
      <c r="G29" s="16">
        <f t="shared" si="3"/>
        <v>0.99956877240143382</v>
      </c>
      <c r="H29" s="17">
        <f t="shared" si="4"/>
        <v>725.73732718894018</v>
      </c>
      <c r="I29" s="18">
        <f t="shared" si="51"/>
        <v>3.8</v>
      </c>
      <c r="J29" s="9">
        <f t="shared" si="6"/>
        <v>3.7983613351254482</v>
      </c>
      <c r="K29" s="15">
        <f t="shared" si="7"/>
        <v>0.20998000000000003</v>
      </c>
      <c r="L29" s="15">
        <f t="shared" si="8"/>
        <v>0.41996000000000006</v>
      </c>
      <c r="M29" s="15">
        <f t="shared" si="9"/>
        <v>4.4283013351254477</v>
      </c>
      <c r="N29" s="57">
        <f t="shared" si="10"/>
        <v>4.4283013351254477</v>
      </c>
      <c r="O29" s="40">
        <v>99.68</v>
      </c>
      <c r="P29" s="19">
        <v>8</v>
      </c>
      <c r="Q29" s="19">
        <f>VLOOKUP(P29,'D internos'!A:C,IF(S29=0.013,2,3),FALSE)</f>
        <v>0.182</v>
      </c>
      <c r="R29" s="41" t="s">
        <v>163</v>
      </c>
      <c r="S29" s="20">
        <f t="shared" si="11"/>
        <v>0.01</v>
      </c>
      <c r="T29" s="7">
        <f>(+AU29-AV29)/O29*100</f>
        <v>1.6051364365970762</v>
      </c>
      <c r="U29" s="8">
        <v>0.45</v>
      </c>
      <c r="V29" s="9">
        <f t="shared" si="12"/>
        <v>22.26475320512505</v>
      </c>
      <c r="W29" s="9">
        <f t="shared" si="13"/>
        <v>0.85582551124665418</v>
      </c>
      <c r="X29" s="10">
        <f>+N29/V29</f>
        <v>0.19889290010661836</v>
      </c>
      <c r="Y29" s="21">
        <f t="shared" si="14"/>
        <v>0.5604182430202288</v>
      </c>
      <c r="Z29" s="21">
        <f t="shared" si="15"/>
        <v>6.0283062424138563E-2</v>
      </c>
      <c r="AA29" s="11">
        <f t="shared" si="16"/>
        <v>4.3926114310893841E-2</v>
      </c>
      <c r="AB29" s="12">
        <f t="shared" si="17"/>
        <v>0.33122561771504705</v>
      </c>
      <c r="AC29" s="12">
        <f t="shared" si="18"/>
        <v>0.24135227643348264</v>
      </c>
      <c r="AD29" s="13">
        <f t="shared" si="19"/>
        <v>3.371261290332489E-2</v>
      </c>
      <c r="AE29" s="22">
        <f t="shared" si="20"/>
        <v>0.15170675806496201</v>
      </c>
      <c r="AF29" s="12">
        <f t="shared" si="21"/>
        <v>1.6007574266558623E-2</v>
      </c>
      <c r="AG29" s="12">
        <f t="shared" si="22"/>
        <v>7.6290636690697189E-2</v>
      </c>
      <c r="AH29" s="15">
        <f t="shared" si="23"/>
        <v>4.3926114310893841E-2</v>
      </c>
      <c r="AI29" s="12">
        <f t="shared" si="52"/>
        <v>0.85298531332940752</v>
      </c>
      <c r="AJ29" s="23" t="str">
        <f t="shared" si="53"/>
        <v>Subcrítico</v>
      </c>
      <c r="AK29" s="14"/>
      <c r="AL29" s="24"/>
      <c r="AM29" s="24"/>
      <c r="AN29" s="24"/>
      <c r="AO29" s="14" t="e">
        <f t="shared" si="26"/>
        <v>#REF!</v>
      </c>
      <c r="AP29" s="14" t="e">
        <f>(0.319*(#REF!/1000))/#REF!^2.5</f>
        <v>#REF!</v>
      </c>
      <c r="AQ29" s="14"/>
      <c r="AR29" s="14"/>
      <c r="AS29" s="14"/>
      <c r="AT29" s="14"/>
      <c r="AU29" s="14">
        <f>+AV28</f>
        <v>312.2</v>
      </c>
      <c r="AV29" s="14">
        <f>+AV26</f>
        <v>310.60000000000002</v>
      </c>
      <c r="AW29" s="14">
        <f t="shared" si="54"/>
        <v>312.2</v>
      </c>
      <c r="AX29" s="14">
        <f t="shared" si="55"/>
        <v>310.60000000000002</v>
      </c>
      <c r="AY29" s="14">
        <f>AZ28-0.02</f>
        <v>309.93877500000008</v>
      </c>
      <c r="AZ29" s="14">
        <f>+AY29-O29*U29/100</f>
        <v>309.49021500000009</v>
      </c>
      <c r="BA29" s="14">
        <f t="shared" si="29"/>
        <v>309.75677500000006</v>
      </c>
      <c r="BB29" s="8">
        <f>+BA29-O29*U29/100</f>
        <v>309.30821500000008</v>
      </c>
      <c r="BC29" s="8">
        <f t="shared" si="30"/>
        <v>309.81705806242422</v>
      </c>
      <c r="BD29" s="8">
        <f t="shared" si="31"/>
        <v>309.36849806242424</v>
      </c>
      <c r="BE29" s="25">
        <f t="shared" si="32"/>
        <v>309.83306563669078</v>
      </c>
      <c r="BF29" s="25">
        <f t="shared" si="33"/>
        <v>309.38450563669079</v>
      </c>
      <c r="BG29" s="26">
        <f>+AW29-AY29</f>
        <v>2.2612249999999108</v>
      </c>
      <c r="BH29" s="26">
        <f>+AX29-AZ29</f>
        <v>1.1097849999999312</v>
      </c>
      <c r="BI29" s="26">
        <f>+AW29-BA29</f>
        <v>2.4432249999999271</v>
      </c>
      <c r="BJ29" s="26">
        <f>+AX29-BB29</f>
        <v>1.2917849999999476</v>
      </c>
      <c r="BK29" s="26">
        <f>(((+BI29+BJ29)/2)+0.1)*O29</f>
        <v>196.12089839999379</v>
      </c>
      <c r="BL29" s="27">
        <f t="shared" si="34"/>
        <v>5883626.9519998133</v>
      </c>
      <c r="BM29" s="28"/>
      <c r="BN29" s="29">
        <v>15.2</v>
      </c>
      <c r="BO29" s="29" t="e">
        <f>(+Y29+#REF!)/2</f>
        <v>#REF!</v>
      </c>
      <c r="BP29" s="30">
        <f t="shared" si="35"/>
        <v>6.0283062424138563E-2</v>
      </c>
      <c r="BQ29" s="29"/>
      <c r="BR29" s="28"/>
      <c r="BS29" s="31" t="str">
        <f>IF(OR(D29="",E29=""),"",IF(BP29&lt;0.12,"Restricción","O K"))</f>
        <v>Restricción</v>
      </c>
      <c r="BT29" s="31" t="e">
        <f>IF(OR(D29="",E29=""),"",IF(#REF!&lt;1,"OK","Restricción"))</f>
        <v>#REF!</v>
      </c>
      <c r="BU29" s="32">
        <f>IF(OR(B29="",C29=""),"",P29)</f>
        <v>8</v>
      </c>
      <c r="BV29" s="33"/>
      <c r="BW29" s="31">
        <f>IF(OR(B29="",C29=""),"",Q29)</f>
        <v>0.182</v>
      </c>
      <c r="BX29" s="34"/>
      <c r="BY29" s="35">
        <f>IF(OR(B29="",C29=""),"",2*ACOS(1-(2*Z29)/Q29))</f>
        <v>2.4529694456278919</v>
      </c>
      <c r="BZ29" s="31">
        <f>IF(OR(B29="",C29=""),"",1/8*((BY29-SIN(BY29))/SIN(BY29/2))*BW29)</f>
        <v>4.3926114310893841E-2</v>
      </c>
      <c r="CA29" s="31">
        <f>IF(OR(B29="",C29=""),"",0.25*(1-(SIN(BY29)/BY29))*BW29)</f>
        <v>3.371261290332489E-2</v>
      </c>
      <c r="CB29" s="36">
        <f>IF(OR(B29="",C29=""),"",1/8*(BY29-SIN(BY29))*BW29^2)</f>
        <v>7.5253368539564287E-3</v>
      </c>
      <c r="CC29" s="31">
        <f>IF(OR(B29="",C29=""),"",0.5*BY29*BW29)</f>
        <v>0.22322021955213817</v>
      </c>
      <c r="CD29" s="31">
        <f>IF(OR(B29="",C29=""),"",CB29/CC29)</f>
        <v>3.371261290332489E-2</v>
      </c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</row>
    <row r="30" spans="1:107" ht="14.25" x14ac:dyDescent="0.2">
      <c r="A30" s="37"/>
      <c r="B30" s="38"/>
      <c r="C30" s="39"/>
      <c r="D30" s="14"/>
      <c r="E30" s="13"/>
      <c r="F30" s="15"/>
      <c r="G30" s="16"/>
      <c r="H30" s="17"/>
      <c r="I30" s="18"/>
      <c r="J30" s="9"/>
      <c r="K30" s="15"/>
      <c r="L30" s="15"/>
      <c r="M30" s="15"/>
      <c r="N30" s="57"/>
      <c r="O30" s="40"/>
      <c r="P30" s="19"/>
      <c r="Q30" s="19"/>
      <c r="R30" s="41"/>
      <c r="S30" s="20"/>
      <c r="T30" s="7"/>
      <c r="U30" s="8"/>
      <c r="V30" s="9"/>
      <c r="W30" s="9"/>
      <c r="X30" s="10"/>
      <c r="Y30" s="21"/>
      <c r="Z30" s="21"/>
      <c r="AA30" s="11"/>
      <c r="AB30" s="12"/>
      <c r="AC30" s="12"/>
      <c r="AD30" s="13"/>
      <c r="AE30" s="22"/>
      <c r="AF30" s="12"/>
      <c r="AG30" s="12"/>
      <c r="AH30" s="15"/>
      <c r="AI30" s="12"/>
      <c r="AJ30" s="23"/>
      <c r="AK30" s="14"/>
      <c r="AL30" s="24"/>
      <c r="AM30" s="24"/>
      <c r="AN30" s="2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8"/>
      <c r="BC30" s="8"/>
      <c r="BD30" s="8"/>
      <c r="BE30" s="25"/>
      <c r="BF30" s="25"/>
      <c r="BG30" s="26"/>
      <c r="BH30" s="26"/>
      <c r="BI30" s="26"/>
      <c r="BJ30" s="26"/>
      <c r="BK30" s="26"/>
      <c r="BL30" s="27"/>
      <c r="BM30" s="28"/>
      <c r="BN30" s="29"/>
      <c r="BO30" s="29"/>
      <c r="BP30" s="30"/>
      <c r="BQ30" s="29"/>
      <c r="BR30" s="28"/>
      <c r="BS30" s="31"/>
      <c r="BT30" s="31"/>
      <c r="BU30" s="32"/>
      <c r="BV30" s="33"/>
      <c r="BW30" s="31"/>
      <c r="BX30" s="34"/>
      <c r="BY30" s="35"/>
      <c r="BZ30" s="31"/>
      <c r="CA30" s="31"/>
      <c r="CB30" s="36"/>
      <c r="CC30" s="31"/>
      <c r="CD30" s="31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</row>
    <row r="31" spans="1:107" ht="14.25" x14ac:dyDescent="0.2">
      <c r="A31" s="37">
        <v>1</v>
      </c>
      <c r="B31" s="38" t="s">
        <v>176</v>
      </c>
      <c r="C31" s="39" t="s">
        <v>177</v>
      </c>
      <c r="D31" s="14">
        <v>0</v>
      </c>
      <c r="E31" s="13">
        <v>0.29649999999999999</v>
      </c>
      <c r="F31" s="15">
        <f t="shared" si="2"/>
        <v>0.29649999999999999</v>
      </c>
      <c r="G31" s="16">
        <f t="shared" si="3"/>
        <v>0.14114303315412188</v>
      </c>
      <c r="H31" s="17">
        <f t="shared" si="4"/>
        <v>102.47695852534562</v>
      </c>
      <c r="I31" s="18">
        <f t="shared" ref="I31:I32" si="56">IF((5/((H31/1000)^0.2))&lt;1.4,1.4,IF((5/((H31/1000)^0.2))&gt;3.8,3.8,(5/((H31/1000)^0.2))))</f>
        <v>3.8</v>
      </c>
      <c r="J31" s="9">
        <f t="shared" si="6"/>
        <v>0.53634352598566315</v>
      </c>
      <c r="K31" s="15">
        <f t="shared" si="7"/>
        <v>2.9649999999999999E-2</v>
      </c>
      <c r="L31" s="15">
        <f t="shared" si="8"/>
        <v>5.9299999999999999E-2</v>
      </c>
      <c r="M31" s="15">
        <f t="shared" si="9"/>
        <v>0.62529352598566312</v>
      </c>
      <c r="N31" s="57">
        <f t="shared" si="10"/>
        <v>1.5</v>
      </c>
      <c r="O31" s="40">
        <v>95.3</v>
      </c>
      <c r="P31" s="19">
        <v>8</v>
      </c>
      <c r="Q31" s="19">
        <f>VLOOKUP(P31,'D internos'!A:C,IF(S31=0.013,2,3),FALSE)</f>
        <v>0.182</v>
      </c>
      <c r="R31" s="41" t="s">
        <v>163</v>
      </c>
      <c r="S31" s="20">
        <f t="shared" si="11"/>
        <v>0.01</v>
      </c>
      <c r="T31" s="7">
        <f>(+AU31-AV31)/O31*100</f>
        <v>2.3084994753410166</v>
      </c>
      <c r="U31" s="8">
        <v>1.2</v>
      </c>
      <c r="V31" s="9">
        <f t="shared" si="12"/>
        <v>36.358189734368466</v>
      </c>
      <c r="W31" s="9">
        <f t="shared" si="13"/>
        <v>1.3975572076072327</v>
      </c>
      <c r="X31" s="10">
        <f>+N31/V31</f>
        <v>4.1256179445647384E-2</v>
      </c>
      <c r="Y31" s="21">
        <f t="shared" si="14"/>
        <v>0.57557540645941552</v>
      </c>
      <c r="Z31" s="21">
        <f t="shared" si="15"/>
        <v>2.3843246045084778E-2</v>
      </c>
      <c r="AA31" s="11">
        <f t="shared" si="16"/>
        <v>1.6364932893429007E-2</v>
      </c>
      <c r="AB31" s="12">
        <f t="shared" si="17"/>
        <v>0.13100684640156471</v>
      </c>
      <c r="AC31" s="12">
        <f t="shared" si="18"/>
        <v>8.9917213700159385E-2</v>
      </c>
      <c r="AD31" s="13">
        <f t="shared" si="19"/>
        <v>1.4908992787541918E-2</v>
      </c>
      <c r="AE31" s="22">
        <f t="shared" si="20"/>
        <v>0.178907913450503</v>
      </c>
      <c r="AF31" s="12">
        <f t="shared" si="21"/>
        <v>1.6885170668752364E-2</v>
      </c>
      <c r="AG31" s="12">
        <f t="shared" si="22"/>
        <v>4.0728416713837146E-2</v>
      </c>
      <c r="AH31" s="15">
        <f t="shared" si="23"/>
        <v>1.6364932893429007E-2</v>
      </c>
      <c r="AI31" s="12">
        <f t="shared" ref="AI31:AI32" si="57">0.319*Y31/(AA31)^(1/2)</f>
        <v>1.4352772382769585</v>
      </c>
      <c r="AJ31" s="23" t="str">
        <f t="shared" ref="AJ31:AJ32" si="58">IF(AI31&lt;=0.99,"Subcrítico",IF(AI31=1,"CRITICO","Supercrítico"))</f>
        <v>Supercrítico</v>
      </c>
      <c r="AK31" s="14"/>
      <c r="AL31" s="24"/>
      <c r="AM31" s="24"/>
      <c r="AN31" s="24"/>
      <c r="AO31" s="14" t="e">
        <f t="shared" si="26"/>
        <v>#REF!</v>
      </c>
      <c r="AP31" s="14" t="e">
        <f>(0.319*(#REF!/1000))/#REF!^2.5</f>
        <v>#REF!</v>
      </c>
      <c r="AQ31" s="14"/>
      <c r="AR31" s="14"/>
      <c r="AS31" s="14"/>
      <c r="AT31" s="14"/>
      <c r="AU31" s="14">
        <v>312.8</v>
      </c>
      <c r="AV31" s="14">
        <v>310.60000000000002</v>
      </c>
      <c r="AW31" s="14">
        <f t="shared" ref="AW31" si="59">+AU31</f>
        <v>312.8</v>
      </c>
      <c r="AX31" s="14">
        <f>+AV31+0.8</f>
        <v>311.40000000000003</v>
      </c>
      <c r="AY31" s="14">
        <f>+AW31-1.2</f>
        <v>311.60000000000002</v>
      </c>
      <c r="AZ31" s="14">
        <f>+AY31-O31*U31/100</f>
        <v>310.45640000000003</v>
      </c>
      <c r="BA31" s="14">
        <f t="shared" si="29"/>
        <v>311.41800000000001</v>
      </c>
      <c r="BB31" s="8">
        <f>+BA31-O31*U31/100</f>
        <v>310.27440000000001</v>
      </c>
      <c r="BC31" s="8">
        <f t="shared" si="30"/>
        <v>311.4418432460451</v>
      </c>
      <c r="BD31" s="8">
        <f t="shared" si="31"/>
        <v>310.2982432460451</v>
      </c>
      <c r="BE31" s="25">
        <f t="shared" si="32"/>
        <v>311.45872841671383</v>
      </c>
      <c r="BF31" s="25">
        <f t="shared" si="33"/>
        <v>310.31512841671383</v>
      </c>
      <c r="BG31" s="26">
        <f>+AW31-AY31</f>
        <v>1.1999999999999886</v>
      </c>
      <c r="BH31" s="26">
        <f>+AX31-AZ31</f>
        <v>0.94360000000000355</v>
      </c>
      <c r="BI31" s="26">
        <f>+AW31-BA31</f>
        <v>1.382000000000005</v>
      </c>
      <c r="BJ31" s="26">
        <f>+AX31-BB31</f>
        <v>1.1256000000000199</v>
      </c>
      <c r="BK31" s="26">
        <f>(((+BI31+BJ31)/2)+0.1)*O31</f>
        <v>129.01714000000121</v>
      </c>
      <c r="BL31" s="27">
        <f t="shared" si="34"/>
        <v>3870514.200000036</v>
      </c>
      <c r="BM31" s="28"/>
      <c r="BN31" s="29">
        <v>17.2</v>
      </c>
      <c r="BO31" s="29" t="e">
        <f>(+Y31+#REF!)/2</f>
        <v>#REF!</v>
      </c>
      <c r="BP31" s="30">
        <f t="shared" si="35"/>
        <v>2.3843246045084771E-2</v>
      </c>
      <c r="BQ31" s="29"/>
      <c r="BR31" s="28"/>
      <c r="BS31" s="31" t="str">
        <f>IF(OR(D31="",E31=""),"",IF(BP31&lt;0.12,"Restricción","O K"))</f>
        <v>Restricción</v>
      </c>
      <c r="BT31" s="31" t="e">
        <f>IF(OR(D31="",E31=""),"",IF(#REF!&lt;1,"OK","Restricción"))</f>
        <v>#REF!</v>
      </c>
      <c r="BU31" s="32">
        <f>IF(OR(B31="",C31=""),"",P31)</f>
        <v>8</v>
      </c>
      <c r="BV31" s="33"/>
      <c r="BW31" s="31">
        <f>IF(OR(B31="",C31=""),"",Q31)</f>
        <v>0.182</v>
      </c>
      <c r="BX31" s="34"/>
      <c r="BY31" s="35">
        <f>IF(OR(B31="",C31=""),"",2*ACOS(1-(2*Z31)/Q31))</f>
        <v>1.4814298427872861</v>
      </c>
      <c r="BZ31" s="31">
        <f>IF(OR(B31="",C31=""),"",1/8*((BY31-SIN(BY31))/SIN(BY31/2))*BW31)</f>
        <v>1.6364932893429007E-2</v>
      </c>
      <c r="CA31" s="31">
        <f>IF(OR(B31="",C31=""),"",0.25*(1-(SIN(BY31)/BY31))*BW31)</f>
        <v>1.490899278754192E-2</v>
      </c>
      <c r="CB31" s="36">
        <f>IF(OR(B31="",C31=""),"",1/8*(BY31-SIN(BY31))*BW31^2)</f>
        <v>2.0098830425642157E-3</v>
      </c>
      <c r="CC31" s="31">
        <f>IF(OR(B31="",C31=""),"",0.5*BY31*BW31)</f>
        <v>0.13481011569364304</v>
      </c>
      <c r="CD31" s="31">
        <f>IF(OR(B31="",C31=""),"",CB31/CC31)</f>
        <v>1.4908992787541918E-2</v>
      </c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</row>
    <row r="32" spans="1:107" ht="14.25" x14ac:dyDescent="0.2">
      <c r="A32" s="37"/>
      <c r="B32" s="38" t="s">
        <v>177</v>
      </c>
      <c r="C32" s="39" t="s">
        <v>178</v>
      </c>
      <c r="D32" s="14">
        <f>+F31</f>
        <v>0.29649999999999999</v>
      </c>
      <c r="E32" s="13">
        <v>0.1</v>
      </c>
      <c r="F32" s="15">
        <f t="shared" si="2"/>
        <v>0.39649999999999996</v>
      </c>
      <c r="G32" s="16">
        <f t="shared" si="3"/>
        <v>0.18874607974910396</v>
      </c>
      <c r="H32" s="17">
        <f t="shared" si="4"/>
        <v>137.03917050691243</v>
      </c>
      <c r="I32" s="18">
        <f t="shared" si="56"/>
        <v>3.8</v>
      </c>
      <c r="J32" s="9">
        <f t="shared" si="6"/>
        <v>0.71723510304659499</v>
      </c>
      <c r="K32" s="15">
        <f t="shared" si="7"/>
        <v>3.9649999999999998E-2</v>
      </c>
      <c r="L32" s="15">
        <f t="shared" si="8"/>
        <v>7.9299999999999995E-2</v>
      </c>
      <c r="M32" s="15">
        <f t="shared" si="9"/>
        <v>0.83618510304659499</v>
      </c>
      <c r="N32" s="57">
        <f t="shared" si="10"/>
        <v>1.5</v>
      </c>
      <c r="O32" s="40">
        <v>35.83</v>
      </c>
      <c r="P32" s="19">
        <v>8</v>
      </c>
      <c r="Q32" s="19">
        <f>VLOOKUP(P32,'D internos'!A:C,IF(S32=0.013,2,3),FALSE)</f>
        <v>0.182</v>
      </c>
      <c r="R32" s="41" t="s">
        <v>163</v>
      </c>
      <c r="S32" s="20">
        <f t="shared" si="11"/>
        <v>0.01</v>
      </c>
      <c r="T32" s="7">
        <f>(+AU32-AV32)/O32*100</f>
        <v>0</v>
      </c>
      <c r="U32" s="8">
        <v>1.2</v>
      </c>
      <c r="V32" s="9">
        <f t="shared" si="12"/>
        <v>36.358189734368466</v>
      </c>
      <c r="W32" s="9">
        <f t="shared" si="13"/>
        <v>1.3975572076072327</v>
      </c>
      <c r="X32" s="10">
        <f>+N32/V32</f>
        <v>4.1256179445647384E-2</v>
      </c>
      <c r="Y32" s="21">
        <f t="shared" si="14"/>
        <v>0.57557540645941552</v>
      </c>
      <c r="Z32" s="21">
        <f t="shared" si="15"/>
        <v>2.3843246045084778E-2</v>
      </c>
      <c r="AA32" s="11">
        <f t="shared" si="16"/>
        <v>1.6364932893429007E-2</v>
      </c>
      <c r="AB32" s="12">
        <f t="shared" si="17"/>
        <v>0.13100684640156471</v>
      </c>
      <c r="AC32" s="12">
        <f t="shared" si="18"/>
        <v>8.9917213700159385E-2</v>
      </c>
      <c r="AD32" s="13">
        <f t="shared" si="19"/>
        <v>1.4908992787541918E-2</v>
      </c>
      <c r="AE32" s="22">
        <f t="shared" si="20"/>
        <v>0.178907913450503</v>
      </c>
      <c r="AF32" s="12">
        <f t="shared" si="21"/>
        <v>1.6885170668752364E-2</v>
      </c>
      <c r="AG32" s="12">
        <f t="shared" si="22"/>
        <v>4.0728416713837146E-2</v>
      </c>
      <c r="AH32" s="15">
        <f t="shared" si="23"/>
        <v>1.6364932893429007E-2</v>
      </c>
      <c r="AI32" s="12">
        <f t="shared" si="57"/>
        <v>1.4352772382769585</v>
      </c>
      <c r="AJ32" s="23" t="str">
        <f t="shared" si="58"/>
        <v>Supercrítico</v>
      </c>
      <c r="AK32" s="14"/>
      <c r="AL32" s="24"/>
      <c r="AM32" s="24"/>
      <c r="AN32" s="24"/>
      <c r="AO32" s="14" t="e">
        <f t="shared" si="26"/>
        <v>#REF!</v>
      </c>
      <c r="AP32" s="14" t="e">
        <f>(0.319*(#REF!/1000))/#REF!^2.5</f>
        <v>#REF!</v>
      </c>
      <c r="AQ32" s="14"/>
      <c r="AR32" s="14"/>
      <c r="AS32" s="14"/>
      <c r="AT32" s="14"/>
      <c r="AU32" s="14">
        <f>+AV31</f>
        <v>310.60000000000002</v>
      </c>
      <c r="AV32" s="14">
        <v>310.60000000000002</v>
      </c>
      <c r="AW32" s="14">
        <f>+AX31</f>
        <v>311.40000000000003</v>
      </c>
      <c r="AX32" s="14">
        <f>+AV32+0.5</f>
        <v>311.10000000000002</v>
      </c>
      <c r="AY32" s="14">
        <f>AZ31-0.02</f>
        <v>310.43640000000005</v>
      </c>
      <c r="AZ32" s="14">
        <f>+AY32-O32*U32/100</f>
        <v>310.00644000000005</v>
      </c>
      <c r="BA32" s="14">
        <f t="shared" si="29"/>
        <v>310.25440000000003</v>
      </c>
      <c r="BB32" s="8">
        <f>+BA32-O32*U32/100</f>
        <v>309.82444000000004</v>
      </c>
      <c r="BC32" s="8">
        <f t="shared" si="30"/>
        <v>310.27824324604512</v>
      </c>
      <c r="BD32" s="8">
        <f t="shared" si="31"/>
        <v>309.84828324604513</v>
      </c>
      <c r="BE32" s="25">
        <f t="shared" si="32"/>
        <v>310.29512841671385</v>
      </c>
      <c r="BF32" s="25">
        <f t="shared" si="33"/>
        <v>309.86516841671386</v>
      </c>
      <c r="BG32" s="26">
        <f>+AW32-AY32</f>
        <v>0.96359999999998536</v>
      </c>
      <c r="BH32" s="26">
        <f>+AX32-AZ32</f>
        <v>1.0935599999999681</v>
      </c>
      <c r="BI32" s="26">
        <f>+AW32-BA32</f>
        <v>1.1456000000000017</v>
      </c>
      <c r="BJ32" s="26">
        <f>+AX32-BB32</f>
        <v>1.2755599999999845</v>
      </c>
      <c r="BK32" s="26">
        <f>(((+BI32+BJ32)/2)+0.1)*O32</f>
        <v>46.958081399999756</v>
      </c>
      <c r="BL32" s="27">
        <f t="shared" si="34"/>
        <v>1408742.4419999926</v>
      </c>
      <c r="BM32" s="28"/>
      <c r="BN32" s="29">
        <v>18.2</v>
      </c>
      <c r="BO32" s="29" t="e">
        <f>(+Y32+#REF!)/2</f>
        <v>#REF!</v>
      </c>
      <c r="BP32" s="30">
        <f t="shared" si="35"/>
        <v>2.3843246045084771E-2</v>
      </c>
      <c r="BQ32" s="29"/>
      <c r="BR32" s="28"/>
      <c r="BS32" s="31" t="str">
        <f>IF(OR(D32="",E32=""),"",IF(BP32&lt;0.12,"Restricción","O K"))</f>
        <v>Restricción</v>
      </c>
      <c r="BT32" s="31" t="e">
        <f>IF(OR(D32="",E32=""),"",IF(#REF!&lt;1,"OK","Restricción"))</f>
        <v>#REF!</v>
      </c>
      <c r="BU32" s="32">
        <f>IF(OR(B32="",C32=""),"",P32)</f>
        <v>8</v>
      </c>
      <c r="BV32" s="33"/>
      <c r="BW32" s="31">
        <f>IF(OR(B32="",C32=""),"",Q32)</f>
        <v>0.182</v>
      </c>
      <c r="BX32" s="34"/>
      <c r="BY32" s="35">
        <f>IF(OR(B32="",C32=""),"",2*ACOS(1-(2*Z32)/Q32))</f>
        <v>1.4814298427872861</v>
      </c>
      <c r="BZ32" s="31">
        <f>IF(OR(B32="",C32=""),"",1/8*((BY32-SIN(BY32))/SIN(BY32/2))*BW32)</f>
        <v>1.6364932893429007E-2</v>
      </c>
      <c r="CA32" s="31">
        <f>IF(OR(B32="",C32=""),"",0.25*(1-(SIN(BY32)/BY32))*BW32)</f>
        <v>1.490899278754192E-2</v>
      </c>
      <c r="CB32" s="36">
        <f>IF(OR(B32="",C32=""),"",1/8*(BY32-SIN(BY32))*BW32^2)</f>
        <v>2.0098830425642157E-3</v>
      </c>
      <c r="CC32" s="31">
        <f>IF(OR(B32="",C32=""),"",0.5*BY32*BW32)</f>
        <v>0.13481011569364304</v>
      </c>
      <c r="CD32" s="31">
        <f>IF(OR(B32="",C32=""),"",CB32/CC32)</f>
        <v>1.4908992787541918E-2</v>
      </c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</row>
    <row r="33" spans="1:107" ht="14.25" x14ac:dyDescent="0.2">
      <c r="A33" s="37"/>
      <c r="B33" s="38"/>
      <c r="C33" s="39"/>
      <c r="D33" s="14"/>
      <c r="E33" s="13"/>
      <c r="F33" s="15"/>
      <c r="G33" s="16"/>
      <c r="H33" s="17"/>
      <c r="I33" s="18"/>
      <c r="J33" s="9"/>
      <c r="K33" s="15"/>
      <c r="L33" s="15"/>
      <c r="M33" s="15"/>
      <c r="N33" s="57"/>
      <c r="O33" s="40"/>
      <c r="P33" s="19"/>
      <c r="Q33" s="19"/>
      <c r="R33" s="41"/>
      <c r="S33" s="20"/>
      <c r="T33" s="7"/>
      <c r="U33" s="8"/>
      <c r="V33" s="9"/>
      <c r="W33" s="9"/>
      <c r="X33" s="10"/>
      <c r="Y33" s="21"/>
      <c r="Z33" s="21"/>
      <c r="AA33" s="11"/>
      <c r="AB33" s="12"/>
      <c r="AC33" s="12"/>
      <c r="AD33" s="13"/>
      <c r="AE33" s="22"/>
      <c r="AF33" s="12"/>
      <c r="AG33" s="12"/>
      <c r="AH33" s="15"/>
      <c r="AI33" s="12"/>
      <c r="AJ33" s="23"/>
      <c r="AK33" s="14"/>
      <c r="AL33" s="24"/>
      <c r="AM33" s="24"/>
      <c r="AN33" s="2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8"/>
      <c r="BC33" s="8"/>
      <c r="BD33" s="8"/>
      <c r="BE33" s="25"/>
      <c r="BF33" s="25"/>
      <c r="BG33" s="26"/>
      <c r="BH33" s="26"/>
      <c r="BI33" s="26"/>
      <c r="BJ33" s="26"/>
      <c r="BK33" s="26"/>
      <c r="BL33" s="27"/>
      <c r="BM33" s="28"/>
      <c r="BN33" s="29"/>
      <c r="BO33" s="29"/>
      <c r="BP33" s="30"/>
      <c r="BQ33" s="29"/>
      <c r="BR33" s="28"/>
      <c r="BS33" s="31"/>
      <c r="BT33" s="31"/>
      <c r="BU33" s="32"/>
      <c r="BV33" s="33"/>
      <c r="BW33" s="31"/>
      <c r="BX33" s="34"/>
      <c r="BY33" s="35"/>
      <c r="BZ33" s="31"/>
      <c r="CA33" s="31"/>
      <c r="CB33" s="36"/>
      <c r="CC33" s="31"/>
      <c r="CD33" s="31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</row>
    <row r="34" spans="1:107" ht="14.25" x14ac:dyDescent="0.2">
      <c r="A34" s="37">
        <v>1</v>
      </c>
      <c r="B34" s="38" t="s">
        <v>179</v>
      </c>
      <c r="C34" s="39" t="s">
        <v>180</v>
      </c>
      <c r="D34" s="14">
        <f>3425.3/10000</f>
        <v>0.34253</v>
      </c>
      <c r="E34" s="13">
        <v>0.47970000000000002</v>
      </c>
      <c r="F34" s="15">
        <f t="shared" si="2"/>
        <v>0.82223000000000002</v>
      </c>
      <c r="G34" s="16">
        <f t="shared" si="3"/>
        <v>0.39140653001792119</v>
      </c>
      <c r="H34" s="17">
        <f t="shared" si="4"/>
        <v>284.1808755760369</v>
      </c>
      <c r="I34" s="18">
        <f t="shared" ref="I34:I36" si="60">IF((5/((H34/1000)^0.2))&lt;1.4,1.4,IF((5/((H34/1000)^0.2))&gt;3.8,3.8,(5/((H34/1000)^0.2))))</f>
        <v>3.8</v>
      </c>
      <c r="J34" s="9">
        <f t="shared" si="6"/>
        <v>1.4873448140681005</v>
      </c>
      <c r="K34" s="15">
        <f t="shared" si="7"/>
        <v>8.2223000000000004E-2</v>
      </c>
      <c r="L34" s="15">
        <f t="shared" si="8"/>
        <v>0.16444600000000001</v>
      </c>
      <c r="M34" s="15">
        <f t="shared" si="9"/>
        <v>1.7340138140681005</v>
      </c>
      <c r="N34" s="57">
        <f t="shared" si="10"/>
        <v>1.7340138140681005</v>
      </c>
      <c r="O34" s="40">
        <v>96.2</v>
      </c>
      <c r="P34" s="19">
        <v>8</v>
      </c>
      <c r="Q34" s="19">
        <f>VLOOKUP(P34,'D internos'!A:C,IF(S34=0.013,2,3),FALSE)</f>
        <v>0.182</v>
      </c>
      <c r="R34" s="41" t="s">
        <v>163</v>
      </c>
      <c r="S34" s="20">
        <f t="shared" si="11"/>
        <v>0.01</v>
      </c>
      <c r="T34" s="7">
        <f t="shared" ref="T34:T44" si="61">(+AU34-AV34)/O34*100</f>
        <v>-0.62370062370058821</v>
      </c>
      <c r="U34" s="8">
        <v>0.47499999999999998</v>
      </c>
      <c r="V34" s="9">
        <f t="shared" si="12"/>
        <v>22.874859405053545</v>
      </c>
      <c r="W34" s="9">
        <f t="shared" si="13"/>
        <v>0.87927712760449306</v>
      </c>
      <c r="X34" s="10">
        <f t="shared" ref="X34:X44" si="62">+N34/V34</f>
        <v>7.5804348492958154E-2</v>
      </c>
      <c r="Y34" s="21">
        <f t="shared" si="14"/>
        <v>0.4332604195217199</v>
      </c>
      <c r="Z34" s="21">
        <f t="shared" si="15"/>
        <v>3.413205962421334E-2</v>
      </c>
      <c r="AA34" s="11">
        <f t="shared" si="16"/>
        <v>2.3772967094919082E-2</v>
      </c>
      <c r="AB34" s="12">
        <f t="shared" si="17"/>
        <v>0.18753878914402936</v>
      </c>
      <c r="AC34" s="12">
        <f t="shared" si="18"/>
        <v>0.13062069832373122</v>
      </c>
      <c r="AD34" s="13">
        <f t="shared" si="19"/>
        <v>2.0718894061133253E-2</v>
      </c>
      <c r="AE34" s="22">
        <f t="shared" si="20"/>
        <v>9.8414746790382937E-2</v>
      </c>
      <c r="AF34" s="12">
        <f t="shared" si="21"/>
        <v>9.5675122897113506E-3</v>
      </c>
      <c r="AG34" s="12">
        <f t="shared" si="22"/>
        <v>4.3699571913924692E-2</v>
      </c>
      <c r="AH34" s="15">
        <f t="shared" si="23"/>
        <v>2.3772967094919082E-2</v>
      </c>
      <c r="AI34" s="12">
        <f t="shared" ref="AI34:AI37" si="63">0.319*Y34/(AA34)^(1/2)</f>
        <v>0.89639206685865169</v>
      </c>
      <c r="AJ34" s="23" t="str">
        <f t="shared" ref="AJ34:AJ36" si="64">IF(AI34&lt;=0.9,"Subcrítico",IF(AI34&lt;1.1,"CRITICO","Supercrítico"))</f>
        <v>Subcrítico</v>
      </c>
      <c r="AK34" s="14"/>
      <c r="AL34" s="24"/>
      <c r="AM34" s="24"/>
      <c r="AN34" s="24"/>
      <c r="AO34" s="14" t="e">
        <f t="shared" si="26"/>
        <v>#REF!</v>
      </c>
      <c r="AP34" s="14" t="e">
        <f>(0.319*(#REF!/1000))/#REF!^2.5</f>
        <v>#REF!</v>
      </c>
      <c r="AQ34" s="14"/>
      <c r="AR34" s="14"/>
      <c r="AS34" s="14"/>
      <c r="AT34" s="14"/>
      <c r="AU34" s="14">
        <v>311.8</v>
      </c>
      <c r="AV34" s="14">
        <v>312.39999999999998</v>
      </c>
      <c r="AW34" s="14">
        <f t="shared" ref="AW34:AW44" si="65">+AU34</f>
        <v>311.8</v>
      </c>
      <c r="AX34" s="14">
        <f t="shared" ref="AX34:AX44" si="66">+AV34</f>
        <v>312.39999999999998</v>
      </c>
      <c r="AY34" s="14">
        <f>+AW34-1.2</f>
        <v>310.60000000000002</v>
      </c>
      <c r="AZ34" s="14">
        <f t="shared" ref="AZ34:AZ44" si="67">+AY34-O34*U34/100</f>
        <v>310.14305000000002</v>
      </c>
      <c r="BA34" s="14">
        <f t="shared" si="29"/>
        <v>310.41800000000001</v>
      </c>
      <c r="BB34" s="8">
        <f t="shared" ref="BB34:BB44" si="68">+BA34-O34*U34/100</f>
        <v>309.96105</v>
      </c>
      <c r="BC34" s="8">
        <f t="shared" si="30"/>
        <v>310.4521320596242</v>
      </c>
      <c r="BD34" s="8">
        <f t="shared" si="31"/>
        <v>309.9951820596242</v>
      </c>
      <c r="BE34" s="25">
        <f t="shared" si="32"/>
        <v>310.46169957191393</v>
      </c>
      <c r="BF34" s="25">
        <f t="shared" si="33"/>
        <v>310.00474957191392</v>
      </c>
      <c r="BG34" s="26">
        <f>+AW34-AY34</f>
        <v>1.1999999999999886</v>
      </c>
      <c r="BH34" s="26">
        <f>+AX34-AZ34</f>
        <v>2.2569499999999607</v>
      </c>
      <c r="BI34" s="26">
        <f t="shared" ref="BI34:BJ37" si="69">+AW34-BA34</f>
        <v>1.382000000000005</v>
      </c>
      <c r="BJ34" s="26">
        <f t="shared" si="69"/>
        <v>2.4389499999999771</v>
      </c>
      <c r="BK34" s="26">
        <f t="shared" ref="BK34:BK44" si="70">(((+BI34+BJ34)/2)+0.1)*O34</f>
        <v>193.40769499999917</v>
      </c>
      <c r="BL34" s="27">
        <f t="shared" si="34"/>
        <v>5802230.8499999754</v>
      </c>
      <c r="BM34" s="28"/>
      <c r="BN34" s="29">
        <v>20.2</v>
      </c>
      <c r="BO34" s="29" t="e">
        <f>(+Y34+#REF!)/2</f>
        <v>#REF!</v>
      </c>
      <c r="BP34" s="30">
        <f t="shared" si="35"/>
        <v>3.4132059624213326E-2</v>
      </c>
      <c r="BQ34" s="29"/>
      <c r="BR34" s="28"/>
      <c r="BS34" s="31" t="str">
        <f t="shared" ref="BS34:BS44" si="71">IF(OR(D34="",E34=""),"",IF(BP34&lt;0.12,"Restricción","O K"))</f>
        <v>Restricción</v>
      </c>
      <c r="BT34" s="31" t="e">
        <f>IF(OR(D34="",E34=""),"",IF(#REF!&lt;1,"OK","Restricción"))</f>
        <v>#REF!</v>
      </c>
      <c r="BU34" s="32">
        <f t="shared" ref="BU34:BU44" si="72">IF(OR(B34="",C34=""),"",P34)</f>
        <v>8</v>
      </c>
      <c r="BV34" s="33"/>
      <c r="BW34" s="31">
        <f t="shared" ref="BW34:BW44" si="73">IF(OR(B34="",C34=""),"",Q34)</f>
        <v>0.182</v>
      </c>
      <c r="BX34" s="34"/>
      <c r="BY34" s="35">
        <f t="shared" ref="BY34:BY44" si="74">IF(OR(B34="",C34=""),"",2*ACOS(1-(2*Z34)/Q34))</f>
        <v>1.7915283392979657</v>
      </c>
      <c r="BZ34" s="31">
        <f t="shared" ref="BZ34:BZ44" si="75">IF(OR(B34="",C34=""),"",1/8*((BY34-SIN(BY34))/SIN(BY34/2))*BW34)</f>
        <v>2.3772967094919082E-2</v>
      </c>
      <c r="CA34" s="31">
        <f t="shared" ref="CA34:CA44" si="76">IF(OR(B34="",C34=""),"",0.25*(1-(SIN(BY34)/BY34))*BW34)</f>
        <v>2.0718894061133249E-2</v>
      </c>
      <c r="CB34" s="36">
        <f t="shared" ref="CB34:CB44" si="77">IF(OR(B34="",C34=""),"",1/8*(BY34-SIN(BY34))*BW34^2)</f>
        <v>3.3777822141183608E-3</v>
      </c>
      <c r="CC34" s="31">
        <f t="shared" ref="CC34:CC44" si="78">IF(OR(B34="",C34=""),"",0.5*BY34*BW34)</f>
        <v>0.16302907887611487</v>
      </c>
      <c r="CD34" s="31">
        <f t="shared" ref="CD34:CD44" si="79">IF(OR(B34="",C34=""),"",CB34/CC34)</f>
        <v>2.0718894061133253E-2</v>
      </c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</row>
    <row r="35" spans="1:107" ht="14.25" x14ac:dyDescent="0.2">
      <c r="A35" s="37"/>
      <c r="B35" s="38" t="s">
        <v>180</v>
      </c>
      <c r="C35" s="39" t="s">
        <v>178</v>
      </c>
      <c r="D35" s="14">
        <f>+F34</f>
        <v>0.82223000000000002</v>
      </c>
      <c r="E35" s="13">
        <v>0.37580000000000002</v>
      </c>
      <c r="F35" s="15">
        <f t="shared" si="2"/>
        <v>1.1980300000000002</v>
      </c>
      <c r="G35" s="16">
        <f t="shared" si="3"/>
        <v>0.57029877912186389</v>
      </c>
      <c r="H35" s="17">
        <f t="shared" si="4"/>
        <v>414.06566820276504</v>
      </c>
      <c r="I35" s="18">
        <f t="shared" si="60"/>
        <v>3.8</v>
      </c>
      <c r="J35" s="9">
        <f t="shared" si="6"/>
        <v>2.1671353606630825</v>
      </c>
      <c r="K35" s="15">
        <f t="shared" si="7"/>
        <v>0.11980300000000002</v>
      </c>
      <c r="L35" s="15">
        <f t="shared" si="8"/>
        <v>0.23960600000000004</v>
      </c>
      <c r="M35" s="15">
        <f t="shared" si="9"/>
        <v>2.5265443606630829</v>
      </c>
      <c r="N35" s="57">
        <f t="shared" si="10"/>
        <v>2.5265443606630829</v>
      </c>
      <c r="O35" s="40">
        <v>99</v>
      </c>
      <c r="P35" s="19">
        <v>8</v>
      </c>
      <c r="Q35" s="19">
        <f>VLOOKUP(P35,'D internos'!A:C,IF(S35=0.013,2,3),FALSE)</f>
        <v>0.182</v>
      </c>
      <c r="R35" s="41" t="s">
        <v>163</v>
      </c>
      <c r="S35" s="20">
        <f t="shared" si="11"/>
        <v>0.01</v>
      </c>
      <c r="T35" s="7">
        <f t="shared" si="61"/>
        <v>1.8181818181817724</v>
      </c>
      <c r="U35" s="8">
        <v>0.45</v>
      </c>
      <c r="V35" s="9">
        <f t="shared" si="12"/>
        <v>22.26475320512505</v>
      </c>
      <c r="W35" s="9">
        <f t="shared" si="13"/>
        <v>0.85582551124665418</v>
      </c>
      <c r="X35" s="10">
        <f t="shared" si="62"/>
        <v>0.11347731265583963</v>
      </c>
      <c r="Y35" s="21">
        <f t="shared" si="14"/>
        <v>0.47496737101762404</v>
      </c>
      <c r="Z35" s="21">
        <f t="shared" si="15"/>
        <v>4.32995775172079E-2</v>
      </c>
      <c r="AA35" s="11">
        <f t="shared" si="16"/>
        <v>3.0595657767969246E-2</v>
      </c>
      <c r="AB35" s="12">
        <f t="shared" si="17"/>
        <v>0.2379097665780654</v>
      </c>
      <c r="AC35" s="12">
        <f t="shared" si="18"/>
        <v>0.16810800971411674</v>
      </c>
      <c r="AD35" s="13">
        <f t="shared" si="19"/>
        <v>2.5568559263938712E-2</v>
      </c>
      <c r="AE35" s="22">
        <f t="shared" si="20"/>
        <v>0.11505851668772421</v>
      </c>
      <c r="AF35" s="12">
        <f t="shared" si="21"/>
        <v>1.1498165317604146E-2</v>
      </c>
      <c r="AG35" s="12">
        <f t="shared" si="22"/>
        <v>5.4797742834812049E-2</v>
      </c>
      <c r="AH35" s="15">
        <f t="shared" si="23"/>
        <v>3.0595657767969246E-2</v>
      </c>
      <c r="AI35" s="12">
        <f t="shared" si="63"/>
        <v>0.86621272946830608</v>
      </c>
      <c r="AJ35" s="23" t="str">
        <f t="shared" si="64"/>
        <v>Subcrítico</v>
      </c>
      <c r="AK35" s="14"/>
      <c r="AL35" s="24"/>
      <c r="AM35" s="24"/>
      <c r="AN35" s="24"/>
      <c r="AO35" s="14" t="e">
        <f t="shared" si="26"/>
        <v>#REF!</v>
      </c>
      <c r="AP35" s="14" t="e">
        <f>(0.319*(#REF!/1000))/#REF!^2.5</f>
        <v>#REF!</v>
      </c>
      <c r="AQ35" s="14"/>
      <c r="AR35" s="14"/>
      <c r="AS35" s="14"/>
      <c r="AT35" s="14"/>
      <c r="AU35" s="14">
        <f t="shared" ref="AU35:AU44" si="80">+AV34</f>
        <v>312.39999999999998</v>
      </c>
      <c r="AV35" s="14">
        <f>+AV32</f>
        <v>310.60000000000002</v>
      </c>
      <c r="AW35" s="14">
        <f t="shared" si="65"/>
        <v>312.39999999999998</v>
      </c>
      <c r="AX35" s="14">
        <f>+AX32</f>
        <v>311.10000000000002</v>
      </c>
      <c r="AY35" s="14">
        <f>AZ34-0.02</f>
        <v>310.12305000000003</v>
      </c>
      <c r="AZ35" s="14">
        <f t="shared" si="67"/>
        <v>309.67755000000005</v>
      </c>
      <c r="BA35" s="14">
        <f t="shared" si="29"/>
        <v>309.94105000000002</v>
      </c>
      <c r="BB35" s="8">
        <f t="shared" si="68"/>
        <v>309.49555000000004</v>
      </c>
      <c r="BC35" s="8">
        <f t="shared" si="30"/>
        <v>309.98434957751721</v>
      </c>
      <c r="BD35" s="8">
        <f t="shared" si="31"/>
        <v>309.53884957751723</v>
      </c>
      <c r="BE35" s="25">
        <f t="shared" si="32"/>
        <v>309.99584774283483</v>
      </c>
      <c r="BF35" s="25">
        <f t="shared" si="33"/>
        <v>309.55034774283484</v>
      </c>
      <c r="BG35" s="26">
        <f t="shared" ref="BG35:BG37" si="81">+AW35-AY35</f>
        <v>2.2769499999999425</v>
      </c>
      <c r="BH35" s="26">
        <f t="shared" ref="BH35:BH44" si="82">+AX35-AZ35</f>
        <v>1.4224499999999694</v>
      </c>
      <c r="BI35" s="26">
        <f t="shared" si="69"/>
        <v>2.4589499999999589</v>
      </c>
      <c r="BJ35" s="26">
        <f t="shared" si="69"/>
        <v>1.6044499999999857</v>
      </c>
      <c r="BK35" s="26">
        <f t="shared" si="70"/>
        <v>211.03829999999726</v>
      </c>
      <c r="BL35" s="27">
        <f t="shared" si="34"/>
        <v>6331148.999999918</v>
      </c>
      <c r="BM35" s="28"/>
      <c r="BN35" s="29">
        <v>21.2</v>
      </c>
      <c r="BO35" s="29" t="e">
        <f>(+Y35+#REF!)/2</f>
        <v>#REF!</v>
      </c>
      <c r="BP35" s="30">
        <f t="shared" si="35"/>
        <v>4.3299577517207893E-2</v>
      </c>
      <c r="BQ35" s="29"/>
      <c r="BR35" s="28"/>
      <c r="BS35" s="31" t="str">
        <f t="shared" si="71"/>
        <v>Restricción</v>
      </c>
      <c r="BT35" s="31" t="e">
        <f>IF(OR(D35="",E35=""),"",IF(#REF!&lt;1,"OK","Restricción"))</f>
        <v>#REF!</v>
      </c>
      <c r="BU35" s="32">
        <f t="shared" si="72"/>
        <v>8</v>
      </c>
      <c r="BV35" s="33"/>
      <c r="BW35" s="31">
        <f t="shared" si="73"/>
        <v>0.182</v>
      </c>
      <c r="BX35" s="34"/>
      <c r="BY35" s="35">
        <f t="shared" si="74"/>
        <v>2.038087672128686</v>
      </c>
      <c r="BZ35" s="31">
        <f t="shared" si="75"/>
        <v>3.0595657767969246E-2</v>
      </c>
      <c r="CA35" s="31">
        <f t="shared" si="76"/>
        <v>2.5568559263938709E-2</v>
      </c>
      <c r="CB35" s="36">
        <f t="shared" si="77"/>
        <v>4.742097854123193E-3</v>
      </c>
      <c r="CC35" s="31">
        <f t="shared" si="78"/>
        <v>0.18546597816371041</v>
      </c>
      <c r="CD35" s="31">
        <f t="shared" si="79"/>
        <v>2.5568559263938712E-2</v>
      </c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</row>
    <row r="36" spans="1:107" ht="14.25" x14ac:dyDescent="0.2">
      <c r="A36" s="37"/>
      <c r="B36" s="38" t="s">
        <v>178</v>
      </c>
      <c r="C36" s="39" t="s">
        <v>173</v>
      </c>
      <c r="D36" s="14">
        <f>+F35+F32</f>
        <v>1.5945300000000002</v>
      </c>
      <c r="E36" s="13">
        <v>0.1</v>
      </c>
      <c r="F36" s="15">
        <f t="shared" si="2"/>
        <v>1.6945300000000003</v>
      </c>
      <c r="G36" s="16">
        <f t="shared" si="3"/>
        <v>0.80664790546595011</v>
      </c>
      <c r="H36" s="17">
        <f t="shared" si="4"/>
        <v>585.66705069124441</v>
      </c>
      <c r="I36" s="18">
        <f t="shared" si="60"/>
        <v>3.8</v>
      </c>
      <c r="J36" s="9">
        <f t="shared" si="6"/>
        <v>3.0652620407706102</v>
      </c>
      <c r="K36" s="15">
        <f t="shared" si="7"/>
        <v>0.16945300000000005</v>
      </c>
      <c r="L36" s="15">
        <f t="shared" si="8"/>
        <v>0.3389060000000001</v>
      </c>
      <c r="M36" s="15">
        <f t="shared" si="9"/>
        <v>3.5736210407706102</v>
      </c>
      <c r="N36" s="57">
        <f t="shared" si="10"/>
        <v>3.5736210407706102</v>
      </c>
      <c r="O36" s="40">
        <v>41.7</v>
      </c>
      <c r="P36" s="19">
        <v>8</v>
      </c>
      <c r="Q36" s="19">
        <f>VLOOKUP(P36,'D internos'!A:C,IF(S36=0.013,2,3),FALSE)</f>
        <v>0.182</v>
      </c>
      <c r="R36" s="41" t="s">
        <v>163</v>
      </c>
      <c r="S36" s="20">
        <f t="shared" si="11"/>
        <v>0.01</v>
      </c>
      <c r="T36" s="7">
        <f t="shared" si="61"/>
        <v>0</v>
      </c>
      <c r="U36" s="8">
        <v>0.45</v>
      </c>
      <c r="V36" s="9">
        <f t="shared" si="12"/>
        <v>22.26475320512505</v>
      </c>
      <c r="W36" s="9">
        <f t="shared" si="13"/>
        <v>0.85582551124665418</v>
      </c>
      <c r="X36" s="10">
        <f t="shared" si="62"/>
        <v>0.16050575579467954</v>
      </c>
      <c r="Y36" s="21">
        <f t="shared" si="14"/>
        <v>0.52608618429411313</v>
      </c>
      <c r="Z36" s="21">
        <f t="shared" si="15"/>
        <v>5.3122556326536834E-2</v>
      </c>
      <c r="AA36" s="11">
        <f t="shared" si="16"/>
        <v>3.8182680019946721E-2</v>
      </c>
      <c r="AB36" s="12">
        <f t="shared" si="17"/>
        <v>0.29188217761833424</v>
      </c>
      <c r="AC36" s="12">
        <f t="shared" si="18"/>
        <v>0.20979494516454242</v>
      </c>
      <c r="AD36" s="13">
        <f t="shared" si="19"/>
        <v>3.0414378576818127E-2</v>
      </c>
      <c r="AE36" s="22">
        <f t="shared" si="20"/>
        <v>0.13686470359568156</v>
      </c>
      <c r="AF36" s="12">
        <f t="shared" si="21"/>
        <v>1.4106354398834838E-2</v>
      </c>
      <c r="AG36" s="12">
        <f t="shared" si="22"/>
        <v>6.7228910725371668E-2</v>
      </c>
      <c r="AH36" s="15">
        <f t="shared" si="23"/>
        <v>3.8182680019946721E-2</v>
      </c>
      <c r="AI36" s="12">
        <f t="shared" si="63"/>
        <v>0.85884417779572009</v>
      </c>
      <c r="AJ36" s="23" t="str">
        <f t="shared" si="64"/>
        <v>Subcrítico</v>
      </c>
      <c r="AK36" s="14"/>
      <c r="AL36" s="24"/>
      <c r="AM36" s="24"/>
      <c r="AN36" s="24"/>
      <c r="AO36" s="14" t="e">
        <f t="shared" si="26"/>
        <v>#REF!</v>
      </c>
      <c r="AP36" s="14" t="e">
        <f>(0.319*(#REF!/1000))/#REF!^2.5</f>
        <v>#REF!</v>
      </c>
      <c r="AQ36" s="14"/>
      <c r="AR36" s="14"/>
      <c r="AS36" s="14"/>
      <c r="AT36" s="14"/>
      <c r="AU36" s="14">
        <f t="shared" si="80"/>
        <v>310.60000000000002</v>
      </c>
      <c r="AV36" s="14">
        <f>+AV29</f>
        <v>310.60000000000002</v>
      </c>
      <c r="AW36" s="14">
        <f>+AX35</f>
        <v>311.10000000000002</v>
      </c>
      <c r="AX36" s="14">
        <f t="shared" si="66"/>
        <v>310.60000000000002</v>
      </c>
      <c r="AY36" s="14">
        <f>AZ35-0.02</f>
        <v>309.65755000000007</v>
      </c>
      <c r="AZ36" s="14">
        <f t="shared" si="67"/>
        <v>309.46990000000005</v>
      </c>
      <c r="BA36" s="14">
        <f t="shared" ref="BA36:BA44" si="83">+AY36-Q36</f>
        <v>309.47555000000006</v>
      </c>
      <c r="BB36" s="8">
        <f t="shared" si="68"/>
        <v>309.28790000000004</v>
      </c>
      <c r="BC36" s="8">
        <f t="shared" si="30"/>
        <v>309.52867255632657</v>
      </c>
      <c r="BD36" s="8">
        <f t="shared" si="31"/>
        <v>309.34102255632655</v>
      </c>
      <c r="BE36" s="25">
        <f t="shared" si="32"/>
        <v>309.54277891072542</v>
      </c>
      <c r="BF36" s="25">
        <f t="shared" si="33"/>
        <v>309.3551289107254</v>
      </c>
      <c r="BG36" s="26">
        <f t="shared" si="81"/>
        <v>1.4424499999999512</v>
      </c>
      <c r="BH36" s="26">
        <f t="shared" si="82"/>
        <v>1.1300999999999704</v>
      </c>
      <c r="BI36" s="26">
        <f t="shared" si="69"/>
        <v>1.6244499999999675</v>
      </c>
      <c r="BJ36" s="26">
        <f t="shared" si="69"/>
        <v>1.3120999999999867</v>
      </c>
      <c r="BK36" s="26">
        <f t="shared" si="70"/>
        <v>65.397067499999054</v>
      </c>
      <c r="BL36" s="27">
        <f t="shared" si="34"/>
        <v>1961912.0249999715</v>
      </c>
      <c r="BM36" s="28"/>
      <c r="BN36" s="29">
        <v>22.2</v>
      </c>
      <c r="BO36" s="29" t="e">
        <f>(+Y36+#REF!)/2</f>
        <v>#REF!</v>
      </c>
      <c r="BP36" s="30">
        <f t="shared" si="35"/>
        <v>5.3122556326536827E-2</v>
      </c>
      <c r="BQ36" s="29"/>
      <c r="BR36" s="28"/>
      <c r="BS36" s="31" t="str">
        <f t="shared" si="71"/>
        <v>Restricción</v>
      </c>
      <c r="BT36" s="31" t="e">
        <f>IF(OR(D36="",E36=""),"",IF(#REF!&lt;1,"OK","Restricción"))</f>
        <v>#REF!</v>
      </c>
      <c r="BU36" s="32">
        <f t="shared" si="72"/>
        <v>8</v>
      </c>
      <c r="BV36" s="33"/>
      <c r="BW36" s="31">
        <f t="shared" si="73"/>
        <v>0.182</v>
      </c>
      <c r="BX36" s="34"/>
      <c r="BY36" s="35">
        <f t="shared" si="74"/>
        <v>2.2829899691118154</v>
      </c>
      <c r="BZ36" s="31">
        <f t="shared" si="75"/>
        <v>3.8182680019946721E-2</v>
      </c>
      <c r="CA36" s="31">
        <f t="shared" si="76"/>
        <v>3.0414378576818127E-2</v>
      </c>
      <c r="CB36" s="36">
        <f t="shared" si="77"/>
        <v>6.3186506298957019E-3</v>
      </c>
      <c r="CC36" s="31">
        <f t="shared" si="78"/>
        <v>0.20775208718917521</v>
      </c>
      <c r="CD36" s="31">
        <f t="shared" si="79"/>
        <v>3.0414378576818127E-2</v>
      </c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</row>
    <row r="37" spans="1:107" ht="14.25" x14ac:dyDescent="0.2">
      <c r="A37" s="37"/>
      <c r="B37" s="38" t="s">
        <v>173</v>
      </c>
      <c r="C37" s="39" t="s">
        <v>185</v>
      </c>
      <c r="D37" s="14">
        <f>+F29+F26+F36</f>
        <v>11.506160000000001</v>
      </c>
      <c r="E37" s="13">
        <v>0.1</v>
      </c>
      <c r="F37" s="15">
        <f t="shared" ref="F37:F44" si="84">+D37+E37</f>
        <v>11.606160000000001</v>
      </c>
      <c r="G37" s="16">
        <f t="shared" ref="G37:G44" si="85">+$K$8*F37</f>
        <v>5.5248857526881734</v>
      </c>
      <c r="H37" s="17">
        <f t="shared" ref="H37:H44" si="86">+$E$9*F37</f>
        <v>4011.3456221198162</v>
      </c>
      <c r="I37" s="18">
        <f t="shared" ref="I37:I44" si="87">IF((5/((H37/1000)^0.2))&lt;1.4,1.4,IF((5/((H37/1000)^0.2))&gt;3.8,3.8,(5/((H37/1000)^0.2))))</f>
        <v>3.7871454735295655</v>
      </c>
      <c r="J37" s="9">
        <f t="shared" ref="J37:J44" si="88">+I37*G37</f>
        <v>20.923546070061004</v>
      </c>
      <c r="K37" s="15">
        <f t="shared" ref="K37:K44" si="89">+$K$9*F37</f>
        <v>1.1606160000000001</v>
      </c>
      <c r="L37" s="15">
        <f t="shared" ref="L37:L44" si="90">+$K$10*F37</f>
        <v>2.3212320000000002</v>
      </c>
      <c r="M37" s="15">
        <f t="shared" ref="M37:M44" si="91">+J37+K37+L37</f>
        <v>24.405394070061007</v>
      </c>
      <c r="N37" s="57">
        <f t="shared" ref="N37:N44" si="92">IF(M37&lt;1.5,1.5,M37)</f>
        <v>24.405394070061007</v>
      </c>
      <c r="O37" s="40">
        <v>36.97</v>
      </c>
      <c r="P37" s="19">
        <v>12</v>
      </c>
      <c r="Q37" s="19">
        <f>VLOOKUP(P37,'D internos'!A:C,IF(S37=0.013,2,3),FALSE)</f>
        <v>0.28399999999999997</v>
      </c>
      <c r="R37" s="41" t="s">
        <v>163</v>
      </c>
      <c r="S37" s="20">
        <f t="shared" ref="S37:S44" si="93">+IF(R37="PVC",0.01,0.013)</f>
        <v>0.01</v>
      </c>
      <c r="T37" s="7">
        <f t="shared" si="61"/>
        <v>-6.2212604814713401</v>
      </c>
      <c r="U37" s="8">
        <v>0.25</v>
      </c>
      <c r="V37" s="9">
        <f t="shared" ref="V37:V44" si="94">((0.312*Q37^(2.66666666666667)*(U37/100)^0.5)/S37)*1000</f>
        <v>54.363428526533333</v>
      </c>
      <c r="W37" s="9">
        <f t="shared" ref="W37:W44" si="95">(+V37/1000)/(PI()*(Q37)^2/4)</f>
        <v>0.85818373074992405</v>
      </c>
      <c r="X37" s="10">
        <f t="shared" si="62"/>
        <v>0.44893036976410322</v>
      </c>
      <c r="Y37" s="21">
        <f t="shared" ref="Y37:Y44" si="96">W37*1.054148687*(X37)^0.2948111209</f>
        <v>0.71439868452441369</v>
      </c>
      <c r="Z37" s="21">
        <f t="shared" ref="Z37:Z44" si="97">Q37*0.858451597*(X37)^0.5896824401</f>
        <v>0.15203031968266634</v>
      </c>
      <c r="AA37" s="11">
        <f t="shared" ref="AA37:AA44" si="98">1/8*((BY37-SIN(BY37))/SIN(BY37/2))*Q37</f>
        <v>0.12185288135880895</v>
      </c>
      <c r="AB37" s="12">
        <f t="shared" ref="AB37:AB44" si="99">Z37/Q37</f>
        <v>0.53531802705164211</v>
      </c>
      <c r="AC37" s="12">
        <f t="shared" ref="AC37:AC44" si="100">AA37/Q37</f>
        <v>0.42905944140425689</v>
      </c>
      <c r="AD37" s="13">
        <f t="shared" ref="AD37:AD44" si="101">+CD37</f>
        <v>7.4047614624027022E-2</v>
      </c>
      <c r="AE37" s="22">
        <f t="shared" ref="AE37:AE44" si="102">1000*AD37*U37/100</f>
        <v>0.18511903656006756</v>
      </c>
      <c r="AF37" s="12">
        <f t="shared" ref="AF37:AF44" si="103">(Y37^2)/(2*9.81)</f>
        <v>2.6012511745678531E-2</v>
      </c>
      <c r="AG37" s="12">
        <f t="shared" ref="AG37:AG44" si="104">Z37+AF37</f>
        <v>0.17804283142834487</v>
      </c>
      <c r="AH37" s="15">
        <f t="shared" ref="AH37:AH44" si="105">+AC37*Q37</f>
        <v>0.12185288135880895</v>
      </c>
      <c r="AI37" s="12">
        <f t="shared" si="63"/>
        <v>0.65285002895310018</v>
      </c>
      <c r="AJ37" s="23" t="str">
        <f t="shared" ref="AJ37:AJ44" si="106">IF(AI37&lt;=0.9,"Subcrítico",IF(AI37&lt;1.1,"CRITICO","Supercrítico"))</f>
        <v>Subcrítico</v>
      </c>
      <c r="AK37" s="14"/>
      <c r="AL37" s="24"/>
      <c r="AM37" s="24"/>
      <c r="AN37" s="24"/>
      <c r="AO37" s="14" t="e">
        <f t="shared" ref="AO37:AO44" si="107">1.0381283*Q37*AP37^0.5208062</f>
        <v>#REF!</v>
      </c>
      <c r="AP37" s="14" t="e">
        <f>(0.319*(#REF!/1000))/#REF!^2.5</f>
        <v>#REF!</v>
      </c>
      <c r="AQ37" s="14"/>
      <c r="AR37" s="14"/>
      <c r="AS37" s="14"/>
      <c r="AT37" s="14"/>
      <c r="AU37" s="14">
        <f t="shared" si="80"/>
        <v>310.60000000000002</v>
      </c>
      <c r="AV37" s="14">
        <v>312.89999999999998</v>
      </c>
      <c r="AW37" s="14">
        <f t="shared" si="65"/>
        <v>310.60000000000002</v>
      </c>
      <c r="AX37" s="14">
        <f t="shared" si="66"/>
        <v>312.89999999999998</v>
      </c>
      <c r="AY37" s="14">
        <f>+AZ26-0.02</f>
        <v>308.47044000000011</v>
      </c>
      <c r="AZ37" s="14">
        <f t="shared" si="67"/>
        <v>308.37801500000012</v>
      </c>
      <c r="BA37" s="14">
        <f t="shared" si="83"/>
        <v>308.18644000000012</v>
      </c>
      <c r="BB37" s="8">
        <f t="shared" si="68"/>
        <v>308.09401500000013</v>
      </c>
      <c r="BC37" s="8">
        <f t="shared" ref="BC37:BC44" si="108">+BA37+Z37</f>
        <v>308.33847031968281</v>
      </c>
      <c r="BD37" s="8">
        <f t="shared" ref="BD37:BD44" si="109">+BB37+Z37</f>
        <v>308.24604531968282</v>
      </c>
      <c r="BE37" s="25">
        <f t="shared" ref="BE37:BE44" si="110">+BA37+AG37</f>
        <v>308.36448283142846</v>
      </c>
      <c r="BF37" s="25">
        <f t="shared" ref="BF37:BF44" si="111">+BB37+AG37</f>
        <v>308.27205783142847</v>
      </c>
      <c r="BG37" s="26">
        <f t="shared" si="81"/>
        <v>2.1295599999999126</v>
      </c>
      <c r="BH37" s="26">
        <f t="shared" si="82"/>
        <v>4.5219849999998587</v>
      </c>
      <c r="BI37" s="26">
        <f t="shared" si="69"/>
        <v>2.4135599999999044</v>
      </c>
      <c r="BJ37" s="26">
        <f t="shared" si="69"/>
        <v>4.8059849999998505</v>
      </c>
      <c r="BK37" s="26">
        <f t="shared" si="70"/>
        <v>137.15028932499547</v>
      </c>
      <c r="BL37" s="27">
        <f t="shared" ref="BL37:BL44" si="112">+BK37*30000</f>
        <v>4114508.6797498642</v>
      </c>
      <c r="BM37" s="28"/>
      <c r="BN37" s="29">
        <v>22.2</v>
      </c>
      <c r="BO37" s="29" t="e">
        <f>(+Y37+#REF!)/2</f>
        <v>#REF!</v>
      </c>
      <c r="BP37" s="30">
        <f t="shared" ref="BP37:BP44" si="113">(+Q37/2)*(1-COS(BY37/2))</f>
        <v>0.15203031968266634</v>
      </c>
      <c r="BQ37" s="29"/>
      <c r="BR37" s="28"/>
      <c r="BS37" s="31" t="str">
        <f t="shared" si="71"/>
        <v>O K</v>
      </c>
      <c r="BT37" s="31" t="e">
        <f>IF(OR(D37="",E37=""),"",IF(#REF!&lt;1,"OK","Restricción"))</f>
        <v>#REF!</v>
      </c>
      <c r="BU37" s="32">
        <f t="shared" si="72"/>
        <v>12</v>
      </c>
      <c r="BV37" s="33"/>
      <c r="BW37" s="31">
        <f t="shared" si="73"/>
        <v>0.28399999999999997</v>
      </c>
      <c r="BX37" s="34"/>
      <c r="BY37" s="35">
        <f t="shared" si="74"/>
        <v>3.2829825047549464</v>
      </c>
      <c r="BZ37" s="31">
        <f t="shared" si="75"/>
        <v>0.12185288135880895</v>
      </c>
      <c r="CA37" s="31">
        <f t="shared" si="76"/>
        <v>7.4047614624027022E-2</v>
      </c>
      <c r="CB37" s="36">
        <f t="shared" si="77"/>
        <v>3.451977731279144E-2</v>
      </c>
      <c r="CC37" s="31">
        <f t="shared" si="78"/>
        <v>0.46618351567520233</v>
      </c>
      <c r="CD37" s="31">
        <f t="shared" si="79"/>
        <v>7.4047614624027022E-2</v>
      </c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</row>
    <row r="38" spans="1:107" ht="14.25" x14ac:dyDescent="0.2">
      <c r="A38" s="37"/>
      <c r="B38" s="38" t="str">
        <f>+C37</f>
        <v>PZA</v>
      </c>
      <c r="C38" s="39" t="s">
        <v>186</v>
      </c>
      <c r="D38" s="14">
        <f>+F37</f>
        <v>11.606160000000001</v>
      </c>
      <c r="E38" s="13">
        <v>0.1</v>
      </c>
      <c r="F38" s="15">
        <f t="shared" si="84"/>
        <v>11.706160000000001</v>
      </c>
      <c r="G38" s="16">
        <f t="shared" si="85"/>
        <v>5.5724887992831551</v>
      </c>
      <c r="H38" s="17">
        <f t="shared" si="86"/>
        <v>4045.9078341013828</v>
      </c>
      <c r="I38" s="18">
        <f t="shared" si="87"/>
        <v>3.7806529039883605</v>
      </c>
      <c r="J38" s="9">
        <f t="shared" si="88"/>
        <v>21.067645961452474</v>
      </c>
      <c r="K38" s="15">
        <f t="shared" si="89"/>
        <v>1.1706160000000001</v>
      </c>
      <c r="L38" s="15">
        <f t="shared" si="90"/>
        <v>2.3412320000000002</v>
      </c>
      <c r="M38" s="15">
        <f t="shared" si="91"/>
        <v>24.579493961452474</v>
      </c>
      <c r="N38" s="57">
        <f t="shared" si="92"/>
        <v>24.579493961452474</v>
      </c>
      <c r="O38" s="40">
        <v>106.07</v>
      </c>
      <c r="P38" s="19">
        <v>12</v>
      </c>
      <c r="Q38" s="19">
        <f>VLOOKUP(P38,'D internos'!A:C,IF(S38=0.013,2,3),FALSE)</f>
        <v>0.28399999999999997</v>
      </c>
      <c r="R38" s="41" t="s">
        <v>163</v>
      </c>
      <c r="S38" s="20">
        <f t="shared" si="93"/>
        <v>0.01</v>
      </c>
      <c r="T38" s="7">
        <f t="shared" si="61"/>
        <v>1.4047327236730012</v>
      </c>
      <c r="U38" s="8">
        <v>0.25</v>
      </c>
      <c r="V38" s="9">
        <f t="shared" si="94"/>
        <v>54.363428526533333</v>
      </c>
      <c r="W38" s="9">
        <f t="shared" si="95"/>
        <v>0.85818373074992405</v>
      </c>
      <c r="X38" s="10">
        <f t="shared" si="62"/>
        <v>0.45213288837100996</v>
      </c>
      <c r="Y38" s="21">
        <f t="shared" si="96"/>
        <v>0.71589736086122924</v>
      </c>
      <c r="Z38" s="21">
        <f t="shared" si="97"/>
        <v>0.15266891706640989</v>
      </c>
      <c r="AA38" s="11">
        <f t="shared" si="98"/>
        <v>0.12253174542198118</v>
      </c>
      <c r="AB38" s="12">
        <f t="shared" si="99"/>
        <v>0.53756660938876732</v>
      </c>
      <c r="AC38" s="12">
        <f t="shared" si="100"/>
        <v>0.43144980782387743</v>
      </c>
      <c r="AD38" s="13">
        <f t="shared" si="101"/>
        <v>7.4231700715196525E-2</v>
      </c>
      <c r="AE38" s="22">
        <f t="shared" si="102"/>
        <v>0.18557925178799131</v>
      </c>
      <c r="AF38" s="12">
        <f t="shared" si="103"/>
        <v>2.6121765101328905E-2</v>
      </c>
      <c r="AG38" s="12">
        <f t="shared" si="104"/>
        <v>0.1787906821677388</v>
      </c>
      <c r="AH38" s="15">
        <f t="shared" si="105"/>
        <v>0.12253174542198118</v>
      </c>
      <c r="AI38" s="12">
        <f t="shared" ref="AI38" si="114">0.319*Y38/(AA38)^(1/2)</f>
        <v>0.65240478023213744</v>
      </c>
      <c r="AJ38" s="23" t="str">
        <f t="shared" si="106"/>
        <v>Subcrítico</v>
      </c>
      <c r="AK38" s="14"/>
      <c r="AL38" s="24"/>
      <c r="AM38" s="24"/>
      <c r="AN38" s="24"/>
      <c r="AO38" s="14" t="e">
        <f t="shared" si="107"/>
        <v>#REF!</v>
      </c>
      <c r="AP38" s="14" t="e">
        <f>(0.319*(#REF!/1000))/#REF!^2.5</f>
        <v>#REF!</v>
      </c>
      <c r="AQ38" s="14"/>
      <c r="AR38" s="14"/>
      <c r="AS38" s="14"/>
      <c r="AT38" s="14"/>
      <c r="AU38" s="14">
        <f t="shared" si="80"/>
        <v>312.89999999999998</v>
      </c>
      <c r="AV38" s="14">
        <v>311.41000000000003</v>
      </c>
      <c r="AW38" s="14">
        <f t="shared" si="65"/>
        <v>312.89999999999998</v>
      </c>
      <c r="AX38" s="14">
        <f t="shared" si="66"/>
        <v>311.41000000000003</v>
      </c>
      <c r="AY38" s="14">
        <f>+AZ37-0.02</f>
        <v>308.35801500000014</v>
      </c>
      <c r="AZ38" s="14">
        <f t="shared" si="67"/>
        <v>308.09284000000014</v>
      </c>
      <c r="BA38" s="14">
        <f t="shared" si="83"/>
        <v>308.07401500000014</v>
      </c>
      <c r="BB38" s="8">
        <f t="shared" si="68"/>
        <v>307.80884000000015</v>
      </c>
      <c r="BC38" s="8">
        <f t="shared" si="108"/>
        <v>308.22668391706657</v>
      </c>
      <c r="BD38" s="8">
        <f t="shared" si="109"/>
        <v>307.96150891706657</v>
      </c>
      <c r="BE38" s="25">
        <f t="shared" si="110"/>
        <v>308.25280568216789</v>
      </c>
      <c r="BF38" s="25">
        <f t="shared" si="111"/>
        <v>307.98763068216789</v>
      </c>
      <c r="BG38" s="26">
        <f t="shared" ref="BG38" si="115">+AW38-AY38</f>
        <v>4.5419849999998405</v>
      </c>
      <c r="BH38" s="26">
        <f t="shared" si="82"/>
        <v>3.3171599999998875</v>
      </c>
      <c r="BI38" s="26">
        <f t="shared" ref="BI38" si="116">+AW38-BA38</f>
        <v>4.8259849999998323</v>
      </c>
      <c r="BJ38" s="26">
        <f t="shared" ref="BJ38" si="117">+AX38-BB38</f>
        <v>3.6011599999998793</v>
      </c>
      <c r="BK38" s="26">
        <f t="shared" si="70"/>
        <v>457.54063507498466</v>
      </c>
      <c r="BL38" s="27">
        <f t="shared" si="112"/>
        <v>13726219.05224954</v>
      </c>
      <c r="BM38" s="28"/>
      <c r="BN38" s="29">
        <v>22.2</v>
      </c>
      <c r="BO38" s="29" t="e">
        <f>(+Y38+#REF!)/2</f>
        <v>#REF!</v>
      </c>
      <c r="BP38" s="30">
        <f t="shared" si="113"/>
        <v>0.15266891706640986</v>
      </c>
      <c r="BQ38" s="29"/>
      <c r="BR38" s="28"/>
      <c r="BS38" s="31" t="str">
        <f t="shared" si="71"/>
        <v>O K</v>
      </c>
      <c r="BT38" s="31" t="e">
        <f>IF(OR(D38="",E38=""),"",IF(#REF!&lt;1,"OK","Restricción"))</f>
        <v>#REF!</v>
      </c>
      <c r="BU38" s="32">
        <f t="shared" si="72"/>
        <v>12</v>
      </c>
      <c r="BV38" s="33"/>
      <c r="BW38" s="31">
        <f t="shared" si="73"/>
        <v>0.28399999999999997</v>
      </c>
      <c r="BX38" s="34"/>
      <c r="BY38" s="35">
        <f t="shared" si="74"/>
        <v>3.2920008271733168</v>
      </c>
      <c r="BZ38" s="31">
        <f t="shared" si="75"/>
        <v>0.12253174542198118</v>
      </c>
      <c r="CA38" s="31">
        <f t="shared" si="76"/>
        <v>7.4231700715196539E-2</v>
      </c>
      <c r="CB38" s="36">
        <f t="shared" si="77"/>
        <v>3.4700656462281085E-2</v>
      </c>
      <c r="CC38" s="31">
        <f t="shared" si="78"/>
        <v>0.46746411745861094</v>
      </c>
      <c r="CD38" s="31">
        <f t="shared" si="79"/>
        <v>7.4231700715196525E-2</v>
      </c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</row>
    <row r="39" spans="1:107" ht="14.25" x14ac:dyDescent="0.2">
      <c r="A39" s="37"/>
      <c r="B39" s="38" t="str">
        <f t="shared" ref="B39:B44" si="118">+C38</f>
        <v>PZB</v>
      </c>
      <c r="C39" s="39" t="s">
        <v>187</v>
      </c>
      <c r="D39" s="14">
        <f t="shared" ref="D39:D44" si="119">+F38</f>
        <v>11.706160000000001</v>
      </c>
      <c r="E39" s="13">
        <v>0.1</v>
      </c>
      <c r="F39" s="15">
        <f t="shared" si="84"/>
        <v>11.80616</v>
      </c>
      <c r="G39" s="16">
        <f t="shared" si="85"/>
        <v>5.6200918458781368</v>
      </c>
      <c r="H39" s="17">
        <f t="shared" si="86"/>
        <v>4080.4700460829495</v>
      </c>
      <c r="I39" s="18">
        <f t="shared" si="87"/>
        <v>3.7742265511772892</v>
      </c>
      <c r="J39" s="9">
        <f t="shared" si="88"/>
        <v>21.211499864768246</v>
      </c>
      <c r="K39" s="15">
        <f t="shared" si="89"/>
        <v>1.1806160000000001</v>
      </c>
      <c r="L39" s="15">
        <f t="shared" si="90"/>
        <v>2.3612320000000002</v>
      </c>
      <c r="M39" s="15">
        <f t="shared" si="91"/>
        <v>24.753347864768248</v>
      </c>
      <c r="N39" s="57">
        <f t="shared" si="92"/>
        <v>24.753347864768248</v>
      </c>
      <c r="O39" s="40">
        <v>100</v>
      </c>
      <c r="P39" s="19">
        <v>12</v>
      </c>
      <c r="Q39" s="19">
        <f>VLOOKUP(P39,'D internos'!A:C,IF(S39=0.013,2,3),FALSE)</f>
        <v>0.28399999999999997</v>
      </c>
      <c r="R39" s="41" t="s">
        <v>163</v>
      </c>
      <c r="S39" s="20">
        <f t="shared" si="93"/>
        <v>0.01</v>
      </c>
      <c r="T39" s="7">
        <f t="shared" si="61"/>
        <v>0.8800000000000523</v>
      </c>
      <c r="U39" s="8">
        <v>0.25</v>
      </c>
      <c r="V39" s="9">
        <f t="shared" si="94"/>
        <v>54.363428526533333</v>
      </c>
      <c r="W39" s="9">
        <f t="shared" si="95"/>
        <v>0.85818373074992405</v>
      </c>
      <c r="X39" s="10">
        <f t="shared" si="62"/>
        <v>0.45533088209634903</v>
      </c>
      <c r="Y39" s="21">
        <f t="shared" si="96"/>
        <v>0.71738646824341867</v>
      </c>
      <c r="Z39" s="21">
        <f t="shared" si="97"/>
        <v>0.15330476278253349</v>
      </c>
      <c r="AA39" s="11">
        <f t="shared" si="98"/>
        <v>0.12321041820579609</v>
      </c>
      <c r="AB39" s="12">
        <f t="shared" si="99"/>
        <v>0.53980550275539962</v>
      </c>
      <c r="AC39" s="12">
        <f t="shared" si="100"/>
        <v>0.43383950072463418</v>
      </c>
      <c r="AD39" s="13">
        <f t="shared" si="101"/>
        <v>7.4413795344448447E-2</v>
      </c>
      <c r="AE39" s="22">
        <f t="shared" si="102"/>
        <v>0.1860344883611211</v>
      </c>
      <c r="AF39" s="12">
        <f t="shared" si="103"/>
        <v>2.6230547646216386E-2</v>
      </c>
      <c r="AG39" s="12">
        <f t="shared" si="104"/>
        <v>0.17953531042874987</v>
      </c>
      <c r="AH39" s="15">
        <f t="shared" si="105"/>
        <v>0.12321041820579609</v>
      </c>
      <c r="AI39" s="12">
        <f t="shared" ref="AI39:AI42" si="120">0.319*Y39/(AA39)^(1/2)</f>
        <v>0.65195879400632895</v>
      </c>
      <c r="AJ39" s="23" t="str">
        <f t="shared" si="106"/>
        <v>Subcrítico</v>
      </c>
      <c r="AK39" s="14"/>
      <c r="AL39" s="24"/>
      <c r="AM39" s="24"/>
      <c r="AN39" s="24"/>
      <c r="AO39" s="14" t="e">
        <f t="shared" si="107"/>
        <v>#REF!</v>
      </c>
      <c r="AP39" s="14" t="e">
        <f>(0.319*(#REF!/1000))/#REF!^2.5</f>
        <v>#REF!</v>
      </c>
      <c r="AQ39" s="14"/>
      <c r="AR39" s="14"/>
      <c r="AS39" s="14"/>
      <c r="AT39" s="14"/>
      <c r="AU39" s="14">
        <f t="shared" si="80"/>
        <v>311.41000000000003</v>
      </c>
      <c r="AV39" s="14">
        <v>310.52999999999997</v>
      </c>
      <c r="AW39" s="14">
        <f t="shared" si="65"/>
        <v>311.41000000000003</v>
      </c>
      <c r="AX39" s="14">
        <f t="shared" si="66"/>
        <v>310.52999999999997</v>
      </c>
      <c r="AY39" s="14">
        <f t="shared" ref="AY39:AY44" si="121">+AZ38-0.02</f>
        <v>308.07284000000016</v>
      </c>
      <c r="AZ39" s="14">
        <f t="shared" si="67"/>
        <v>307.82284000000016</v>
      </c>
      <c r="BA39" s="14">
        <f t="shared" si="83"/>
        <v>307.78884000000016</v>
      </c>
      <c r="BB39" s="8">
        <f t="shared" si="68"/>
        <v>307.53884000000016</v>
      </c>
      <c r="BC39" s="8">
        <f t="shared" si="108"/>
        <v>307.94214476278268</v>
      </c>
      <c r="BD39" s="8">
        <f t="shared" si="109"/>
        <v>307.69214476278268</v>
      </c>
      <c r="BE39" s="25">
        <f t="shared" si="110"/>
        <v>307.96837531042894</v>
      </c>
      <c r="BF39" s="25">
        <f t="shared" si="111"/>
        <v>307.71837531042894</v>
      </c>
      <c r="BG39" s="26">
        <f t="shared" ref="BG39:BG42" si="122">+AW39-AY39</f>
        <v>3.3371599999998693</v>
      </c>
      <c r="BH39" s="26">
        <f t="shared" si="82"/>
        <v>2.707159999999817</v>
      </c>
      <c r="BI39" s="26">
        <f t="shared" ref="BI39:BI42" si="123">+AW39-BA39</f>
        <v>3.6211599999998612</v>
      </c>
      <c r="BJ39" s="26">
        <f t="shared" ref="BJ39:BJ42" si="124">+AX39-BB39</f>
        <v>2.9911599999998089</v>
      </c>
      <c r="BK39" s="26">
        <f t="shared" si="70"/>
        <v>340.6159999999835</v>
      </c>
      <c r="BL39" s="27">
        <f t="shared" si="112"/>
        <v>10218479.999999505</v>
      </c>
      <c r="BM39" s="28"/>
      <c r="BN39" s="29">
        <v>22.2</v>
      </c>
      <c r="BO39" s="29" t="e">
        <f>(+Y39+#REF!)/2</f>
        <v>#REF!</v>
      </c>
      <c r="BP39" s="30">
        <f t="shared" si="113"/>
        <v>0.15330476278253347</v>
      </c>
      <c r="BQ39" s="29"/>
      <c r="BR39" s="28"/>
      <c r="BS39" s="31" t="str">
        <f t="shared" si="71"/>
        <v>O K</v>
      </c>
      <c r="BT39" s="31" t="e">
        <f>IF(OR(D39="",E39=""),"",IF(#REF!&lt;1,"OK","Restricción"))</f>
        <v>#REF!</v>
      </c>
      <c r="BU39" s="32">
        <f t="shared" si="72"/>
        <v>12</v>
      </c>
      <c r="BV39" s="33"/>
      <c r="BW39" s="31">
        <f t="shared" si="73"/>
        <v>0.28399999999999997</v>
      </c>
      <c r="BX39" s="34"/>
      <c r="BY39" s="35">
        <f t="shared" si="74"/>
        <v>3.3009833353022695</v>
      </c>
      <c r="BZ39" s="31">
        <f t="shared" si="75"/>
        <v>0.12321041820579609</v>
      </c>
      <c r="CA39" s="31">
        <f t="shared" si="76"/>
        <v>7.4413795344448447E-2</v>
      </c>
      <c r="CB39" s="36">
        <f t="shared" si="77"/>
        <v>3.4880695165503739E-2</v>
      </c>
      <c r="CC39" s="31">
        <f t="shared" si="78"/>
        <v>0.4687396336129222</v>
      </c>
      <c r="CD39" s="31">
        <f t="shared" si="79"/>
        <v>7.4413795344448447E-2</v>
      </c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</row>
    <row r="40" spans="1:107" ht="14.25" x14ac:dyDescent="0.2">
      <c r="A40" s="37"/>
      <c r="B40" s="38" t="str">
        <f t="shared" si="118"/>
        <v>PZC</v>
      </c>
      <c r="C40" s="39" t="s">
        <v>188</v>
      </c>
      <c r="D40" s="14">
        <f t="shared" si="119"/>
        <v>11.80616</v>
      </c>
      <c r="E40" s="13">
        <v>0.1</v>
      </c>
      <c r="F40" s="15">
        <f t="shared" si="84"/>
        <v>11.90616</v>
      </c>
      <c r="G40" s="16">
        <f t="shared" si="85"/>
        <v>5.6676948924731185</v>
      </c>
      <c r="H40" s="17">
        <f t="shared" si="86"/>
        <v>4115.0322580645161</v>
      </c>
      <c r="I40" s="18">
        <f t="shared" si="87"/>
        <v>3.767865187411624</v>
      </c>
      <c r="J40" s="9">
        <f t="shared" si="88"/>
        <v>21.355110278220131</v>
      </c>
      <c r="K40" s="15">
        <f t="shared" si="89"/>
        <v>1.1906160000000001</v>
      </c>
      <c r="L40" s="15">
        <f t="shared" si="90"/>
        <v>2.3812320000000002</v>
      </c>
      <c r="M40" s="15">
        <f t="shared" si="91"/>
        <v>24.92695827822013</v>
      </c>
      <c r="N40" s="57">
        <f t="shared" si="92"/>
        <v>24.92695827822013</v>
      </c>
      <c r="O40" s="40">
        <v>86.52</v>
      </c>
      <c r="P40" s="19">
        <v>12</v>
      </c>
      <c r="Q40" s="19">
        <f>VLOOKUP(P40,'D internos'!A:C,IF(S40=0.013,2,3),FALSE)</f>
        <v>0.28399999999999997</v>
      </c>
      <c r="R40" s="41" t="s">
        <v>163</v>
      </c>
      <c r="S40" s="20">
        <f t="shared" si="93"/>
        <v>0.01</v>
      </c>
      <c r="T40" s="7">
        <f t="shared" si="61"/>
        <v>-0.56634304207120789</v>
      </c>
      <c r="U40" s="8">
        <v>0.25</v>
      </c>
      <c r="V40" s="9">
        <f t="shared" si="94"/>
        <v>54.363428526533333</v>
      </c>
      <c r="W40" s="9">
        <f t="shared" si="95"/>
        <v>0.85818373074992405</v>
      </c>
      <c r="X40" s="10">
        <f t="shared" si="62"/>
        <v>0.45852439689402497</v>
      </c>
      <c r="Y40" s="21">
        <f t="shared" si="96"/>
        <v>0.71886614828875905</v>
      </c>
      <c r="Z40" s="21">
        <f t="shared" si="97"/>
        <v>0.15393789201423122</v>
      </c>
      <c r="AA40" s="11">
        <f t="shared" si="98"/>
        <v>0.12388893574693992</v>
      </c>
      <c r="AB40" s="12">
        <f t="shared" si="99"/>
        <v>0.54203483103602546</v>
      </c>
      <c r="AC40" s="12">
        <f t="shared" si="100"/>
        <v>0.43622864699626734</v>
      </c>
      <c r="AD40" s="13">
        <f t="shared" si="101"/>
        <v>7.4593921331237059E-2</v>
      </c>
      <c r="AE40" s="22">
        <f t="shared" si="102"/>
        <v>0.18648480332809264</v>
      </c>
      <c r="AF40" s="12">
        <f t="shared" si="103"/>
        <v>2.6338865400383084E-2</v>
      </c>
      <c r="AG40" s="12">
        <f t="shared" si="104"/>
        <v>0.1802767574146143</v>
      </c>
      <c r="AH40" s="15">
        <f t="shared" si="105"/>
        <v>0.12388893574693992</v>
      </c>
      <c r="AI40" s="12">
        <f t="shared" si="120"/>
        <v>0.65151205352076424</v>
      </c>
      <c r="AJ40" s="23" t="str">
        <f t="shared" si="106"/>
        <v>Subcrítico</v>
      </c>
      <c r="AK40" s="14"/>
      <c r="AL40" s="24"/>
      <c r="AM40" s="24"/>
      <c r="AN40" s="24"/>
      <c r="AO40" s="14" t="e">
        <f t="shared" si="107"/>
        <v>#REF!</v>
      </c>
      <c r="AP40" s="14" t="e">
        <f>(0.319*(#REF!/1000))/#REF!^2.5</f>
        <v>#REF!</v>
      </c>
      <c r="AQ40" s="14"/>
      <c r="AR40" s="14"/>
      <c r="AS40" s="14"/>
      <c r="AT40" s="14"/>
      <c r="AU40" s="14">
        <f t="shared" si="80"/>
        <v>310.52999999999997</v>
      </c>
      <c r="AV40" s="14">
        <v>311.02</v>
      </c>
      <c r="AW40" s="14">
        <f t="shared" si="65"/>
        <v>310.52999999999997</v>
      </c>
      <c r="AX40" s="14">
        <f t="shared" si="66"/>
        <v>311.02</v>
      </c>
      <c r="AY40" s="14">
        <f t="shared" si="121"/>
        <v>307.80284000000017</v>
      </c>
      <c r="AZ40" s="14">
        <f t="shared" si="67"/>
        <v>307.58654000000018</v>
      </c>
      <c r="BA40" s="14">
        <f t="shared" si="83"/>
        <v>307.51884000000018</v>
      </c>
      <c r="BB40" s="8">
        <f t="shared" si="68"/>
        <v>307.30254000000019</v>
      </c>
      <c r="BC40" s="8">
        <f t="shared" si="108"/>
        <v>307.67277789201444</v>
      </c>
      <c r="BD40" s="8">
        <f t="shared" si="109"/>
        <v>307.45647789201445</v>
      </c>
      <c r="BE40" s="25">
        <f t="shared" si="110"/>
        <v>307.6991167574148</v>
      </c>
      <c r="BF40" s="25">
        <f t="shared" si="111"/>
        <v>307.48281675741481</v>
      </c>
      <c r="BG40" s="26">
        <f t="shared" si="122"/>
        <v>2.7271599999997989</v>
      </c>
      <c r="BH40" s="26">
        <f t="shared" si="82"/>
        <v>3.4334599999997977</v>
      </c>
      <c r="BI40" s="26">
        <f t="shared" si="123"/>
        <v>3.0111599999997907</v>
      </c>
      <c r="BJ40" s="26">
        <f t="shared" si="124"/>
        <v>3.7174599999997895</v>
      </c>
      <c r="BK40" s="26">
        <f t="shared" si="70"/>
        <v>299.73210119998186</v>
      </c>
      <c r="BL40" s="27">
        <f t="shared" si="112"/>
        <v>8991963.0359994564</v>
      </c>
      <c r="BM40" s="28"/>
      <c r="BN40" s="29">
        <v>22.2</v>
      </c>
      <c r="BO40" s="29" t="e">
        <f>(+Y40+#REF!)/2</f>
        <v>#REF!</v>
      </c>
      <c r="BP40" s="30">
        <f t="shared" si="113"/>
        <v>0.15393789201423122</v>
      </c>
      <c r="BQ40" s="29"/>
      <c r="BR40" s="28"/>
      <c r="BS40" s="31" t="str">
        <f t="shared" si="71"/>
        <v>O K</v>
      </c>
      <c r="BT40" s="31" t="e">
        <f>IF(OR(D40="",E40=""),"",IF(#REF!&lt;1,"OK","Restricción"))</f>
        <v>#REF!</v>
      </c>
      <c r="BU40" s="32">
        <f t="shared" si="72"/>
        <v>12</v>
      </c>
      <c r="BV40" s="33"/>
      <c r="BW40" s="31">
        <f t="shared" si="73"/>
        <v>0.28399999999999997</v>
      </c>
      <c r="BX40" s="34"/>
      <c r="BY40" s="35">
        <f t="shared" si="74"/>
        <v>3.3099306702635434</v>
      </c>
      <c r="BZ40" s="31">
        <f t="shared" si="75"/>
        <v>0.12388893574693992</v>
      </c>
      <c r="CA40" s="31">
        <f t="shared" si="76"/>
        <v>7.4593921331237031E-2</v>
      </c>
      <c r="CB40" s="36">
        <f t="shared" si="77"/>
        <v>3.5059900540187219E-2</v>
      </c>
      <c r="CC40" s="31">
        <f t="shared" si="78"/>
        <v>0.47001015517742312</v>
      </c>
      <c r="CD40" s="31">
        <f t="shared" si="79"/>
        <v>7.4593921331237059E-2</v>
      </c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</row>
    <row r="41" spans="1:107" ht="14.25" x14ac:dyDescent="0.2">
      <c r="A41" s="37"/>
      <c r="B41" s="38" t="str">
        <f t="shared" si="118"/>
        <v>PZD</v>
      </c>
      <c r="C41" s="39" t="s">
        <v>189</v>
      </c>
      <c r="D41" s="14">
        <f t="shared" si="119"/>
        <v>11.90616</v>
      </c>
      <c r="E41" s="13">
        <v>0.1</v>
      </c>
      <c r="F41" s="15">
        <f t="shared" si="84"/>
        <v>12.006159999999999</v>
      </c>
      <c r="G41" s="16">
        <f t="shared" si="85"/>
        <v>5.7152979390681011</v>
      </c>
      <c r="H41" s="17">
        <f t="shared" si="86"/>
        <v>4149.5944700460832</v>
      </c>
      <c r="I41" s="18">
        <f t="shared" si="87"/>
        <v>3.7615676178381281</v>
      </c>
      <c r="J41" s="9">
        <f t="shared" si="88"/>
        <v>21.498479653895561</v>
      </c>
      <c r="K41" s="15">
        <f t="shared" si="89"/>
        <v>1.2006160000000001</v>
      </c>
      <c r="L41" s="15">
        <f t="shared" si="90"/>
        <v>2.4012320000000003</v>
      </c>
      <c r="M41" s="15">
        <f t="shared" si="91"/>
        <v>25.100327653895562</v>
      </c>
      <c r="N41" s="57">
        <f t="shared" si="92"/>
        <v>25.100327653895562</v>
      </c>
      <c r="O41" s="40">
        <v>116.53</v>
      </c>
      <c r="P41" s="19">
        <v>12</v>
      </c>
      <c r="Q41" s="19">
        <f>VLOOKUP(P41,'D internos'!A:C,IF(S41=0.013,2,3),FALSE)</f>
        <v>0.28399999999999997</v>
      </c>
      <c r="R41" s="41" t="s">
        <v>163</v>
      </c>
      <c r="S41" s="20">
        <f t="shared" si="93"/>
        <v>0.01</v>
      </c>
      <c r="T41" s="7">
        <f t="shared" si="61"/>
        <v>-1.2872221745473267</v>
      </c>
      <c r="U41" s="8">
        <v>0.25</v>
      </c>
      <c r="V41" s="9">
        <f t="shared" si="94"/>
        <v>54.363428526533333</v>
      </c>
      <c r="W41" s="9">
        <f t="shared" si="95"/>
        <v>0.85818373074992405</v>
      </c>
      <c r="X41" s="10">
        <f t="shared" si="62"/>
        <v>0.46171347786949757</v>
      </c>
      <c r="Y41" s="21">
        <f t="shared" si="96"/>
        <v>0.72033653934965813</v>
      </c>
      <c r="Z41" s="21">
        <f t="shared" si="97"/>
        <v>0.15456833920320384</v>
      </c>
      <c r="AA41" s="11">
        <f t="shared" si="98"/>
        <v>0.12456733375375224</v>
      </c>
      <c r="AB41" s="12">
        <f t="shared" si="99"/>
        <v>0.54425471550423887</v>
      </c>
      <c r="AC41" s="12">
        <f t="shared" si="100"/>
        <v>0.43861737237236709</v>
      </c>
      <c r="AD41" s="13">
        <f t="shared" si="101"/>
        <v>7.4772100999427174E-2</v>
      </c>
      <c r="AE41" s="22">
        <f t="shared" si="102"/>
        <v>0.18693025249856796</v>
      </c>
      <c r="AF41" s="12">
        <f t="shared" si="103"/>
        <v>2.6446724256994982E-2</v>
      </c>
      <c r="AG41" s="12">
        <f t="shared" si="104"/>
        <v>0.18101506346019883</v>
      </c>
      <c r="AH41" s="15">
        <f t="shared" si="105"/>
        <v>0.12456733375375224</v>
      </c>
      <c r="AI41" s="12">
        <f t="shared" si="120"/>
        <v>0.65106454211452036</v>
      </c>
      <c r="AJ41" s="23" t="str">
        <f t="shared" si="106"/>
        <v>Subcrítico</v>
      </c>
      <c r="AK41" s="14"/>
      <c r="AL41" s="24"/>
      <c r="AM41" s="24"/>
      <c r="AN41" s="24"/>
      <c r="AO41" s="14" t="e">
        <f t="shared" si="107"/>
        <v>#REF!</v>
      </c>
      <c r="AP41" s="14" t="e">
        <f>(0.319*(#REF!/1000))/#REF!^2.5</f>
        <v>#REF!</v>
      </c>
      <c r="AQ41" s="14"/>
      <c r="AR41" s="14"/>
      <c r="AS41" s="14"/>
      <c r="AT41" s="14"/>
      <c r="AU41" s="14">
        <f t="shared" si="80"/>
        <v>311.02</v>
      </c>
      <c r="AV41" s="14">
        <v>312.52</v>
      </c>
      <c r="AW41" s="14">
        <f t="shared" si="65"/>
        <v>311.02</v>
      </c>
      <c r="AX41" s="14">
        <f t="shared" si="66"/>
        <v>312.52</v>
      </c>
      <c r="AY41" s="14">
        <f t="shared" si="121"/>
        <v>307.5665400000002</v>
      </c>
      <c r="AZ41" s="14">
        <f t="shared" si="67"/>
        <v>307.27521500000023</v>
      </c>
      <c r="BA41" s="14">
        <f t="shared" si="83"/>
        <v>307.28254000000021</v>
      </c>
      <c r="BB41" s="8">
        <f t="shared" si="68"/>
        <v>306.99121500000024</v>
      </c>
      <c r="BC41" s="8">
        <f t="shared" si="108"/>
        <v>307.43710833920341</v>
      </c>
      <c r="BD41" s="8">
        <f t="shared" si="109"/>
        <v>307.14578333920343</v>
      </c>
      <c r="BE41" s="25">
        <f t="shared" si="110"/>
        <v>307.46355506346043</v>
      </c>
      <c r="BF41" s="25">
        <f t="shared" si="111"/>
        <v>307.17223006346046</v>
      </c>
      <c r="BG41" s="26">
        <f t="shared" si="122"/>
        <v>3.4534599999997795</v>
      </c>
      <c r="BH41" s="26">
        <f t="shared" si="82"/>
        <v>5.2447849999997516</v>
      </c>
      <c r="BI41" s="26">
        <f t="shared" si="123"/>
        <v>3.7374599999997713</v>
      </c>
      <c r="BJ41" s="26">
        <f t="shared" si="124"/>
        <v>5.5287849999997434</v>
      </c>
      <c r="BK41" s="26">
        <f t="shared" si="70"/>
        <v>551.55076492497165</v>
      </c>
      <c r="BL41" s="27">
        <f t="shared" si="112"/>
        <v>16546522.947749149</v>
      </c>
      <c r="BM41" s="28"/>
      <c r="BN41" s="29">
        <v>22.2</v>
      </c>
      <c r="BO41" s="29" t="e">
        <f>(+Y41+#REF!)/2</f>
        <v>#REF!</v>
      </c>
      <c r="BP41" s="30">
        <f t="shared" si="113"/>
        <v>0.15456833920320379</v>
      </c>
      <c r="BQ41" s="29"/>
      <c r="BR41" s="28"/>
      <c r="BS41" s="31" t="str">
        <f t="shared" si="71"/>
        <v>O K</v>
      </c>
      <c r="BT41" s="31" t="e">
        <f>IF(OR(D41="",E41=""),"",IF(#REF!&lt;1,"OK","Restricción"))</f>
        <v>#REF!</v>
      </c>
      <c r="BU41" s="32">
        <f t="shared" si="72"/>
        <v>12</v>
      </c>
      <c r="BV41" s="33"/>
      <c r="BW41" s="31">
        <f t="shared" si="73"/>
        <v>0.28399999999999997</v>
      </c>
      <c r="BX41" s="34"/>
      <c r="BY41" s="35">
        <f t="shared" si="74"/>
        <v>3.3188434594528102</v>
      </c>
      <c r="BZ41" s="31">
        <f t="shared" si="75"/>
        <v>0.12456733375375224</v>
      </c>
      <c r="CA41" s="31">
        <f t="shared" si="76"/>
        <v>7.4772100999427174E-2</v>
      </c>
      <c r="CB41" s="36">
        <f t="shared" si="77"/>
        <v>3.523827956591212E-2</v>
      </c>
      <c r="CC41" s="31">
        <f t="shared" si="78"/>
        <v>0.47127577124229902</v>
      </c>
      <c r="CD41" s="31">
        <f t="shared" si="79"/>
        <v>7.4772100999427174E-2</v>
      </c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</row>
    <row r="42" spans="1:107" ht="14.25" x14ac:dyDescent="0.2">
      <c r="A42" s="37"/>
      <c r="B42" s="38" t="str">
        <f t="shared" si="118"/>
        <v>PZE</v>
      </c>
      <c r="C42" s="39" t="s">
        <v>190</v>
      </c>
      <c r="D42" s="14">
        <f t="shared" si="119"/>
        <v>12.006159999999999</v>
      </c>
      <c r="E42" s="13">
        <v>0.1</v>
      </c>
      <c r="F42" s="15">
        <f t="shared" si="84"/>
        <v>12.106159999999999</v>
      </c>
      <c r="G42" s="16">
        <f t="shared" si="85"/>
        <v>5.7629009856630828</v>
      </c>
      <c r="H42" s="17">
        <f t="shared" si="86"/>
        <v>4184.1566820276494</v>
      </c>
      <c r="I42" s="18">
        <f t="shared" si="87"/>
        <v>3.7553326792922306</v>
      </c>
      <c r="J42" s="9">
        <f t="shared" si="88"/>
        <v>21.641610398985982</v>
      </c>
      <c r="K42" s="15">
        <f t="shared" si="89"/>
        <v>1.2106159999999999</v>
      </c>
      <c r="L42" s="15">
        <f t="shared" si="90"/>
        <v>2.4212319999999998</v>
      </c>
      <c r="M42" s="15">
        <f t="shared" si="91"/>
        <v>25.273458398985984</v>
      </c>
      <c r="N42" s="57">
        <f t="shared" si="92"/>
        <v>25.273458398985984</v>
      </c>
      <c r="O42" s="40">
        <v>99.54</v>
      </c>
      <c r="P42" s="19">
        <v>12</v>
      </c>
      <c r="Q42" s="19">
        <f>VLOOKUP(P42,'D internos'!A:C,IF(S42=0.013,2,3),FALSE)</f>
        <v>0.28399999999999997</v>
      </c>
      <c r="R42" s="41" t="s">
        <v>163</v>
      </c>
      <c r="S42" s="20">
        <f t="shared" si="93"/>
        <v>0.01</v>
      </c>
      <c r="T42" s="7">
        <f t="shared" si="61"/>
        <v>1.3964235483222687</v>
      </c>
      <c r="U42" s="8">
        <v>0.25</v>
      </c>
      <c r="V42" s="9">
        <f t="shared" si="94"/>
        <v>54.363428526533333</v>
      </c>
      <c r="W42" s="9">
        <f t="shared" si="95"/>
        <v>0.85818373074992405</v>
      </c>
      <c r="X42" s="10">
        <f t="shared" si="62"/>
        <v>0.46489816930237732</v>
      </c>
      <c r="Y42" s="21">
        <f t="shared" si="96"/>
        <v>0.72179777661495215</v>
      </c>
      <c r="Z42" s="21">
        <f t="shared" si="97"/>
        <v>0.15519613807132496</v>
      </c>
      <c r="AA42" s="11">
        <f t="shared" si="98"/>
        <v>0.12524564762289364</v>
      </c>
      <c r="AB42" s="12">
        <f t="shared" si="99"/>
        <v>0.54646527489903163</v>
      </c>
      <c r="AC42" s="12">
        <f t="shared" si="100"/>
        <v>0.44100580148906215</v>
      </c>
      <c r="AD42" s="13">
        <f t="shared" si="101"/>
        <v>7.4948356191589849E-2</v>
      </c>
      <c r="AE42" s="22">
        <f t="shared" si="102"/>
        <v>0.18737089047897462</v>
      </c>
      <c r="AF42" s="12">
        <f t="shared" si="103"/>
        <v>2.6554129986049356E-2</v>
      </c>
      <c r="AG42" s="12">
        <f t="shared" si="104"/>
        <v>0.18175026805737432</v>
      </c>
      <c r="AH42" s="15">
        <f t="shared" si="105"/>
        <v>0.12524564762289364</v>
      </c>
      <c r="AI42" s="12">
        <f t="shared" si="120"/>
        <v>0.65061624321432276</v>
      </c>
      <c r="AJ42" s="23" t="str">
        <f t="shared" si="106"/>
        <v>Subcrítico</v>
      </c>
      <c r="AK42" s="14"/>
      <c r="AL42" s="24"/>
      <c r="AM42" s="24"/>
      <c r="AN42" s="24"/>
      <c r="AO42" s="14" t="e">
        <f t="shared" si="107"/>
        <v>#REF!</v>
      </c>
      <c r="AP42" s="14" t="e">
        <f>(0.319*(#REF!/1000))/#REF!^2.5</f>
        <v>#REF!</v>
      </c>
      <c r="AQ42" s="14"/>
      <c r="AR42" s="14"/>
      <c r="AS42" s="14"/>
      <c r="AT42" s="14"/>
      <c r="AU42" s="14">
        <f t="shared" si="80"/>
        <v>312.52</v>
      </c>
      <c r="AV42" s="14">
        <v>311.13</v>
      </c>
      <c r="AW42" s="14">
        <f t="shared" si="65"/>
        <v>312.52</v>
      </c>
      <c r="AX42" s="14">
        <f t="shared" si="66"/>
        <v>311.13</v>
      </c>
      <c r="AY42" s="14">
        <f t="shared" si="121"/>
        <v>307.25521500000025</v>
      </c>
      <c r="AZ42" s="14">
        <f t="shared" si="67"/>
        <v>307.00636500000024</v>
      </c>
      <c r="BA42" s="14">
        <f t="shared" si="83"/>
        <v>306.97121500000026</v>
      </c>
      <c r="BB42" s="8">
        <f t="shared" si="68"/>
        <v>306.72236500000025</v>
      </c>
      <c r="BC42" s="8">
        <f t="shared" si="108"/>
        <v>307.1264111380716</v>
      </c>
      <c r="BD42" s="8">
        <f t="shared" si="109"/>
        <v>306.8775611380716</v>
      </c>
      <c r="BE42" s="25">
        <f t="shared" si="110"/>
        <v>307.15296526805764</v>
      </c>
      <c r="BF42" s="25">
        <f t="shared" si="111"/>
        <v>306.90411526805764</v>
      </c>
      <c r="BG42" s="26">
        <f t="shared" si="122"/>
        <v>5.2647849999997334</v>
      </c>
      <c r="BH42" s="26">
        <f t="shared" si="82"/>
        <v>4.1236349999997515</v>
      </c>
      <c r="BI42" s="26">
        <f t="shared" si="123"/>
        <v>5.5487849999997252</v>
      </c>
      <c r="BJ42" s="26">
        <f t="shared" si="124"/>
        <v>4.4076349999997433</v>
      </c>
      <c r="BK42" s="26">
        <f t="shared" si="70"/>
        <v>505.48502339997356</v>
      </c>
      <c r="BL42" s="27">
        <f t="shared" si="112"/>
        <v>15164550.701999206</v>
      </c>
      <c r="BM42" s="28"/>
      <c r="BN42" s="29">
        <v>22.2</v>
      </c>
      <c r="BO42" s="29" t="e">
        <f>(+Y42+#REF!)/2</f>
        <v>#REF!</v>
      </c>
      <c r="BP42" s="30">
        <f t="shared" si="113"/>
        <v>0.15519613807132496</v>
      </c>
      <c r="BQ42" s="29"/>
      <c r="BR42" s="28"/>
      <c r="BS42" s="31" t="str">
        <f t="shared" si="71"/>
        <v>O K</v>
      </c>
      <c r="BT42" s="31" t="e">
        <f>IF(OR(D42="",E42=""),"",IF(#REF!&lt;1,"OK","Restricción"))</f>
        <v>#REF!</v>
      </c>
      <c r="BU42" s="32">
        <f t="shared" si="72"/>
        <v>12</v>
      </c>
      <c r="BV42" s="33"/>
      <c r="BW42" s="31">
        <f t="shared" si="73"/>
        <v>0.28399999999999997</v>
      </c>
      <c r="BX42" s="34"/>
      <c r="BY42" s="35">
        <f t="shared" si="74"/>
        <v>3.327722316977443</v>
      </c>
      <c r="BZ42" s="31">
        <f t="shared" si="75"/>
        <v>0.12524564762289364</v>
      </c>
      <c r="CA42" s="31">
        <f t="shared" si="76"/>
        <v>7.4948356191589849E-2</v>
      </c>
      <c r="CB42" s="36">
        <f t="shared" si="77"/>
        <v>3.5415839087772981E-2</v>
      </c>
      <c r="CC42" s="31">
        <f t="shared" si="78"/>
        <v>0.47253656901079688</v>
      </c>
      <c r="CD42" s="31">
        <f t="shared" si="79"/>
        <v>7.4948356191589849E-2</v>
      </c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</row>
    <row r="43" spans="1:107" ht="14.25" x14ac:dyDescent="0.2">
      <c r="A43" s="37"/>
      <c r="B43" s="38" t="str">
        <f t="shared" si="118"/>
        <v>PZF</v>
      </c>
      <c r="C43" s="39" t="s">
        <v>191</v>
      </c>
      <c r="D43" s="14">
        <f t="shared" si="119"/>
        <v>12.106159999999999</v>
      </c>
      <c r="E43" s="13">
        <v>0.1</v>
      </c>
      <c r="F43" s="15">
        <f t="shared" si="84"/>
        <v>12.206159999999999</v>
      </c>
      <c r="G43" s="16">
        <f t="shared" si="85"/>
        <v>5.8105040322580646</v>
      </c>
      <c r="H43" s="17">
        <f t="shared" si="86"/>
        <v>4218.7188940092165</v>
      </c>
      <c r="I43" s="18">
        <f t="shared" si="87"/>
        <v>3.7491592392040407</v>
      </c>
      <c r="J43" s="9">
        <f t="shared" si="88"/>
        <v>21.784504876972655</v>
      </c>
      <c r="K43" s="15">
        <f t="shared" si="89"/>
        <v>1.2206159999999999</v>
      </c>
      <c r="L43" s="15">
        <f t="shared" si="90"/>
        <v>2.4412319999999998</v>
      </c>
      <c r="M43" s="15">
        <f t="shared" si="91"/>
        <v>25.446352876972654</v>
      </c>
      <c r="N43" s="57">
        <f t="shared" si="92"/>
        <v>25.446352876972654</v>
      </c>
      <c r="O43" s="40">
        <v>99.54</v>
      </c>
      <c r="P43" s="19">
        <v>12</v>
      </c>
      <c r="Q43" s="19">
        <f>VLOOKUP(P43,'D internos'!A:C,IF(S43=0.013,2,3),FALSE)</f>
        <v>0.28399999999999997</v>
      </c>
      <c r="R43" s="41" t="s">
        <v>163</v>
      </c>
      <c r="S43" s="20">
        <f t="shared" si="93"/>
        <v>0.01</v>
      </c>
      <c r="T43" s="7">
        <f t="shared" si="61"/>
        <v>-3.0841872614024441</v>
      </c>
      <c r="U43" s="8">
        <v>0.25</v>
      </c>
      <c r="V43" s="9">
        <f t="shared" si="94"/>
        <v>54.363428526533333</v>
      </c>
      <c r="W43" s="9">
        <f t="shared" si="95"/>
        <v>0.85818373074992405</v>
      </c>
      <c r="X43" s="10">
        <f t="shared" si="62"/>
        <v>0.46807851466823824</v>
      </c>
      <c r="Y43" s="21">
        <f t="shared" si="96"/>
        <v>0.72324999220771602</v>
      </c>
      <c r="Z43" s="21">
        <f t="shared" si="97"/>
        <v>0.15582132164150075</v>
      </c>
      <c r="AA43" s="11">
        <f t="shared" si="98"/>
        <v>0.12592391245552564</v>
      </c>
      <c r="AB43" s="12">
        <f t="shared" si="99"/>
        <v>0.54866662549824219</v>
      </c>
      <c r="AC43" s="12">
        <f t="shared" si="100"/>
        <v>0.44339405794199177</v>
      </c>
      <c r="AD43" s="13">
        <f t="shared" si="101"/>
        <v>7.5122708282763268E-2</v>
      </c>
      <c r="AE43" s="22">
        <f t="shared" si="102"/>
        <v>0.18780677070690818</v>
      </c>
      <c r="AF43" s="12">
        <f t="shared" si="103"/>
        <v>2.6661088237943997E-2</v>
      </c>
      <c r="AG43" s="12">
        <f t="shared" si="104"/>
        <v>0.18248240987944475</v>
      </c>
      <c r="AH43" s="15">
        <f t="shared" si="105"/>
        <v>0.12592391245552564</v>
      </c>
      <c r="AI43" s="12">
        <f t="shared" ref="AI43:AI44" si="125">0.319*Y43/(AA43)^(1/2)</f>
        <v>0.65016714032838652</v>
      </c>
      <c r="AJ43" s="23" t="str">
        <f t="shared" si="106"/>
        <v>Subcrítico</v>
      </c>
      <c r="AK43" s="14"/>
      <c r="AL43" s="24"/>
      <c r="AM43" s="24"/>
      <c r="AN43" s="24"/>
      <c r="AO43" s="14" t="e">
        <f t="shared" si="107"/>
        <v>#REF!</v>
      </c>
      <c r="AP43" s="14" t="e">
        <f>(0.319*(#REF!/1000))/#REF!^2.5</f>
        <v>#REF!</v>
      </c>
      <c r="AQ43" s="14"/>
      <c r="AR43" s="14"/>
      <c r="AS43" s="14"/>
      <c r="AT43" s="14"/>
      <c r="AU43" s="14">
        <f t="shared" si="80"/>
        <v>311.13</v>
      </c>
      <c r="AV43" s="14">
        <v>314.2</v>
      </c>
      <c r="AW43" s="14">
        <f t="shared" si="65"/>
        <v>311.13</v>
      </c>
      <c r="AX43" s="14">
        <f t="shared" si="66"/>
        <v>314.2</v>
      </c>
      <c r="AY43" s="14">
        <f t="shared" si="121"/>
        <v>306.98636500000026</v>
      </c>
      <c r="AZ43" s="14">
        <f t="shared" si="67"/>
        <v>306.73751500000026</v>
      </c>
      <c r="BA43" s="14">
        <f t="shared" si="83"/>
        <v>306.70236500000027</v>
      </c>
      <c r="BB43" s="8">
        <f t="shared" si="68"/>
        <v>306.45351500000027</v>
      </c>
      <c r="BC43" s="8">
        <f t="shared" si="108"/>
        <v>306.85818632164177</v>
      </c>
      <c r="BD43" s="8">
        <f t="shared" si="109"/>
        <v>306.60933632164176</v>
      </c>
      <c r="BE43" s="25">
        <f t="shared" si="110"/>
        <v>306.88484740987974</v>
      </c>
      <c r="BF43" s="25">
        <f t="shared" si="111"/>
        <v>306.63599740987974</v>
      </c>
      <c r="BG43" s="26">
        <f t="shared" ref="BG43:BG44" si="126">+AW43-AY43</f>
        <v>4.1436349999997333</v>
      </c>
      <c r="BH43" s="26">
        <f t="shared" si="82"/>
        <v>7.4624849999997309</v>
      </c>
      <c r="BI43" s="26">
        <f t="shared" ref="BI43:BI44" si="127">+AW43-BA43</f>
        <v>4.4276349999997251</v>
      </c>
      <c r="BJ43" s="26">
        <f t="shared" ref="BJ43:BJ44" si="128">+AX43-BB43</f>
        <v>7.7464849999997227</v>
      </c>
      <c r="BK43" s="26">
        <f t="shared" si="70"/>
        <v>615.85995239997249</v>
      </c>
      <c r="BL43" s="27">
        <f t="shared" si="112"/>
        <v>18475798.571999174</v>
      </c>
      <c r="BM43" s="28"/>
      <c r="BN43" s="29">
        <v>22.2</v>
      </c>
      <c r="BO43" s="29" t="e">
        <f>(+Y43+#REF!)/2</f>
        <v>#REF!</v>
      </c>
      <c r="BP43" s="30">
        <f t="shared" si="113"/>
        <v>0.15582132164150075</v>
      </c>
      <c r="BQ43" s="29"/>
      <c r="BR43" s="28"/>
      <c r="BS43" s="31" t="str">
        <f t="shared" si="71"/>
        <v>O K</v>
      </c>
      <c r="BT43" s="31" t="e">
        <f>IF(OR(D43="",E43=""),"",IF(#REF!&lt;1,"OK","Restricción"))</f>
        <v>#REF!</v>
      </c>
      <c r="BU43" s="32">
        <f t="shared" si="72"/>
        <v>12</v>
      </c>
      <c r="BV43" s="33"/>
      <c r="BW43" s="31">
        <f t="shared" si="73"/>
        <v>0.28399999999999997</v>
      </c>
      <c r="BX43" s="34"/>
      <c r="BY43" s="35">
        <f t="shared" si="74"/>
        <v>3.3365678440773654</v>
      </c>
      <c r="BZ43" s="31">
        <f t="shared" si="75"/>
        <v>0.12592391245552564</v>
      </c>
      <c r="CA43" s="31">
        <f t="shared" si="76"/>
        <v>7.5122708282763268E-2</v>
      </c>
      <c r="CB43" s="36">
        <f t="shared" si="77"/>
        <v>3.5592585819910663E-2</v>
      </c>
      <c r="CC43" s="31">
        <f t="shared" si="78"/>
        <v>0.47379263385898585</v>
      </c>
      <c r="CD43" s="31">
        <f t="shared" si="79"/>
        <v>7.5122708282763268E-2</v>
      </c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</row>
    <row r="44" spans="1:107" ht="14.25" x14ac:dyDescent="0.2">
      <c r="A44" s="37"/>
      <c r="B44" s="38" t="str">
        <f t="shared" si="118"/>
        <v>PZG</v>
      </c>
      <c r="C44" s="39" t="s">
        <v>192</v>
      </c>
      <c r="D44" s="14">
        <f t="shared" si="119"/>
        <v>12.206159999999999</v>
      </c>
      <c r="E44" s="13">
        <v>0.1</v>
      </c>
      <c r="F44" s="15">
        <f t="shared" si="84"/>
        <v>12.306159999999998</v>
      </c>
      <c r="G44" s="16">
        <f t="shared" si="85"/>
        <v>5.8581070788530463</v>
      </c>
      <c r="H44" s="17">
        <f t="shared" si="86"/>
        <v>4253.2811059907826</v>
      </c>
      <c r="I44" s="18">
        <f t="shared" si="87"/>
        <v>3.7430461945507485</v>
      </c>
      <c r="J44" s="9">
        <f t="shared" si="88"/>
        <v>21.927165408771696</v>
      </c>
      <c r="K44" s="15">
        <f t="shared" si="89"/>
        <v>1.2306159999999999</v>
      </c>
      <c r="L44" s="15">
        <f t="shared" si="90"/>
        <v>2.4612319999999999</v>
      </c>
      <c r="M44" s="15">
        <f t="shared" si="91"/>
        <v>25.619013408771696</v>
      </c>
      <c r="N44" s="57">
        <f t="shared" si="92"/>
        <v>25.619013408771696</v>
      </c>
      <c r="O44" s="40">
        <v>24.95</v>
      </c>
      <c r="P44" s="19">
        <v>12</v>
      </c>
      <c r="Q44" s="19">
        <f>VLOOKUP(P44,'D internos'!A:C,IF(S44=0.013,2,3),FALSE)</f>
        <v>0.28399999999999997</v>
      </c>
      <c r="R44" s="41" t="s">
        <v>163</v>
      </c>
      <c r="S44" s="20">
        <f t="shared" si="93"/>
        <v>0.01</v>
      </c>
      <c r="T44" s="7">
        <f t="shared" si="61"/>
        <v>0.16032064128241932</v>
      </c>
      <c r="U44" s="8">
        <v>0.25</v>
      </c>
      <c r="V44" s="9">
        <f t="shared" si="94"/>
        <v>54.363428526533333</v>
      </c>
      <c r="W44" s="9">
        <f t="shared" si="95"/>
        <v>0.85818373074992405</v>
      </c>
      <c r="X44" s="10">
        <f t="shared" si="62"/>
        <v>0.47125455665968052</v>
      </c>
      <c r="Y44" s="21">
        <f t="shared" si="96"/>
        <v>0.7246933152792765</v>
      </c>
      <c r="Z44" s="21">
        <f t="shared" si="97"/>
        <v>0.15644392225775958</v>
      </c>
      <c r="AA44" s="11">
        <f t="shared" si="98"/>
        <v>0.12660216307302968</v>
      </c>
      <c r="AB44" s="12">
        <f t="shared" si="99"/>
        <v>0.55085888118929438</v>
      </c>
      <c r="AC44" s="12">
        <f t="shared" si="100"/>
        <v>0.44578226434165386</v>
      </c>
      <c r="AD44" s="13">
        <f t="shared" si="101"/>
        <v>7.529517819370378E-2</v>
      </c>
      <c r="AE44" s="22">
        <f t="shared" si="102"/>
        <v>0.18823794548425943</v>
      </c>
      <c r="AF44" s="12">
        <f t="shared" si="103"/>
        <v>2.6767604546914823E-2</v>
      </c>
      <c r="AG44" s="12">
        <f t="shared" si="104"/>
        <v>0.1832115268046744</v>
      </c>
      <c r="AH44" s="15">
        <f t="shared" si="105"/>
        <v>0.12660216307302968</v>
      </c>
      <c r="AI44" s="12">
        <f t="shared" si="125"/>
        <v>0.64971721704042751</v>
      </c>
      <c r="AJ44" s="23" t="str">
        <f t="shared" si="106"/>
        <v>Subcrítico</v>
      </c>
      <c r="AK44" s="14"/>
      <c r="AL44" s="24"/>
      <c r="AM44" s="24"/>
      <c r="AN44" s="24"/>
      <c r="AO44" s="14" t="e">
        <f t="shared" si="107"/>
        <v>#REF!</v>
      </c>
      <c r="AP44" s="14" t="e">
        <f>(0.319*(#REF!/1000))/#REF!^2.5</f>
        <v>#REF!</v>
      </c>
      <c r="AQ44" s="14"/>
      <c r="AR44" s="14"/>
      <c r="AS44" s="14"/>
      <c r="AT44" s="14"/>
      <c r="AU44" s="14">
        <f t="shared" si="80"/>
        <v>314.2</v>
      </c>
      <c r="AV44" s="14">
        <v>314.16000000000003</v>
      </c>
      <c r="AW44" s="14">
        <f t="shared" si="65"/>
        <v>314.2</v>
      </c>
      <c r="AX44" s="14">
        <f t="shared" si="66"/>
        <v>314.16000000000003</v>
      </c>
      <c r="AY44" s="14">
        <f t="shared" si="121"/>
        <v>306.71751500000028</v>
      </c>
      <c r="AZ44" s="14">
        <f t="shared" si="67"/>
        <v>306.6551400000003</v>
      </c>
      <c r="BA44" s="14">
        <f t="shared" si="83"/>
        <v>306.43351500000028</v>
      </c>
      <c r="BB44" s="8">
        <f t="shared" si="68"/>
        <v>306.37114000000031</v>
      </c>
      <c r="BC44" s="8">
        <f t="shared" si="108"/>
        <v>306.58995892225806</v>
      </c>
      <c r="BD44" s="8">
        <f t="shared" si="109"/>
        <v>306.52758392225809</v>
      </c>
      <c r="BE44" s="25">
        <f t="shared" si="110"/>
        <v>306.61672652680494</v>
      </c>
      <c r="BF44" s="25">
        <f t="shared" si="111"/>
        <v>306.55435152680496</v>
      </c>
      <c r="BG44" s="26">
        <f t="shared" si="126"/>
        <v>7.4824849999997127</v>
      </c>
      <c r="BH44" s="26">
        <f t="shared" si="82"/>
        <v>7.5048599999997236</v>
      </c>
      <c r="BI44" s="26">
        <f t="shared" si="127"/>
        <v>7.7664849999997045</v>
      </c>
      <c r="BJ44" s="26">
        <f t="shared" si="128"/>
        <v>7.7888599999997155</v>
      </c>
      <c r="BK44" s="26">
        <f t="shared" si="70"/>
        <v>196.54792887499275</v>
      </c>
      <c r="BL44" s="27">
        <f t="shared" si="112"/>
        <v>5896437.866249782</v>
      </c>
      <c r="BM44" s="28"/>
      <c r="BN44" s="29">
        <v>22.2</v>
      </c>
      <c r="BO44" s="29" t="e">
        <f>(+Y44+#REF!)/2</f>
        <v>#REF!</v>
      </c>
      <c r="BP44" s="30">
        <f t="shared" si="113"/>
        <v>0.15644392225775958</v>
      </c>
      <c r="BQ44" s="29"/>
      <c r="BR44" s="28"/>
      <c r="BS44" s="31" t="str">
        <f t="shared" si="71"/>
        <v>O K</v>
      </c>
      <c r="BT44" s="31" t="e">
        <f>IF(OR(D44="",E44=""),"",IF(#REF!&lt;1,"OK","Restricción"))</f>
        <v>#REF!</v>
      </c>
      <c r="BU44" s="32">
        <f t="shared" si="72"/>
        <v>12</v>
      </c>
      <c r="BV44" s="33"/>
      <c r="BW44" s="31">
        <f t="shared" si="73"/>
        <v>0.28399999999999997</v>
      </c>
      <c r="BX44" s="34"/>
      <c r="BY44" s="35">
        <f t="shared" si="74"/>
        <v>3.3453806295297954</v>
      </c>
      <c r="BZ44" s="31">
        <f t="shared" si="75"/>
        <v>0.12660216307302968</v>
      </c>
      <c r="CA44" s="31">
        <f t="shared" si="76"/>
        <v>7.529517819370378E-2</v>
      </c>
      <c r="CB44" s="36">
        <f t="shared" si="77"/>
        <v>3.5768526348921942E-2</v>
      </c>
      <c r="CC44" s="31">
        <f t="shared" si="78"/>
        <v>0.47504404939323092</v>
      </c>
      <c r="CD44" s="31">
        <f t="shared" si="79"/>
        <v>7.529517819370378E-2</v>
      </c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</row>
    <row r="45" spans="1:107" x14ac:dyDescent="0.2">
      <c r="A45" s="43"/>
      <c r="B45" s="63"/>
      <c r="C45" s="63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</row>
    <row r="46" spans="1:107" x14ac:dyDescent="0.2">
      <c r="A46" s="43"/>
      <c r="B46" s="63"/>
      <c r="C46" s="63"/>
      <c r="D46" s="61"/>
      <c r="E46" s="61"/>
      <c r="F46" s="85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</row>
    <row r="47" spans="1:107" x14ac:dyDescent="0.2">
      <c r="A47" s="43"/>
      <c r="B47" s="63"/>
      <c r="C47" s="63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</row>
    <row r="48" spans="1:107" x14ac:dyDescent="0.2">
      <c r="A48" s="43"/>
      <c r="B48" s="63"/>
      <c r="C48" s="63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</row>
    <row r="49" spans="1:107" x14ac:dyDescent="0.2">
      <c r="A49" s="43"/>
      <c r="B49" s="63"/>
      <c r="C49" s="63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</row>
    <row r="50" spans="1:107" x14ac:dyDescent="0.2">
      <c r="A50" s="43"/>
      <c r="B50" s="63"/>
      <c r="C50" s="63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</row>
    <row r="51" spans="1:107" x14ac:dyDescent="0.2">
      <c r="A51" s="43"/>
      <c r="B51" s="63"/>
      <c r="C51" s="63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</row>
    <row r="52" spans="1:107" x14ac:dyDescent="0.2">
      <c r="A52" s="43"/>
      <c r="B52" s="63"/>
      <c r="C52" s="63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</row>
    <row r="53" spans="1:107" ht="14.25" x14ac:dyDescent="0.2">
      <c r="A53" s="43"/>
      <c r="B53" s="63"/>
      <c r="C53" s="63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14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</row>
    <row r="54" spans="1:107" x14ac:dyDescent="0.2">
      <c r="A54" s="43"/>
      <c r="B54" s="63"/>
      <c r="C54" s="63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</row>
    <row r="55" spans="1:107" x14ac:dyDescent="0.2">
      <c r="A55" s="43"/>
      <c r="B55" s="63"/>
      <c r="C55" s="63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</row>
    <row r="56" spans="1:107" x14ac:dyDescent="0.2">
      <c r="A56" s="43"/>
      <c r="B56" s="63"/>
      <c r="C56" s="63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</row>
    <row r="57" spans="1:107" x14ac:dyDescent="0.2">
      <c r="A57" s="43"/>
      <c r="B57" s="63"/>
      <c r="C57" s="63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</row>
    <row r="58" spans="1:107" x14ac:dyDescent="0.2">
      <c r="A58" s="43"/>
      <c r="B58" s="63"/>
      <c r="C58" s="63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>
        <v>36.9</v>
      </c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</row>
    <row r="59" spans="1:107" x14ac:dyDescent="0.2">
      <c r="A59" s="43"/>
      <c r="B59" s="63"/>
      <c r="C59" s="63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>
        <v>5.5</v>
      </c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</row>
    <row r="60" spans="1:107" x14ac:dyDescent="0.2">
      <c r="A60" s="43"/>
      <c r="B60" s="63"/>
      <c r="C60" s="63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>
        <f>+BH58-BH59</f>
        <v>31.4</v>
      </c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</row>
    <row r="61" spans="1:107" x14ac:dyDescent="0.2">
      <c r="A61" s="43"/>
      <c r="B61" s="63"/>
      <c r="C61" s="63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</row>
    <row r="62" spans="1:107" x14ac:dyDescent="0.2">
      <c r="A62" s="43"/>
      <c r="B62" s="63"/>
      <c r="C62" s="63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</row>
    <row r="63" spans="1:107" x14ac:dyDescent="0.2">
      <c r="A63" s="43"/>
      <c r="B63" s="63"/>
      <c r="C63" s="63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</row>
    <row r="64" spans="1:107" x14ac:dyDescent="0.2">
      <c r="A64" s="43"/>
      <c r="B64" s="63"/>
      <c r="C64" s="63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</row>
    <row r="65" spans="1:107" x14ac:dyDescent="0.2">
      <c r="A65" s="43"/>
      <c r="B65" s="63"/>
      <c r="C65" s="63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</row>
    <row r="66" spans="1:107" x14ac:dyDescent="0.2">
      <c r="A66" s="43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</row>
    <row r="67" spans="1:107" x14ac:dyDescent="0.2">
      <c r="A67" s="43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</row>
    <row r="68" spans="1:107" x14ac:dyDescent="0.2">
      <c r="A68" s="43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</row>
    <row r="69" spans="1:107" x14ac:dyDescent="0.2">
      <c r="A69" s="43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</row>
    <row r="70" spans="1:107" x14ac:dyDescent="0.2">
      <c r="A70" s="43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</row>
    <row r="71" spans="1:107" x14ac:dyDescent="0.2">
      <c r="A71" s="43"/>
      <c r="B71" s="43"/>
      <c r="C71" s="43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</row>
    <row r="72" spans="1:107" x14ac:dyDescent="0.2">
      <c r="A72" s="43"/>
      <c r="B72" s="43"/>
      <c r="C72" s="43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</row>
  </sheetData>
  <mergeCells count="39">
    <mergeCell ref="B2:AE2"/>
    <mergeCell ref="AF2:BL2"/>
    <mergeCell ref="N6:P6"/>
    <mergeCell ref="H3:J3"/>
    <mergeCell ref="K3:S3"/>
    <mergeCell ref="K4:S4"/>
    <mergeCell ref="K5:S5"/>
    <mergeCell ref="AK13:AN13"/>
    <mergeCell ref="S13:S14"/>
    <mergeCell ref="V13:W13"/>
    <mergeCell ref="X13:X14"/>
    <mergeCell ref="AI13:AI14"/>
    <mergeCell ref="BT13:BT14"/>
    <mergeCell ref="AO13:AT13"/>
    <mergeCell ref="AU13:AV13"/>
    <mergeCell ref="AY13:AZ13"/>
    <mergeCell ref="BA13:BB13"/>
    <mergeCell ref="BC13:BD13"/>
    <mergeCell ref="BE13:BF13"/>
    <mergeCell ref="BG13:BH13"/>
    <mergeCell ref="BI13:BJ13"/>
    <mergeCell ref="BL13:BL14"/>
    <mergeCell ref="BS13:BS14"/>
    <mergeCell ref="AW13:AX13"/>
    <mergeCell ref="A13:A14"/>
    <mergeCell ref="B13:C13"/>
    <mergeCell ref="D13:F13"/>
    <mergeCell ref="H7:J7"/>
    <mergeCell ref="N7:P7"/>
    <mergeCell ref="B8:D8"/>
    <mergeCell ref="H8:J8"/>
    <mergeCell ref="N8:P8"/>
    <mergeCell ref="B9:D9"/>
    <mergeCell ref="H9:J9"/>
    <mergeCell ref="N9:P9"/>
    <mergeCell ref="B10:D10"/>
    <mergeCell ref="H10:J10"/>
    <mergeCell ref="B11:D11"/>
    <mergeCell ref="B12:C12"/>
  </mergeCells>
  <conditionalFormatting sqref="AV8:AX8">
    <cfRule type="cellIs" dxfId="27" priority="58" stopIfTrue="1" operator="equal">
      <formula>3</formula>
    </cfRule>
  </conditionalFormatting>
  <conditionalFormatting sqref="AE16:AE36">
    <cfRule type="cellIs" dxfId="26" priority="40" stopIfTrue="1" operator="lessThan">
      <formula>0.12</formula>
    </cfRule>
  </conditionalFormatting>
  <conditionalFormatting sqref="Y16:Z36">
    <cfRule type="cellIs" dxfId="25" priority="44" operator="greaterThan">
      <formula>5</formula>
    </cfRule>
    <cfRule type="cellIs" dxfId="24" priority="45" operator="lessThan">
      <formula>0.45</formula>
    </cfRule>
  </conditionalFormatting>
  <conditionalFormatting sqref="AE37">
    <cfRule type="cellIs" dxfId="23" priority="22" stopIfTrue="1" operator="lessThan">
      <formula>0.12</formula>
    </cfRule>
  </conditionalFormatting>
  <conditionalFormatting sqref="Y37:Z37">
    <cfRule type="cellIs" dxfId="22" priority="23" operator="greaterThan">
      <formula>5</formula>
    </cfRule>
    <cfRule type="cellIs" dxfId="21" priority="24" operator="lessThan">
      <formula>0.45</formula>
    </cfRule>
  </conditionalFormatting>
  <conditionalFormatting sqref="AE38">
    <cfRule type="cellIs" dxfId="20" priority="19" stopIfTrue="1" operator="lessThan">
      <formula>0.12</formula>
    </cfRule>
  </conditionalFormatting>
  <conditionalFormatting sqref="Y38:Z38">
    <cfRule type="cellIs" dxfId="19" priority="20" operator="greaterThan">
      <formula>5</formula>
    </cfRule>
    <cfRule type="cellIs" dxfId="18" priority="21" operator="lessThan">
      <formula>0.45</formula>
    </cfRule>
  </conditionalFormatting>
  <conditionalFormatting sqref="AE39">
    <cfRule type="cellIs" dxfId="17" priority="16" stopIfTrue="1" operator="lessThan">
      <formula>0.12</formula>
    </cfRule>
  </conditionalFormatting>
  <conditionalFormatting sqref="Y39:Z39">
    <cfRule type="cellIs" dxfId="16" priority="17" operator="greaterThan">
      <formula>5</formula>
    </cfRule>
    <cfRule type="cellIs" dxfId="15" priority="18" operator="lessThan">
      <formula>0.45</formula>
    </cfRule>
  </conditionalFormatting>
  <conditionalFormatting sqref="AE40">
    <cfRule type="cellIs" dxfId="14" priority="13" stopIfTrue="1" operator="lessThan">
      <formula>0.12</formula>
    </cfRule>
  </conditionalFormatting>
  <conditionalFormatting sqref="Y40:Z40">
    <cfRule type="cellIs" dxfId="13" priority="14" operator="greaterThan">
      <formula>5</formula>
    </cfRule>
    <cfRule type="cellIs" dxfId="12" priority="15" operator="lessThan">
      <formula>0.45</formula>
    </cfRule>
  </conditionalFormatting>
  <conditionalFormatting sqref="AE41">
    <cfRule type="cellIs" dxfId="11" priority="10" stopIfTrue="1" operator="lessThan">
      <formula>0.12</formula>
    </cfRule>
  </conditionalFormatting>
  <conditionalFormatting sqref="Y41:Z41">
    <cfRule type="cellIs" dxfId="10" priority="11" operator="greaterThan">
      <formula>5</formula>
    </cfRule>
    <cfRule type="cellIs" dxfId="9" priority="12" operator="lessThan">
      <formula>0.45</formula>
    </cfRule>
  </conditionalFormatting>
  <conditionalFormatting sqref="AE42">
    <cfRule type="cellIs" dxfId="8" priority="7" stopIfTrue="1" operator="lessThan">
      <formula>0.12</formula>
    </cfRule>
  </conditionalFormatting>
  <conditionalFormatting sqref="Y42:Z42">
    <cfRule type="cellIs" dxfId="7" priority="8" operator="greaterThan">
      <formula>5</formula>
    </cfRule>
    <cfRule type="cellIs" dxfId="6" priority="9" operator="lessThan">
      <formula>0.45</formula>
    </cfRule>
  </conditionalFormatting>
  <conditionalFormatting sqref="AE43">
    <cfRule type="cellIs" dxfId="5" priority="4" stopIfTrue="1" operator="lessThan">
      <formula>0.12</formula>
    </cfRule>
  </conditionalFormatting>
  <conditionalFormatting sqref="Y43:Z43">
    <cfRule type="cellIs" dxfId="4" priority="5" operator="greaterThan">
      <formula>5</formula>
    </cfRule>
    <cfRule type="cellIs" dxfId="3" priority="6" operator="lessThan">
      <formula>0.45</formula>
    </cfRule>
  </conditionalFormatting>
  <conditionalFormatting sqref="AE44">
    <cfRule type="cellIs" dxfId="2" priority="1" stopIfTrue="1" operator="lessThan">
      <formula>0.12</formula>
    </cfRule>
  </conditionalFormatting>
  <conditionalFormatting sqref="Y44:Z44">
    <cfRule type="cellIs" dxfId="1" priority="2" operator="greaterThan">
      <formula>5</formula>
    </cfRule>
    <cfRule type="cellIs" dxfId="0" priority="3" operator="lessThan">
      <formula>0.45</formula>
    </cfRule>
  </conditionalFormatting>
  <pageMargins left="0.39370078740157483" right="0.39370078740157483" top="0.59055118110236227" bottom="0.59055118110236227" header="0" footer="0"/>
  <pageSetup scale="55" orientation="landscape" horizontalDpi="4294967294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05"/>
  <sheetViews>
    <sheetView tabSelected="1" view="pageBreakPreview" zoomScaleNormal="100" zoomScaleSheetLayoutView="100" workbookViewId="0">
      <selection activeCell="A2" sqref="A2:R6"/>
    </sheetView>
  </sheetViews>
  <sheetFormatPr baseColWidth="10" defaultRowHeight="12.75" x14ac:dyDescent="0.2"/>
  <cols>
    <col min="1" max="8" width="11.42578125" style="43"/>
    <col min="9" max="9" width="9.5703125" style="43" customWidth="1"/>
    <col min="10" max="10" width="9.42578125" style="43" bestFit="1" customWidth="1"/>
    <col min="11" max="11" width="10.85546875" style="43" bestFit="1" customWidth="1"/>
    <col min="12" max="13" width="11.42578125" style="43"/>
    <col min="14" max="14" width="8" style="43" bestFit="1" customWidth="1"/>
    <col min="15" max="15" width="10.140625" style="43" customWidth="1"/>
    <col min="16" max="16" width="9.140625" style="43" customWidth="1"/>
    <col min="17" max="17" width="11.140625" style="43" customWidth="1"/>
    <col min="18" max="18" width="8.42578125" style="43" customWidth="1"/>
    <col min="19" max="16384" width="11.42578125" style="43"/>
  </cols>
  <sheetData>
    <row r="2" spans="1:24" ht="26.25" x14ac:dyDescent="0.2">
      <c r="A2" s="257" t="s">
        <v>196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128"/>
      <c r="T2" s="128"/>
      <c r="U2" s="128"/>
      <c r="V2" s="128"/>
      <c r="W2" s="128"/>
      <c r="X2" s="128"/>
    </row>
    <row r="3" spans="1:24" ht="12" customHeight="1" x14ac:dyDescent="0.2">
      <c r="A3" s="127"/>
      <c r="B3" s="127"/>
      <c r="C3" s="127"/>
      <c r="F3" s="259" t="s">
        <v>197</v>
      </c>
      <c r="G3" s="259"/>
      <c r="H3" s="256" t="s">
        <v>198</v>
      </c>
      <c r="I3" s="256"/>
      <c r="J3" s="256"/>
      <c r="K3" s="256"/>
      <c r="L3" s="256"/>
      <c r="M3" s="256"/>
      <c r="N3" s="258"/>
      <c r="O3" s="258"/>
      <c r="P3" s="258"/>
      <c r="Q3" s="258"/>
      <c r="S3" s="128"/>
      <c r="T3" s="128"/>
      <c r="U3" s="128"/>
      <c r="V3" s="128"/>
      <c r="W3" s="128"/>
      <c r="X3" s="128"/>
    </row>
    <row r="4" spans="1:24" ht="12" customHeight="1" x14ac:dyDescent="0.2">
      <c r="A4" s="127"/>
      <c r="B4" s="127"/>
      <c r="C4" s="127"/>
      <c r="F4" s="59"/>
      <c r="G4" s="59"/>
      <c r="H4" s="256" t="s">
        <v>199</v>
      </c>
      <c r="I4" s="256"/>
      <c r="J4" s="256"/>
      <c r="K4" s="256"/>
      <c r="L4" s="256"/>
      <c r="M4" s="256"/>
      <c r="N4" s="258"/>
      <c r="O4" s="258"/>
      <c r="P4" s="258"/>
      <c r="Q4" s="258"/>
      <c r="S4" s="128"/>
      <c r="T4" s="128"/>
      <c r="U4" s="128"/>
      <c r="V4" s="128"/>
      <c r="W4" s="128"/>
      <c r="X4" s="128"/>
    </row>
    <row r="5" spans="1:24" ht="12" customHeight="1" x14ac:dyDescent="0.2">
      <c r="A5" s="127"/>
      <c r="B5" s="127"/>
      <c r="C5" s="127"/>
      <c r="F5" s="42"/>
      <c r="G5" s="42"/>
      <c r="H5" s="256" t="s">
        <v>200</v>
      </c>
      <c r="I5" s="256"/>
      <c r="J5" s="256"/>
      <c r="K5" s="256"/>
      <c r="L5" s="256"/>
      <c r="M5" s="256"/>
      <c r="N5" s="258"/>
      <c r="O5" s="258"/>
      <c r="P5" s="258"/>
      <c r="Q5" s="258"/>
      <c r="S5" s="128"/>
      <c r="T5" s="128"/>
      <c r="U5" s="128"/>
      <c r="V5" s="128"/>
      <c r="W5" s="128"/>
      <c r="X5" s="128"/>
    </row>
    <row r="6" spans="1:24" ht="12" customHeight="1" x14ac:dyDescent="0.2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  <c r="T6" s="128"/>
      <c r="U6" s="128"/>
      <c r="V6" s="128"/>
      <c r="W6" s="128"/>
      <c r="X6" s="128"/>
    </row>
    <row r="7" spans="1:24" ht="13.5" thickBot="1" x14ac:dyDescent="0.25">
      <c r="N7" s="61"/>
      <c r="O7" s="61"/>
      <c r="P7" s="61"/>
      <c r="Q7" s="61"/>
    </row>
    <row r="8" spans="1:24" x14ac:dyDescent="0.2">
      <c r="A8" s="65"/>
      <c r="B8" s="246" t="s">
        <v>3</v>
      </c>
      <c r="C8" s="247"/>
      <c r="D8" s="248"/>
      <c r="E8" s="129">
        <v>3.8</v>
      </c>
      <c r="F8" s="130" t="s">
        <v>4</v>
      </c>
      <c r="G8" s="61"/>
      <c r="H8" s="246" t="s">
        <v>0</v>
      </c>
      <c r="I8" s="247"/>
      <c r="J8" s="248"/>
      <c r="K8" s="131">
        <v>1.9902199074074074</v>
      </c>
      <c r="L8" s="132" t="s">
        <v>1</v>
      </c>
      <c r="M8" s="61"/>
      <c r="N8" s="61"/>
      <c r="O8" s="61"/>
      <c r="P8" s="61"/>
      <c r="Q8" s="61"/>
      <c r="R8" s="71"/>
      <c r="S8" s="71"/>
      <c r="T8" s="71"/>
      <c r="U8" s="71"/>
      <c r="V8" s="61"/>
      <c r="W8" s="71"/>
    </row>
    <row r="9" spans="1:24" x14ac:dyDescent="0.2">
      <c r="A9" s="65"/>
      <c r="B9" s="224" t="s">
        <v>2</v>
      </c>
      <c r="C9" s="225"/>
      <c r="D9" s="225"/>
      <c r="E9" s="74">
        <v>1445</v>
      </c>
      <c r="F9" s="133" t="s">
        <v>39</v>
      </c>
      <c r="G9" s="61"/>
      <c r="H9" s="226" t="s">
        <v>41</v>
      </c>
      <c r="I9" s="227"/>
      <c r="J9" s="228"/>
      <c r="K9" s="76">
        <v>0.52374208089668617</v>
      </c>
      <c r="L9" s="134" t="s">
        <v>40</v>
      </c>
      <c r="M9" s="61"/>
      <c r="N9" s="61"/>
      <c r="O9" s="61"/>
      <c r="P9" s="61"/>
      <c r="Q9" s="61"/>
      <c r="R9" s="71"/>
      <c r="S9" s="61"/>
      <c r="T9" s="71"/>
      <c r="U9" s="71"/>
      <c r="V9" s="61"/>
      <c r="W9" s="71"/>
    </row>
    <row r="10" spans="1:24" x14ac:dyDescent="0.2">
      <c r="A10" s="65"/>
      <c r="B10" s="224" t="s">
        <v>132</v>
      </c>
      <c r="C10" s="225"/>
      <c r="D10" s="225"/>
      <c r="E10" s="78">
        <v>380.26315789473688</v>
      </c>
      <c r="F10" s="133" t="s">
        <v>46</v>
      </c>
      <c r="G10" s="79"/>
      <c r="H10" s="226" t="s">
        <v>6</v>
      </c>
      <c r="I10" s="227"/>
      <c r="J10" s="228"/>
      <c r="K10" s="69">
        <v>0.3</v>
      </c>
      <c r="L10" s="133" t="s">
        <v>7</v>
      </c>
      <c r="M10" s="61"/>
      <c r="N10" s="195"/>
      <c r="O10" s="195"/>
      <c r="P10" s="195"/>
      <c r="Q10" s="80"/>
      <c r="R10" s="71"/>
      <c r="S10" s="61"/>
      <c r="T10" s="71"/>
      <c r="U10" s="71"/>
      <c r="V10" s="61"/>
      <c r="W10" s="71"/>
    </row>
    <row r="11" spans="1:24" ht="13.5" thickBot="1" x14ac:dyDescent="0.25">
      <c r="A11" s="65"/>
      <c r="B11" s="239" t="s">
        <v>47</v>
      </c>
      <c r="C11" s="240"/>
      <c r="D11" s="240"/>
      <c r="E11" s="83">
        <v>140</v>
      </c>
      <c r="F11" s="135" t="s">
        <v>108</v>
      </c>
      <c r="G11" s="61"/>
      <c r="H11" s="231" t="s">
        <v>44</v>
      </c>
      <c r="I11" s="232"/>
      <c r="J11" s="233"/>
      <c r="K11" s="136">
        <v>0.2</v>
      </c>
      <c r="L11" s="137" t="s">
        <v>7</v>
      </c>
      <c r="M11" s="61"/>
      <c r="N11" s="61"/>
      <c r="O11" s="61"/>
      <c r="P11" s="85"/>
      <c r="Q11" s="61"/>
      <c r="R11" s="71"/>
      <c r="S11" s="61"/>
      <c r="T11" s="71"/>
      <c r="U11" s="71"/>
      <c r="V11" s="61"/>
      <c r="W11" s="71"/>
    </row>
    <row r="12" spans="1:24" ht="12.75" customHeight="1" thickBot="1" x14ac:dyDescent="0.25">
      <c r="A12" s="65"/>
      <c r="B12" s="234" t="s">
        <v>133</v>
      </c>
      <c r="C12" s="235"/>
      <c r="D12" s="235"/>
      <c r="E12" s="138">
        <v>0.85</v>
      </c>
      <c r="F12" s="139"/>
      <c r="G12" s="71"/>
      <c r="H12" s="236" t="s">
        <v>161</v>
      </c>
      <c r="I12" s="237"/>
      <c r="J12" s="238"/>
      <c r="K12" s="140">
        <v>25</v>
      </c>
      <c r="L12" s="79"/>
      <c r="M12" s="79"/>
      <c r="N12" s="61"/>
      <c r="O12" s="61"/>
      <c r="P12" s="61"/>
      <c r="Q12" s="61"/>
      <c r="R12" s="71"/>
      <c r="S12" s="82"/>
      <c r="T12" s="71"/>
      <c r="U12" s="71"/>
      <c r="V12" s="61"/>
      <c r="W12" s="71"/>
    </row>
    <row r="13" spans="1:24" ht="12.75" customHeight="1" x14ac:dyDescent="0.2">
      <c r="A13" s="65"/>
      <c r="B13" s="141"/>
      <c r="C13" s="141"/>
      <c r="D13" s="141"/>
      <c r="E13" s="142"/>
      <c r="F13" s="71"/>
      <c r="G13" s="71"/>
      <c r="L13" s="79"/>
      <c r="M13" s="79"/>
      <c r="N13" s="61"/>
      <c r="O13" s="61"/>
      <c r="P13" s="61"/>
      <c r="Q13" s="61"/>
      <c r="R13" s="71"/>
      <c r="S13" s="82"/>
      <c r="T13" s="71"/>
      <c r="U13" s="71"/>
      <c r="V13" s="61"/>
      <c r="W13" s="71"/>
    </row>
    <row r="14" spans="1:24" ht="12.75" customHeight="1" thickBot="1" x14ac:dyDescent="0.25">
      <c r="A14" s="65"/>
      <c r="B14" s="141"/>
      <c r="C14" s="141"/>
      <c r="D14" s="141"/>
      <c r="E14" s="142"/>
      <c r="F14" s="71"/>
      <c r="G14" s="71"/>
      <c r="H14" s="71"/>
      <c r="I14" s="86"/>
      <c r="J14" s="71"/>
      <c r="K14" s="79"/>
      <c r="L14" s="79"/>
      <c r="M14" s="79"/>
      <c r="N14" s="61"/>
      <c r="O14" s="61"/>
      <c r="P14" s="61"/>
      <c r="Q14" s="61"/>
      <c r="R14" s="71"/>
      <c r="S14" s="82"/>
      <c r="T14" s="71"/>
      <c r="U14" s="71"/>
      <c r="V14" s="61"/>
      <c r="W14" s="71"/>
    </row>
    <row r="15" spans="1:24" ht="34.5" thickBot="1" x14ac:dyDescent="0.25">
      <c r="A15" s="242" t="s">
        <v>151</v>
      </c>
      <c r="B15" s="244" t="s">
        <v>109</v>
      </c>
      <c r="C15" s="245"/>
      <c r="D15" s="244" t="s">
        <v>8</v>
      </c>
      <c r="E15" s="253"/>
      <c r="F15" s="245"/>
      <c r="G15" s="143" t="s">
        <v>9</v>
      </c>
      <c r="H15" s="143" t="s">
        <v>10</v>
      </c>
      <c r="I15" s="143" t="s">
        <v>11</v>
      </c>
      <c r="J15" s="143" t="s">
        <v>110</v>
      </c>
      <c r="K15" s="143" t="s">
        <v>6</v>
      </c>
      <c r="L15" s="143" t="s">
        <v>44</v>
      </c>
      <c r="M15" s="143" t="s">
        <v>12</v>
      </c>
      <c r="N15" s="143" t="s">
        <v>12</v>
      </c>
      <c r="O15" s="143" t="s">
        <v>13</v>
      </c>
      <c r="P15" s="143" t="s">
        <v>14</v>
      </c>
      <c r="Q15" s="143" t="s">
        <v>127</v>
      </c>
      <c r="R15" s="249" t="s">
        <v>134</v>
      </c>
    </row>
    <row r="16" spans="1:24" ht="13.5" thickBot="1" x14ac:dyDescent="0.25">
      <c r="A16" s="243"/>
      <c r="B16" s="144" t="s">
        <v>29</v>
      </c>
      <c r="C16" s="145" t="s">
        <v>30</v>
      </c>
      <c r="D16" s="145" t="s">
        <v>31</v>
      </c>
      <c r="E16" s="145" t="s">
        <v>126</v>
      </c>
      <c r="F16" s="145" t="s">
        <v>32</v>
      </c>
      <c r="G16" s="145" t="s">
        <v>97</v>
      </c>
      <c r="H16" s="145" t="s">
        <v>95</v>
      </c>
      <c r="I16" s="145"/>
      <c r="J16" s="145" t="s">
        <v>97</v>
      </c>
      <c r="K16" s="145" t="s">
        <v>97</v>
      </c>
      <c r="L16" s="145" t="s">
        <v>97</v>
      </c>
      <c r="M16" s="145" t="s">
        <v>97</v>
      </c>
      <c r="N16" s="145" t="s">
        <v>97</v>
      </c>
      <c r="O16" s="145" t="s">
        <v>33</v>
      </c>
      <c r="P16" s="145" t="s">
        <v>42</v>
      </c>
      <c r="Q16" s="145" t="s">
        <v>33</v>
      </c>
      <c r="R16" s="250"/>
    </row>
    <row r="17" spans="1:18" x14ac:dyDescent="0.2">
      <c r="A17" s="146" t="s">
        <v>53</v>
      </c>
      <c r="B17" s="147" t="s">
        <v>54</v>
      </c>
      <c r="C17" s="147" t="s">
        <v>55</v>
      </c>
      <c r="D17" s="147" t="s">
        <v>56</v>
      </c>
      <c r="E17" s="147" t="s">
        <v>57</v>
      </c>
      <c r="F17" s="147" t="s">
        <v>58</v>
      </c>
      <c r="G17" s="147" t="s">
        <v>59</v>
      </c>
      <c r="H17" s="147" t="s">
        <v>60</v>
      </c>
      <c r="I17" s="147" t="s">
        <v>61</v>
      </c>
      <c r="J17" s="147" t="s">
        <v>62</v>
      </c>
      <c r="K17" s="147" t="s">
        <v>63</v>
      </c>
      <c r="L17" s="147" t="s">
        <v>64</v>
      </c>
      <c r="M17" s="147" t="s">
        <v>65</v>
      </c>
      <c r="N17" s="147" t="s">
        <v>66</v>
      </c>
      <c r="O17" s="147" t="s">
        <v>67</v>
      </c>
      <c r="P17" s="148" t="s">
        <v>68</v>
      </c>
      <c r="Q17" s="148" t="s">
        <v>69</v>
      </c>
      <c r="R17" s="149" t="s">
        <v>70</v>
      </c>
    </row>
    <row r="18" spans="1:18" ht="14.25" x14ac:dyDescent="0.2">
      <c r="A18" s="37">
        <v>1</v>
      </c>
      <c r="B18" s="39" t="s">
        <v>166</v>
      </c>
      <c r="C18" s="39" t="s">
        <v>165</v>
      </c>
      <c r="D18" s="14">
        <v>0</v>
      </c>
      <c r="E18" s="13">
        <v>0.33643000000000001</v>
      </c>
      <c r="F18" s="13">
        <v>0.33643000000000001</v>
      </c>
      <c r="G18" s="150">
        <v>0.16015092965949823</v>
      </c>
      <c r="H18" s="17">
        <v>116.27764976958525</v>
      </c>
      <c r="I18" s="151">
        <v>3.8</v>
      </c>
      <c r="J18" s="44">
        <v>0.60857353270609327</v>
      </c>
      <c r="K18" s="13">
        <v>3.3642999999999999E-2</v>
      </c>
      <c r="L18" s="13">
        <v>6.7285999999999999E-2</v>
      </c>
      <c r="M18" s="150">
        <v>0.7095025327060932</v>
      </c>
      <c r="N18" s="151">
        <v>1.5</v>
      </c>
      <c r="O18" s="14">
        <v>65.5</v>
      </c>
      <c r="P18" s="19">
        <v>8</v>
      </c>
      <c r="Q18" s="41">
        <v>0.182</v>
      </c>
      <c r="R18" s="152" t="s">
        <v>163</v>
      </c>
    </row>
    <row r="19" spans="1:18" ht="14.25" x14ac:dyDescent="0.2">
      <c r="A19" s="37"/>
      <c r="B19" s="39" t="s">
        <v>165</v>
      </c>
      <c r="C19" s="39" t="s">
        <v>167</v>
      </c>
      <c r="D19" s="14">
        <v>3.7308599999999998</v>
      </c>
      <c r="E19" s="13">
        <v>0.1</v>
      </c>
      <c r="F19" s="13">
        <v>3.8308599999999999</v>
      </c>
      <c r="G19" s="150">
        <v>1.8236060707885307</v>
      </c>
      <c r="H19" s="17">
        <v>1324.0299539170508</v>
      </c>
      <c r="I19" s="151">
        <v>3.8</v>
      </c>
      <c r="J19" s="44">
        <v>6.9297030689964165</v>
      </c>
      <c r="K19" s="13">
        <v>0.38308600000000004</v>
      </c>
      <c r="L19" s="13">
        <v>0.76617200000000008</v>
      </c>
      <c r="M19" s="150">
        <v>8.0789610689964171</v>
      </c>
      <c r="N19" s="151">
        <v>8.0789610689964171</v>
      </c>
      <c r="O19" s="14">
        <v>35.799999999999997</v>
      </c>
      <c r="P19" s="19">
        <v>8</v>
      </c>
      <c r="Q19" s="41">
        <v>0.182</v>
      </c>
      <c r="R19" s="152" t="s">
        <v>163</v>
      </c>
    </row>
    <row r="20" spans="1:18" ht="14.25" x14ac:dyDescent="0.2">
      <c r="A20" s="37"/>
      <c r="B20" s="39"/>
      <c r="C20" s="39"/>
      <c r="D20" s="14"/>
      <c r="E20" s="13"/>
      <c r="F20" s="13"/>
      <c r="G20" s="150"/>
      <c r="H20" s="17"/>
      <c r="I20" s="151"/>
      <c r="J20" s="44"/>
      <c r="K20" s="13"/>
      <c r="L20" s="13"/>
      <c r="M20" s="150"/>
      <c r="N20" s="151"/>
      <c r="O20" s="14"/>
      <c r="P20" s="19"/>
      <c r="Q20" s="41"/>
      <c r="R20" s="152"/>
    </row>
    <row r="21" spans="1:18" ht="14.25" x14ac:dyDescent="0.2">
      <c r="A21" s="37">
        <v>1</v>
      </c>
      <c r="B21" s="39" t="s">
        <v>168</v>
      </c>
      <c r="C21" s="39" t="s">
        <v>167</v>
      </c>
      <c r="D21" s="14">
        <v>0</v>
      </c>
      <c r="E21" s="13">
        <v>0.35031999999999996</v>
      </c>
      <c r="F21" s="13">
        <v>0.35031999999999996</v>
      </c>
      <c r="G21" s="150">
        <v>0.16676299283154122</v>
      </c>
      <c r="H21" s="17">
        <v>121.07834101382488</v>
      </c>
      <c r="I21" s="151">
        <v>3.8</v>
      </c>
      <c r="J21" s="44">
        <v>0.63369937275985666</v>
      </c>
      <c r="K21" s="13">
        <v>3.5032000000000001E-2</v>
      </c>
      <c r="L21" s="13">
        <v>7.0064000000000001E-2</v>
      </c>
      <c r="M21" s="150">
        <v>0.73879537275985663</v>
      </c>
      <c r="N21" s="151">
        <v>1.5</v>
      </c>
      <c r="O21" s="14">
        <v>84.5</v>
      </c>
      <c r="P21" s="19">
        <v>8</v>
      </c>
      <c r="Q21" s="41">
        <v>0.182</v>
      </c>
      <c r="R21" s="152" t="s">
        <v>163</v>
      </c>
    </row>
    <row r="22" spans="1:18" ht="14.25" x14ac:dyDescent="0.2">
      <c r="A22" s="37">
        <v>1</v>
      </c>
      <c r="B22" s="39" t="s">
        <v>169</v>
      </c>
      <c r="C22" s="39" t="s">
        <v>167</v>
      </c>
      <c r="D22" s="14">
        <v>1.0795999999999999</v>
      </c>
      <c r="E22" s="13">
        <v>0.37346000000000001</v>
      </c>
      <c r="F22" s="13">
        <v>1.4530599999999998</v>
      </c>
      <c r="G22" s="150">
        <v>0.69170082885304662</v>
      </c>
      <c r="H22" s="17">
        <v>502.20967741935476</v>
      </c>
      <c r="I22" s="151">
        <v>3.8</v>
      </c>
      <c r="J22" s="44">
        <v>2.6284631496415769</v>
      </c>
      <c r="K22" s="13">
        <v>0.14530599999999999</v>
      </c>
      <c r="L22" s="13">
        <v>0.29061199999999998</v>
      </c>
      <c r="M22" s="150">
        <v>3.0643811496415769</v>
      </c>
      <c r="N22" s="151">
        <v>3.0643811496415769</v>
      </c>
      <c r="O22" s="14">
        <v>99.93</v>
      </c>
      <c r="P22" s="19">
        <v>8</v>
      </c>
      <c r="Q22" s="41">
        <v>0.182</v>
      </c>
      <c r="R22" s="152" t="s">
        <v>163</v>
      </c>
    </row>
    <row r="23" spans="1:18" ht="14.25" x14ac:dyDescent="0.2">
      <c r="A23" s="37"/>
      <c r="B23" s="39" t="s">
        <v>167</v>
      </c>
      <c r="C23" s="39" t="s">
        <v>170</v>
      </c>
      <c r="D23" s="14">
        <v>5.6342400000000001</v>
      </c>
      <c r="E23" s="13">
        <v>0.1</v>
      </c>
      <c r="F23" s="13">
        <v>5.7342399999999998</v>
      </c>
      <c r="G23" s="150">
        <v>2.7296729390681005</v>
      </c>
      <c r="H23" s="17">
        <v>1981.8801843317972</v>
      </c>
      <c r="I23" s="151">
        <v>3.8</v>
      </c>
      <c r="J23" s="44">
        <v>10.372757168458781</v>
      </c>
      <c r="K23" s="13">
        <v>0.57342400000000004</v>
      </c>
      <c r="L23" s="13">
        <v>1.1468480000000001</v>
      </c>
      <c r="M23" s="150">
        <v>12.093029168458781</v>
      </c>
      <c r="N23" s="151">
        <v>12.093029168458781</v>
      </c>
      <c r="O23" s="14">
        <v>36.299999999999997</v>
      </c>
      <c r="P23" s="19">
        <v>10</v>
      </c>
      <c r="Q23" s="41">
        <v>0.22700000000000001</v>
      </c>
      <c r="R23" s="152" t="s">
        <v>163</v>
      </c>
    </row>
    <row r="24" spans="1:18" ht="14.25" x14ac:dyDescent="0.2">
      <c r="A24" s="37"/>
      <c r="B24" s="39"/>
      <c r="C24" s="39"/>
      <c r="D24" s="14"/>
      <c r="E24" s="13"/>
      <c r="F24" s="13"/>
      <c r="G24" s="150"/>
      <c r="H24" s="17"/>
      <c r="I24" s="151"/>
      <c r="J24" s="44"/>
      <c r="K24" s="13"/>
      <c r="L24" s="13"/>
      <c r="M24" s="150"/>
      <c r="N24" s="151"/>
      <c r="O24" s="14"/>
      <c r="P24" s="19"/>
      <c r="Q24" s="41"/>
      <c r="R24" s="152"/>
    </row>
    <row r="25" spans="1:18" ht="14.25" x14ac:dyDescent="0.2">
      <c r="A25" s="37">
        <v>1</v>
      </c>
      <c r="B25" s="39" t="s">
        <v>171</v>
      </c>
      <c r="C25" s="39" t="s">
        <v>170</v>
      </c>
      <c r="D25" s="14">
        <v>1.0720000000000001</v>
      </c>
      <c r="E25" s="13">
        <v>0.42933000000000004</v>
      </c>
      <c r="F25" s="13">
        <v>1.5013300000000001</v>
      </c>
      <c r="G25" s="150">
        <v>0.71467881944444456</v>
      </c>
      <c r="H25" s="17">
        <v>518.89285714285722</v>
      </c>
      <c r="I25" s="151">
        <v>3.8</v>
      </c>
      <c r="J25" s="44">
        <v>2.7157795138888892</v>
      </c>
      <c r="K25" s="13">
        <v>0.15013300000000002</v>
      </c>
      <c r="L25" s="13">
        <v>0.30026600000000003</v>
      </c>
      <c r="M25" s="150">
        <v>3.1661785138888892</v>
      </c>
      <c r="N25" s="151">
        <v>3.1661785138888892</v>
      </c>
      <c r="O25" s="14">
        <v>98.55</v>
      </c>
      <c r="P25" s="19">
        <v>8</v>
      </c>
      <c r="Q25" s="41">
        <v>0.182</v>
      </c>
      <c r="R25" s="152" t="s">
        <v>163</v>
      </c>
    </row>
    <row r="26" spans="1:18" ht="14.25" x14ac:dyDescent="0.2">
      <c r="A26" s="37"/>
      <c r="B26" s="39" t="s">
        <v>170</v>
      </c>
      <c r="C26" s="39" t="s">
        <v>172</v>
      </c>
      <c r="D26" s="14">
        <v>7.2355700000000001</v>
      </c>
      <c r="E26" s="13">
        <v>0.37625999999999998</v>
      </c>
      <c r="F26" s="13">
        <v>7.6118300000000003</v>
      </c>
      <c r="G26" s="150">
        <v>3.623462981630825</v>
      </c>
      <c r="H26" s="17">
        <v>2630.8168202764978</v>
      </c>
      <c r="I26" s="151">
        <v>3.8</v>
      </c>
      <c r="J26" s="44">
        <v>13.769159330197134</v>
      </c>
      <c r="K26" s="13">
        <v>0.76118300000000005</v>
      </c>
      <c r="L26" s="13">
        <v>1.5223660000000001</v>
      </c>
      <c r="M26" s="150">
        <v>16.052708330197135</v>
      </c>
      <c r="N26" s="151">
        <v>16.052708330197135</v>
      </c>
      <c r="O26" s="14">
        <v>100.3</v>
      </c>
      <c r="P26" s="19">
        <v>12</v>
      </c>
      <c r="Q26" s="41">
        <v>0.28399999999999997</v>
      </c>
      <c r="R26" s="152" t="s">
        <v>163</v>
      </c>
    </row>
    <row r="27" spans="1:18" ht="14.25" x14ac:dyDescent="0.2">
      <c r="A27" s="37"/>
      <c r="B27" s="39" t="s">
        <v>172</v>
      </c>
      <c r="C27" s="39" t="s">
        <v>173</v>
      </c>
      <c r="D27" s="14">
        <v>7.6118300000000003</v>
      </c>
      <c r="E27" s="13">
        <v>0.1</v>
      </c>
      <c r="F27" s="13">
        <v>7.71183</v>
      </c>
      <c r="G27" s="150">
        <v>3.6710660282258067</v>
      </c>
      <c r="H27" s="17">
        <v>2665.3790322580644</v>
      </c>
      <c r="I27" s="151">
        <v>3.8</v>
      </c>
      <c r="J27" s="44">
        <v>13.950050907258065</v>
      </c>
      <c r="K27" s="13">
        <v>0.77118300000000006</v>
      </c>
      <c r="L27" s="13">
        <v>1.5423660000000001</v>
      </c>
      <c r="M27" s="150">
        <v>16.263599907258065</v>
      </c>
      <c r="N27" s="151">
        <v>16.263599907258065</v>
      </c>
      <c r="O27" s="14">
        <v>36.9</v>
      </c>
      <c r="P27" s="19">
        <v>12</v>
      </c>
      <c r="Q27" s="41">
        <v>0.28399999999999997</v>
      </c>
      <c r="R27" s="152" t="s">
        <v>163</v>
      </c>
    </row>
    <row r="28" spans="1:18" ht="14.25" x14ac:dyDescent="0.2">
      <c r="A28" s="37"/>
      <c r="B28" s="39"/>
      <c r="C28" s="39"/>
      <c r="D28" s="14"/>
      <c r="E28" s="13"/>
      <c r="F28" s="13"/>
      <c r="G28" s="150"/>
      <c r="H28" s="17"/>
      <c r="I28" s="151"/>
      <c r="J28" s="44"/>
      <c r="K28" s="13"/>
      <c r="L28" s="13"/>
      <c r="M28" s="150"/>
      <c r="N28" s="151"/>
      <c r="O28" s="14"/>
      <c r="P28" s="19"/>
      <c r="Q28" s="41"/>
      <c r="R28" s="152"/>
    </row>
    <row r="29" spans="1:18" ht="14.25" x14ac:dyDescent="0.2">
      <c r="A29" s="37">
        <v>1</v>
      </c>
      <c r="B29" s="39" t="s">
        <v>174</v>
      </c>
      <c r="C29" s="39" t="s">
        <v>175</v>
      </c>
      <c r="D29" s="14">
        <v>1.23437</v>
      </c>
      <c r="E29" s="13">
        <v>0.42933000000000004</v>
      </c>
      <c r="F29" s="13">
        <v>1.6637</v>
      </c>
      <c r="G29" s="150">
        <v>0.7919718862007169</v>
      </c>
      <c r="H29" s="17">
        <v>575.01152073732715</v>
      </c>
      <c r="I29" s="151">
        <v>3.8</v>
      </c>
      <c r="J29" s="44">
        <v>3.0094931675627241</v>
      </c>
      <c r="K29" s="13">
        <v>0.16637000000000002</v>
      </c>
      <c r="L29" s="13">
        <v>0.33274000000000004</v>
      </c>
      <c r="M29" s="150">
        <v>3.5086031675627245</v>
      </c>
      <c r="N29" s="151">
        <v>3.5086031675627245</v>
      </c>
      <c r="O29" s="14">
        <v>98.05</v>
      </c>
      <c r="P29" s="19">
        <v>8</v>
      </c>
      <c r="Q29" s="41">
        <v>0.182</v>
      </c>
      <c r="R29" s="152" t="s">
        <v>163</v>
      </c>
    </row>
    <row r="30" spans="1:18" ht="14.25" x14ac:dyDescent="0.2">
      <c r="A30" s="37"/>
      <c r="B30" s="39" t="s">
        <v>175</v>
      </c>
      <c r="C30" s="39" t="s">
        <v>173</v>
      </c>
      <c r="D30" s="14">
        <v>1.6637</v>
      </c>
      <c r="E30" s="13">
        <v>0.43609999999999999</v>
      </c>
      <c r="F30" s="13">
        <v>2.0998000000000001</v>
      </c>
      <c r="G30" s="150">
        <v>0.99956877240143382</v>
      </c>
      <c r="H30" s="17">
        <v>725.73732718894018</v>
      </c>
      <c r="I30" s="151">
        <v>3.8</v>
      </c>
      <c r="J30" s="44">
        <v>3.7983613351254482</v>
      </c>
      <c r="K30" s="13">
        <v>0.20998000000000003</v>
      </c>
      <c r="L30" s="13">
        <v>0.41996000000000006</v>
      </c>
      <c r="M30" s="150">
        <v>4.4283013351254477</v>
      </c>
      <c r="N30" s="151">
        <v>4.4283013351254477</v>
      </c>
      <c r="O30" s="14">
        <v>99.68</v>
      </c>
      <c r="P30" s="19">
        <v>8</v>
      </c>
      <c r="Q30" s="41">
        <v>0.182</v>
      </c>
      <c r="R30" s="152" t="s">
        <v>163</v>
      </c>
    </row>
    <row r="31" spans="1:18" ht="14.25" x14ac:dyDescent="0.2">
      <c r="A31" s="37"/>
      <c r="B31" s="39"/>
      <c r="C31" s="39"/>
      <c r="D31" s="14"/>
      <c r="E31" s="13"/>
      <c r="F31" s="13"/>
      <c r="G31" s="150"/>
      <c r="H31" s="17"/>
      <c r="I31" s="151"/>
      <c r="J31" s="44"/>
      <c r="K31" s="13"/>
      <c r="L31" s="13"/>
      <c r="M31" s="150"/>
      <c r="N31" s="151"/>
      <c r="O31" s="14"/>
      <c r="P31" s="19"/>
      <c r="Q31" s="41"/>
      <c r="R31" s="152"/>
    </row>
    <row r="32" spans="1:18" ht="14.25" x14ac:dyDescent="0.2">
      <c r="A32" s="37">
        <v>1</v>
      </c>
      <c r="B32" s="39" t="s">
        <v>176</v>
      </c>
      <c r="C32" s="39" t="s">
        <v>177</v>
      </c>
      <c r="D32" s="14">
        <v>0</v>
      </c>
      <c r="E32" s="13">
        <v>0.29649999999999999</v>
      </c>
      <c r="F32" s="13">
        <v>0.29649999999999999</v>
      </c>
      <c r="G32" s="150">
        <v>0.14114303315412188</v>
      </c>
      <c r="H32" s="17">
        <v>102.47695852534562</v>
      </c>
      <c r="I32" s="151">
        <v>3.8</v>
      </c>
      <c r="J32" s="44">
        <v>0.53634352598566315</v>
      </c>
      <c r="K32" s="13">
        <v>2.9649999999999999E-2</v>
      </c>
      <c r="L32" s="13">
        <v>5.9299999999999999E-2</v>
      </c>
      <c r="M32" s="150">
        <v>0.62529352598566312</v>
      </c>
      <c r="N32" s="151">
        <v>1.5</v>
      </c>
      <c r="O32" s="14">
        <v>95.3</v>
      </c>
      <c r="P32" s="19">
        <v>8</v>
      </c>
      <c r="Q32" s="41">
        <v>0.182</v>
      </c>
      <c r="R32" s="152" t="s">
        <v>163</v>
      </c>
    </row>
    <row r="33" spans="1:23" ht="14.25" x14ac:dyDescent="0.2">
      <c r="A33" s="37"/>
      <c r="B33" s="39" t="s">
        <v>177</v>
      </c>
      <c r="C33" s="39" t="s">
        <v>178</v>
      </c>
      <c r="D33" s="14">
        <v>0.29649999999999999</v>
      </c>
      <c r="E33" s="13">
        <v>0.1</v>
      </c>
      <c r="F33" s="13">
        <v>0.39649999999999996</v>
      </c>
      <c r="G33" s="150">
        <v>0.18874607974910396</v>
      </c>
      <c r="H33" s="17">
        <v>137.03917050691243</v>
      </c>
      <c r="I33" s="151">
        <v>3.8</v>
      </c>
      <c r="J33" s="44">
        <v>0.71723510304659499</v>
      </c>
      <c r="K33" s="13">
        <v>3.9649999999999998E-2</v>
      </c>
      <c r="L33" s="13">
        <v>7.9299999999999995E-2</v>
      </c>
      <c r="M33" s="150">
        <v>0.83618510304659499</v>
      </c>
      <c r="N33" s="151">
        <v>1.5</v>
      </c>
      <c r="O33" s="14">
        <v>35.83</v>
      </c>
      <c r="P33" s="19">
        <v>8</v>
      </c>
      <c r="Q33" s="41">
        <v>0.182</v>
      </c>
      <c r="R33" s="152" t="s">
        <v>163</v>
      </c>
    </row>
    <row r="34" spans="1:23" ht="14.25" x14ac:dyDescent="0.2">
      <c r="A34" s="37"/>
      <c r="B34" s="39"/>
      <c r="C34" s="39"/>
      <c r="D34" s="14"/>
      <c r="E34" s="13"/>
      <c r="F34" s="13"/>
      <c r="G34" s="150"/>
      <c r="H34" s="17"/>
      <c r="I34" s="151"/>
      <c r="J34" s="44"/>
      <c r="K34" s="13"/>
      <c r="L34" s="13"/>
      <c r="M34" s="150"/>
      <c r="N34" s="151"/>
      <c r="O34" s="14"/>
      <c r="P34" s="19"/>
      <c r="Q34" s="41"/>
      <c r="R34" s="152"/>
    </row>
    <row r="35" spans="1:23" ht="14.25" x14ac:dyDescent="0.2">
      <c r="A35" s="37">
        <v>1</v>
      </c>
      <c r="B35" s="39" t="s">
        <v>179</v>
      </c>
      <c r="C35" s="39" t="s">
        <v>180</v>
      </c>
      <c r="D35" s="14">
        <v>0.34253</v>
      </c>
      <c r="E35" s="13">
        <v>0.47970000000000002</v>
      </c>
      <c r="F35" s="13">
        <v>0.82223000000000002</v>
      </c>
      <c r="G35" s="150">
        <v>0.39140653001792119</v>
      </c>
      <c r="H35" s="17">
        <v>284.1808755760369</v>
      </c>
      <c r="I35" s="151">
        <v>3.8</v>
      </c>
      <c r="J35" s="44">
        <v>1.4873448140681005</v>
      </c>
      <c r="K35" s="13">
        <v>8.2223000000000004E-2</v>
      </c>
      <c r="L35" s="13">
        <v>0.16444600000000001</v>
      </c>
      <c r="M35" s="150">
        <v>1.7340138140681005</v>
      </c>
      <c r="N35" s="151">
        <v>1.7340138140681005</v>
      </c>
      <c r="O35" s="14">
        <v>96.2</v>
      </c>
      <c r="P35" s="19">
        <v>8</v>
      </c>
      <c r="Q35" s="41">
        <v>0.182</v>
      </c>
      <c r="R35" s="152" t="s">
        <v>163</v>
      </c>
    </row>
    <row r="36" spans="1:23" ht="14.25" x14ac:dyDescent="0.2">
      <c r="A36" s="37"/>
      <c r="B36" s="39" t="s">
        <v>180</v>
      </c>
      <c r="C36" s="39" t="s">
        <v>178</v>
      </c>
      <c r="D36" s="14">
        <v>0.82223000000000002</v>
      </c>
      <c r="E36" s="13">
        <v>0.37580000000000002</v>
      </c>
      <c r="F36" s="13">
        <v>1.1980300000000002</v>
      </c>
      <c r="G36" s="150">
        <v>0.57029877912186389</v>
      </c>
      <c r="H36" s="17">
        <v>414.06566820276504</v>
      </c>
      <c r="I36" s="151">
        <v>3.8</v>
      </c>
      <c r="J36" s="44">
        <v>2.1671353606630825</v>
      </c>
      <c r="K36" s="13">
        <v>0.11980300000000002</v>
      </c>
      <c r="L36" s="13">
        <v>0.23960600000000004</v>
      </c>
      <c r="M36" s="150">
        <v>2.5265443606630829</v>
      </c>
      <c r="N36" s="151">
        <v>2.5265443606630829</v>
      </c>
      <c r="O36" s="14">
        <v>99</v>
      </c>
      <c r="P36" s="19">
        <v>8</v>
      </c>
      <c r="Q36" s="41">
        <v>0.182</v>
      </c>
      <c r="R36" s="152" t="s">
        <v>163</v>
      </c>
    </row>
    <row r="37" spans="1:23" ht="14.25" x14ac:dyDescent="0.2">
      <c r="A37" s="37"/>
      <c r="B37" s="39" t="s">
        <v>178</v>
      </c>
      <c r="C37" s="39" t="s">
        <v>173</v>
      </c>
      <c r="D37" s="14">
        <v>1.5945300000000002</v>
      </c>
      <c r="E37" s="13">
        <v>0.1</v>
      </c>
      <c r="F37" s="13">
        <v>1.6945300000000003</v>
      </c>
      <c r="G37" s="150">
        <v>0.80664790546595011</v>
      </c>
      <c r="H37" s="17">
        <v>585.66705069124441</v>
      </c>
      <c r="I37" s="151">
        <v>3.8</v>
      </c>
      <c r="J37" s="44">
        <v>3.0652620407706102</v>
      </c>
      <c r="K37" s="13">
        <v>0.16945300000000005</v>
      </c>
      <c r="L37" s="13">
        <v>0.3389060000000001</v>
      </c>
      <c r="M37" s="150">
        <v>3.5736210407706102</v>
      </c>
      <c r="N37" s="151">
        <v>3.5736210407706102</v>
      </c>
      <c r="O37" s="14">
        <v>41.7</v>
      </c>
      <c r="P37" s="19">
        <v>8</v>
      </c>
      <c r="Q37" s="41">
        <v>0.182</v>
      </c>
      <c r="R37" s="152" t="s">
        <v>163</v>
      </c>
    </row>
    <row r="38" spans="1:23" ht="14.25" x14ac:dyDescent="0.2">
      <c r="A38" s="37"/>
      <c r="B38" s="39" t="s">
        <v>173</v>
      </c>
      <c r="C38" s="39" t="s">
        <v>185</v>
      </c>
      <c r="D38" s="14">
        <v>11.506160000000001</v>
      </c>
      <c r="E38" s="13">
        <v>0.1</v>
      </c>
      <c r="F38" s="13">
        <v>11.606160000000001</v>
      </c>
      <c r="G38" s="150">
        <v>5.5248857526881734</v>
      </c>
      <c r="H38" s="17">
        <v>4011.3456221198162</v>
      </c>
      <c r="I38" s="151">
        <v>3.7871454735295655</v>
      </c>
      <c r="J38" s="44">
        <v>20.923546070061004</v>
      </c>
      <c r="K38" s="13">
        <v>1.1606160000000001</v>
      </c>
      <c r="L38" s="13">
        <v>2.3212320000000002</v>
      </c>
      <c r="M38" s="150">
        <v>24.405394070061007</v>
      </c>
      <c r="N38" s="151">
        <v>24.405394070061007</v>
      </c>
      <c r="O38" s="14">
        <v>36.97</v>
      </c>
      <c r="P38" s="19">
        <v>12</v>
      </c>
      <c r="Q38" s="41">
        <v>0.28399999999999997</v>
      </c>
      <c r="R38" s="152" t="s">
        <v>163</v>
      </c>
    </row>
    <row r="39" spans="1:23" ht="14.25" x14ac:dyDescent="0.2">
      <c r="A39" s="37"/>
      <c r="B39" s="39" t="s">
        <v>185</v>
      </c>
      <c r="C39" s="39" t="s">
        <v>186</v>
      </c>
      <c r="D39" s="14">
        <v>11.606160000000001</v>
      </c>
      <c r="E39" s="13">
        <v>0.1</v>
      </c>
      <c r="F39" s="13">
        <v>11.706160000000001</v>
      </c>
      <c r="G39" s="150">
        <v>5.5724887992831551</v>
      </c>
      <c r="H39" s="17">
        <v>4045.9078341013828</v>
      </c>
      <c r="I39" s="151">
        <v>3.7806529039883605</v>
      </c>
      <c r="J39" s="44">
        <v>21.067645961452474</v>
      </c>
      <c r="K39" s="13">
        <v>1.1706160000000001</v>
      </c>
      <c r="L39" s="13">
        <v>2.3412320000000002</v>
      </c>
      <c r="M39" s="150">
        <v>24.579493961452474</v>
      </c>
      <c r="N39" s="151">
        <v>24.579493961452474</v>
      </c>
      <c r="O39" s="14">
        <v>106.07</v>
      </c>
      <c r="P39" s="19">
        <v>12</v>
      </c>
      <c r="Q39" s="41">
        <v>0.28399999999999997</v>
      </c>
      <c r="R39" s="152" t="s">
        <v>163</v>
      </c>
    </row>
    <row r="40" spans="1:23" ht="14.25" x14ac:dyDescent="0.2">
      <c r="A40" s="37"/>
      <c r="B40" s="39" t="s">
        <v>186</v>
      </c>
      <c r="C40" s="39" t="s">
        <v>187</v>
      </c>
      <c r="D40" s="14">
        <v>11.706160000000001</v>
      </c>
      <c r="E40" s="13">
        <v>0.1</v>
      </c>
      <c r="F40" s="13">
        <v>11.80616</v>
      </c>
      <c r="G40" s="150">
        <v>5.6200918458781368</v>
      </c>
      <c r="H40" s="17">
        <v>4080.4700460829495</v>
      </c>
      <c r="I40" s="151">
        <v>3.7742265511772892</v>
      </c>
      <c r="J40" s="44">
        <v>21.211499864768246</v>
      </c>
      <c r="K40" s="13">
        <v>1.1806160000000001</v>
      </c>
      <c r="L40" s="13">
        <v>2.3612320000000002</v>
      </c>
      <c r="M40" s="150">
        <v>24.753347864768248</v>
      </c>
      <c r="N40" s="151">
        <v>24.753347864768248</v>
      </c>
      <c r="O40" s="14">
        <v>100</v>
      </c>
      <c r="P40" s="19">
        <v>12</v>
      </c>
      <c r="Q40" s="41">
        <v>0.28399999999999997</v>
      </c>
      <c r="R40" s="152" t="s">
        <v>163</v>
      </c>
    </row>
    <row r="41" spans="1:23" ht="14.25" x14ac:dyDescent="0.2">
      <c r="A41" s="37"/>
      <c r="B41" s="39" t="s">
        <v>187</v>
      </c>
      <c r="C41" s="39" t="s">
        <v>188</v>
      </c>
      <c r="D41" s="14">
        <v>11.80616</v>
      </c>
      <c r="E41" s="13">
        <v>0.1</v>
      </c>
      <c r="F41" s="13">
        <v>11.90616</v>
      </c>
      <c r="G41" s="150">
        <v>5.6676948924731185</v>
      </c>
      <c r="H41" s="17">
        <v>4115.0322580645161</v>
      </c>
      <c r="I41" s="151">
        <v>3.767865187411624</v>
      </c>
      <c r="J41" s="44">
        <v>21.355110278220131</v>
      </c>
      <c r="K41" s="13">
        <v>1.1906160000000001</v>
      </c>
      <c r="L41" s="13">
        <v>2.3812320000000002</v>
      </c>
      <c r="M41" s="150">
        <v>24.92695827822013</v>
      </c>
      <c r="N41" s="151">
        <v>24.92695827822013</v>
      </c>
      <c r="O41" s="14">
        <v>86.52</v>
      </c>
      <c r="P41" s="19">
        <v>12</v>
      </c>
      <c r="Q41" s="41">
        <v>0.28399999999999997</v>
      </c>
      <c r="R41" s="152" t="s">
        <v>163</v>
      </c>
    </row>
    <row r="42" spans="1:23" ht="14.25" x14ac:dyDescent="0.2">
      <c r="A42" s="37"/>
      <c r="B42" s="39" t="s">
        <v>188</v>
      </c>
      <c r="C42" s="39" t="s">
        <v>189</v>
      </c>
      <c r="D42" s="14">
        <v>11.90616</v>
      </c>
      <c r="E42" s="13">
        <v>0.1</v>
      </c>
      <c r="F42" s="13">
        <v>12.006159999999999</v>
      </c>
      <c r="G42" s="150">
        <v>5.7152979390681011</v>
      </c>
      <c r="H42" s="17">
        <v>4149.5944700460832</v>
      </c>
      <c r="I42" s="151">
        <v>3.7615676178381281</v>
      </c>
      <c r="J42" s="44">
        <v>21.498479653895561</v>
      </c>
      <c r="K42" s="13">
        <v>1.2006160000000001</v>
      </c>
      <c r="L42" s="13">
        <v>2.4012320000000003</v>
      </c>
      <c r="M42" s="150">
        <v>25.100327653895562</v>
      </c>
      <c r="N42" s="151">
        <v>25.100327653895562</v>
      </c>
      <c r="O42" s="14">
        <v>116.53</v>
      </c>
      <c r="P42" s="19">
        <v>12</v>
      </c>
      <c r="Q42" s="41">
        <v>0.28399999999999997</v>
      </c>
      <c r="R42" s="152" t="s">
        <v>163</v>
      </c>
    </row>
    <row r="43" spans="1:23" ht="14.25" x14ac:dyDescent="0.2">
      <c r="A43" s="37"/>
      <c r="B43" s="39" t="s">
        <v>189</v>
      </c>
      <c r="C43" s="39" t="s">
        <v>190</v>
      </c>
      <c r="D43" s="14">
        <v>12.006159999999999</v>
      </c>
      <c r="E43" s="13">
        <v>0.1</v>
      </c>
      <c r="F43" s="13">
        <v>12.106159999999999</v>
      </c>
      <c r="G43" s="150">
        <v>5.7629009856630828</v>
      </c>
      <c r="H43" s="17">
        <v>4184.1566820276494</v>
      </c>
      <c r="I43" s="151">
        <v>3.7553326792922306</v>
      </c>
      <c r="J43" s="44">
        <v>21.641610398985982</v>
      </c>
      <c r="K43" s="13">
        <v>1.2106159999999999</v>
      </c>
      <c r="L43" s="13">
        <v>2.4212319999999998</v>
      </c>
      <c r="M43" s="150">
        <v>25.273458398985984</v>
      </c>
      <c r="N43" s="151">
        <v>25.273458398985984</v>
      </c>
      <c r="O43" s="14">
        <v>99.54</v>
      </c>
      <c r="P43" s="19">
        <v>12</v>
      </c>
      <c r="Q43" s="41">
        <v>0.28399999999999997</v>
      </c>
      <c r="R43" s="152" t="s">
        <v>163</v>
      </c>
    </row>
    <row r="44" spans="1:23" ht="14.25" x14ac:dyDescent="0.2">
      <c r="A44" s="37"/>
      <c r="B44" s="39" t="s">
        <v>190</v>
      </c>
      <c r="C44" s="39" t="s">
        <v>191</v>
      </c>
      <c r="D44" s="14">
        <v>12.106159999999999</v>
      </c>
      <c r="E44" s="13">
        <v>0.1</v>
      </c>
      <c r="F44" s="13">
        <v>12.206159999999999</v>
      </c>
      <c r="G44" s="150">
        <v>5.8105040322580646</v>
      </c>
      <c r="H44" s="17">
        <v>4218.7188940092165</v>
      </c>
      <c r="I44" s="151">
        <v>3.7491592392040407</v>
      </c>
      <c r="J44" s="44">
        <v>21.784504876972655</v>
      </c>
      <c r="K44" s="13">
        <v>1.2206159999999999</v>
      </c>
      <c r="L44" s="13">
        <v>2.4412319999999998</v>
      </c>
      <c r="M44" s="150">
        <v>25.446352876972654</v>
      </c>
      <c r="N44" s="151">
        <v>25.446352876972654</v>
      </c>
      <c r="O44" s="14">
        <v>99.54</v>
      </c>
      <c r="P44" s="19">
        <v>12</v>
      </c>
      <c r="Q44" s="41">
        <v>0.28399999999999997</v>
      </c>
      <c r="R44" s="152" t="s">
        <v>163</v>
      </c>
    </row>
    <row r="45" spans="1:23" ht="15" thickBot="1" x14ac:dyDescent="0.25">
      <c r="A45" s="153"/>
      <c r="B45" s="154" t="s">
        <v>191</v>
      </c>
      <c r="C45" s="154" t="s">
        <v>192</v>
      </c>
      <c r="D45" s="49">
        <v>12.206159999999999</v>
      </c>
      <c r="E45" s="54">
        <v>0.1</v>
      </c>
      <c r="F45" s="54">
        <v>12.306159999999998</v>
      </c>
      <c r="G45" s="155">
        <v>5.8581070788530463</v>
      </c>
      <c r="H45" s="156">
        <v>4253.2811059907826</v>
      </c>
      <c r="I45" s="157">
        <v>3.7430461945507485</v>
      </c>
      <c r="J45" s="50">
        <v>21.927165408771696</v>
      </c>
      <c r="K45" s="54">
        <v>1.2306159999999999</v>
      </c>
      <c r="L45" s="54">
        <v>2.4612319999999999</v>
      </c>
      <c r="M45" s="155">
        <v>25.619013408771696</v>
      </c>
      <c r="N45" s="157">
        <v>25.619013408771696</v>
      </c>
      <c r="O45" s="49">
        <v>24.95</v>
      </c>
      <c r="P45" s="48">
        <v>12</v>
      </c>
      <c r="Q45" s="158">
        <v>0.28399999999999997</v>
      </c>
      <c r="R45" s="159" t="s">
        <v>163</v>
      </c>
    </row>
    <row r="46" spans="1:23" ht="15" thickBot="1" x14ac:dyDescent="0.25">
      <c r="A46" s="58"/>
      <c r="B46" s="72"/>
      <c r="C46" s="72"/>
      <c r="D46" s="160"/>
      <c r="E46" s="161"/>
      <c r="F46" s="161"/>
      <c r="G46" s="162"/>
      <c r="H46" s="163"/>
      <c r="I46" s="164"/>
      <c r="J46" s="165"/>
      <c r="K46" s="161"/>
      <c r="L46" s="161"/>
      <c r="M46" s="162"/>
      <c r="N46" s="164"/>
      <c r="O46" s="160"/>
      <c r="P46" s="166"/>
      <c r="Q46" s="167"/>
      <c r="R46" s="166"/>
    </row>
    <row r="47" spans="1:23" ht="13.5" thickBot="1" x14ac:dyDescent="0.25">
      <c r="A47" s="242" t="s">
        <v>151</v>
      </c>
      <c r="B47" s="244" t="s">
        <v>109</v>
      </c>
      <c r="C47" s="245"/>
      <c r="D47" s="251" t="s">
        <v>5</v>
      </c>
      <c r="E47" s="143" t="s">
        <v>43</v>
      </c>
      <c r="F47" s="143" t="s">
        <v>128</v>
      </c>
      <c r="G47" s="244" t="s">
        <v>15</v>
      </c>
      <c r="H47" s="245"/>
      <c r="I47" s="251" t="s">
        <v>16</v>
      </c>
      <c r="J47" s="168" t="s">
        <v>22</v>
      </c>
      <c r="K47" s="168" t="s">
        <v>21</v>
      </c>
      <c r="L47" s="143" t="s">
        <v>25</v>
      </c>
      <c r="M47" s="143" t="s">
        <v>17</v>
      </c>
      <c r="N47" s="143" t="s">
        <v>18</v>
      </c>
      <c r="O47" s="143" t="s">
        <v>19</v>
      </c>
      <c r="P47" s="169" t="s">
        <v>20</v>
      </c>
      <c r="Q47" s="143" t="s">
        <v>23</v>
      </c>
      <c r="R47" s="170" t="s">
        <v>24</v>
      </c>
      <c r="V47" s="171"/>
      <c r="W47" s="171"/>
    </row>
    <row r="48" spans="1:23" ht="13.5" thickBot="1" x14ac:dyDescent="0.25">
      <c r="A48" s="243"/>
      <c r="B48" s="144" t="s">
        <v>29</v>
      </c>
      <c r="C48" s="145" t="s">
        <v>30</v>
      </c>
      <c r="D48" s="252"/>
      <c r="E48" s="145" t="s">
        <v>96</v>
      </c>
      <c r="F48" s="145" t="s">
        <v>96</v>
      </c>
      <c r="G48" s="145" t="s">
        <v>34</v>
      </c>
      <c r="H48" s="145" t="s">
        <v>35</v>
      </c>
      <c r="I48" s="252"/>
      <c r="J48" s="172" t="s">
        <v>36</v>
      </c>
      <c r="K48" s="172" t="s">
        <v>33</v>
      </c>
      <c r="L48" s="145" t="s">
        <v>33</v>
      </c>
      <c r="M48" s="145"/>
      <c r="N48" s="145"/>
      <c r="O48" s="145" t="s">
        <v>33</v>
      </c>
      <c r="P48" s="144" t="s">
        <v>159</v>
      </c>
      <c r="Q48" s="145" t="s">
        <v>33</v>
      </c>
      <c r="R48" s="173" t="s">
        <v>33</v>
      </c>
      <c r="V48" s="171"/>
      <c r="W48" s="171"/>
    </row>
    <row r="49" spans="1:23" x14ac:dyDescent="0.2">
      <c r="A49" s="146" t="s">
        <v>53</v>
      </c>
      <c r="B49" s="148" t="s">
        <v>54</v>
      </c>
      <c r="C49" s="148" t="s">
        <v>55</v>
      </c>
      <c r="D49" s="148" t="s">
        <v>71</v>
      </c>
      <c r="E49" s="148" t="s">
        <v>72</v>
      </c>
      <c r="F49" s="148" t="s">
        <v>71</v>
      </c>
      <c r="G49" s="174" t="s">
        <v>72</v>
      </c>
      <c r="H49" s="148" t="s">
        <v>73</v>
      </c>
      <c r="I49" s="175" t="s">
        <v>140</v>
      </c>
      <c r="J49" s="176" t="s">
        <v>74</v>
      </c>
      <c r="K49" s="176" t="s">
        <v>141</v>
      </c>
      <c r="L49" s="174" t="s">
        <v>75</v>
      </c>
      <c r="M49" s="148" t="s">
        <v>76</v>
      </c>
      <c r="N49" s="177" t="s">
        <v>77</v>
      </c>
      <c r="O49" s="177" t="s">
        <v>78</v>
      </c>
      <c r="P49" s="175" t="s">
        <v>111</v>
      </c>
      <c r="Q49" s="148" t="s">
        <v>79</v>
      </c>
      <c r="R49" s="177" t="s">
        <v>80</v>
      </c>
      <c r="V49" s="171"/>
      <c r="W49" s="171"/>
    </row>
    <row r="50" spans="1:23" ht="14.25" x14ac:dyDescent="0.2">
      <c r="A50" s="37">
        <v>1</v>
      </c>
      <c r="B50" s="39" t="s">
        <v>166</v>
      </c>
      <c r="C50" s="39" t="s">
        <v>165</v>
      </c>
      <c r="D50" s="19">
        <v>0.01</v>
      </c>
      <c r="E50" s="14">
        <v>-0.30534351145036431</v>
      </c>
      <c r="F50" s="14">
        <v>0.55000000000000004</v>
      </c>
      <c r="G50" s="44">
        <v>24.61461081042086</v>
      </c>
      <c r="H50" s="44">
        <v>0.94615070227307907</v>
      </c>
      <c r="I50" s="24">
        <v>6.0939415680907653E-2</v>
      </c>
      <c r="J50" s="44">
        <v>0.43715624793396102</v>
      </c>
      <c r="K50" s="44">
        <v>3.0009796953795777E-2</v>
      </c>
      <c r="L50" s="45">
        <v>2.0775634876776153E-2</v>
      </c>
      <c r="M50" s="46">
        <v>0.16488899425162515</v>
      </c>
      <c r="N50" s="46">
        <v>0.11415183998228656</v>
      </c>
      <c r="O50" s="13">
        <v>1.8437250043000345E-2</v>
      </c>
      <c r="P50" s="44">
        <v>0.10140487523650191</v>
      </c>
      <c r="Q50" s="46">
        <v>9.7403458260804671E-3</v>
      </c>
      <c r="R50" s="47">
        <v>3.9750142779876242E-2</v>
      </c>
      <c r="V50" s="171"/>
      <c r="W50" s="171"/>
    </row>
    <row r="51" spans="1:23" ht="14.25" x14ac:dyDescent="0.2">
      <c r="A51" s="37"/>
      <c r="B51" s="39" t="s">
        <v>165</v>
      </c>
      <c r="C51" s="39" t="s">
        <v>167</v>
      </c>
      <c r="D51" s="19">
        <v>0.01</v>
      </c>
      <c r="E51" s="14">
        <v>-1.6759776536313487</v>
      </c>
      <c r="F51" s="14">
        <v>0.25</v>
      </c>
      <c r="G51" s="44">
        <v>16.595167222971977</v>
      </c>
      <c r="H51" s="44">
        <v>0.63789467334200978</v>
      </c>
      <c r="I51" s="24">
        <v>0.48682613199661273</v>
      </c>
      <c r="J51" s="44">
        <v>0.54385758721643551</v>
      </c>
      <c r="K51" s="44">
        <v>0.10219674627075172</v>
      </c>
      <c r="L51" s="45">
        <v>8.3272402876125695E-2</v>
      </c>
      <c r="M51" s="46">
        <v>0.56152058390522919</v>
      </c>
      <c r="N51" s="46">
        <v>0.45754067514354779</v>
      </c>
      <c r="O51" s="13">
        <v>4.8779422717088225E-2</v>
      </c>
      <c r="P51" s="44">
        <v>0.12194855679272056</v>
      </c>
      <c r="Q51" s="46">
        <v>1.5075488031237653E-2</v>
      </c>
      <c r="R51" s="47">
        <v>0.11727223430198937</v>
      </c>
      <c r="V51" s="171"/>
      <c r="W51" s="171"/>
    </row>
    <row r="52" spans="1:23" ht="14.25" x14ac:dyDescent="0.2">
      <c r="A52" s="37"/>
      <c r="B52" s="39"/>
      <c r="C52" s="39"/>
      <c r="D52" s="19"/>
      <c r="E52" s="14"/>
      <c r="F52" s="14"/>
      <c r="G52" s="44"/>
      <c r="H52" s="44"/>
      <c r="I52" s="24"/>
      <c r="J52" s="44"/>
      <c r="K52" s="44"/>
      <c r="L52" s="45"/>
      <c r="M52" s="46"/>
      <c r="N52" s="46"/>
      <c r="O52" s="13"/>
      <c r="P52" s="44"/>
      <c r="Q52" s="46"/>
      <c r="R52" s="47"/>
      <c r="V52" s="171"/>
      <c r="W52" s="171"/>
    </row>
    <row r="53" spans="1:23" ht="14.25" x14ac:dyDescent="0.2">
      <c r="A53" s="37">
        <v>1</v>
      </c>
      <c r="B53" s="39" t="s">
        <v>168</v>
      </c>
      <c r="C53" s="39" t="s">
        <v>167</v>
      </c>
      <c r="D53" s="19">
        <v>0.01</v>
      </c>
      <c r="E53" s="14">
        <v>-0.9467455621301909</v>
      </c>
      <c r="F53" s="14">
        <v>0.55000000000000004</v>
      </c>
      <c r="G53" s="44">
        <v>24.61461081042086</v>
      </c>
      <c r="H53" s="44">
        <v>0.94615070227307907</v>
      </c>
      <c r="I53" s="24">
        <v>6.0939415680907653E-2</v>
      </c>
      <c r="J53" s="44">
        <v>0.43715624793396102</v>
      </c>
      <c r="K53" s="44">
        <v>3.0009796953795777E-2</v>
      </c>
      <c r="L53" s="45">
        <v>2.0775634876776153E-2</v>
      </c>
      <c r="M53" s="46">
        <v>0.16488899425162515</v>
      </c>
      <c r="N53" s="46">
        <v>0.11415183998228656</v>
      </c>
      <c r="O53" s="13">
        <v>1.8437250043000345E-2</v>
      </c>
      <c r="P53" s="44">
        <v>0.10140487523650191</v>
      </c>
      <c r="Q53" s="46">
        <v>9.7403458260804671E-3</v>
      </c>
      <c r="R53" s="47">
        <v>3.9750142779876242E-2</v>
      </c>
      <c r="V53" s="171"/>
      <c r="W53" s="171"/>
    </row>
    <row r="54" spans="1:23" ht="14.25" x14ac:dyDescent="0.2">
      <c r="A54" s="37">
        <v>1</v>
      </c>
      <c r="B54" s="39" t="s">
        <v>169</v>
      </c>
      <c r="C54" s="39" t="s">
        <v>167</v>
      </c>
      <c r="D54" s="19">
        <v>0.01</v>
      </c>
      <c r="E54" s="14">
        <v>-0.80056039227460363</v>
      </c>
      <c r="F54" s="14">
        <v>0.35</v>
      </c>
      <c r="G54" s="44">
        <v>19.635666660996378</v>
      </c>
      <c r="H54" s="44">
        <v>0.75476715614111944</v>
      </c>
      <c r="I54" s="24">
        <v>0.15606198671769875</v>
      </c>
      <c r="J54" s="44">
        <v>0.46013989461933652</v>
      </c>
      <c r="K54" s="44">
        <v>5.225028754866691E-2</v>
      </c>
      <c r="L54" s="45">
        <v>3.7496018740353854E-2</v>
      </c>
      <c r="M54" s="46">
        <v>0.28708949202564238</v>
      </c>
      <c r="N54" s="46">
        <v>0.20602208099095526</v>
      </c>
      <c r="O54" s="13">
        <v>2.999899076118407E-2</v>
      </c>
      <c r="P54" s="44">
        <v>0.10499646766414424</v>
      </c>
      <c r="Q54" s="46">
        <v>1.0791474139668406E-2</v>
      </c>
      <c r="R54" s="47">
        <v>6.3041761688335321E-2</v>
      </c>
      <c r="V54" s="171"/>
      <c r="W54" s="171"/>
    </row>
    <row r="55" spans="1:23" ht="14.25" x14ac:dyDescent="0.2">
      <c r="A55" s="37"/>
      <c r="B55" s="39" t="s">
        <v>167</v>
      </c>
      <c r="C55" s="39" t="s">
        <v>170</v>
      </c>
      <c r="D55" s="19">
        <v>0.01</v>
      </c>
      <c r="E55" s="14">
        <v>-1.1019283746555848</v>
      </c>
      <c r="F55" s="14">
        <v>0.35</v>
      </c>
      <c r="G55" s="44">
        <v>35.393559004239961</v>
      </c>
      <c r="H55" s="44">
        <v>0.87454596349852709</v>
      </c>
      <c r="I55" s="24">
        <v>0.34167316056037483</v>
      </c>
      <c r="J55" s="44">
        <v>0.67171927121496844</v>
      </c>
      <c r="K55" s="44">
        <v>0.10344754462284943</v>
      </c>
      <c r="L55" s="45">
        <v>7.9415485569469257E-2</v>
      </c>
      <c r="M55" s="46">
        <v>0.45571605560726619</v>
      </c>
      <c r="N55" s="46">
        <v>0.34984795405052538</v>
      </c>
      <c r="O55" s="13">
        <v>5.3372067337087416E-2</v>
      </c>
      <c r="P55" s="44">
        <v>0.18680223567980594</v>
      </c>
      <c r="Q55" s="46">
        <v>2.2997287427195121E-2</v>
      </c>
      <c r="R55" s="47">
        <v>0.12644483205004456</v>
      </c>
      <c r="V55" s="171"/>
      <c r="W55" s="171"/>
    </row>
    <row r="56" spans="1:23" ht="14.25" x14ac:dyDescent="0.2">
      <c r="A56" s="37"/>
      <c r="B56" s="39"/>
      <c r="C56" s="39"/>
      <c r="D56" s="19"/>
      <c r="E56" s="14"/>
      <c r="F56" s="14"/>
      <c r="G56" s="44"/>
      <c r="H56" s="44"/>
      <c r="I56" s="24"/>
      <c r="J56" s="44"/>
      <c r="K56" s="44"/>
      <c r="L56" s="45"/>
      <c r="M56" s="46"/>
      <c r="N56" s="46"/>
      <c r="O56" s="13"/>
      <c r="P56" s="44"/>
      <c r="Q56" s="46"/>
      <c r="R56" s="47"/>
      <c r="V56" s="171"/>
      <c r="W56" s="171"/>
    </row>
    <row r="57" spans="1:23" ht="14.25" x14ac:dyDescent="0.2">
      <c r="A57" s="37"/>
      <c r="B57" s="39" t="s">
        <v>170</v>
      </c>
      <c r="C57" s="39" t="s">
        <v>172</v>
      </c>
      <c r="D57" s="19">
        <v>0.01</v>
      </c>
      <c r="E57" s="14">
        <v>1.1964107676968978</v>
      </c>
      <c r="F57" s="14">
        <v>0.33</v>
      </c>
      <c r="G57" s="44">
        <v>62.458824170252662</v>
      </c>
      <c r="H57" s="44">
        <v>0.98597804070653261</v>
      </c>
      <c r="I57" s="24">
        <v>0.25701265663343337</v>
      </c>
      <c r="J57" s="44">
        <v>0.69633326511907756</v>
      </c>
      <c r="K57" s="44">
        <v>0.10941949072140707</v>
      </c>
      <c r="L57" s="45">
        <v>8.1405869692953173E-2</v>
      </c>
      <c r="M57" s="46">
        <v>0.38527989690636294</v>
      </c>
      <c r="N57" s="46">
        <v>0.28664038624279287</v>
      </c>
      <c r="O57" s="13">
        <v>5.9161167218296173E-2</v>
      </c>
      <c r="P57" s="44">
        <v>0.19523185182037736</v>
      </c>
      <c r="Q57" s="46">
        <v>2.4713558415463587E-2</v>
      </c>
      <c r="R57" s="47">
        <v>0.13413304913687066</v>
      </c>
      <c r="V57" s="171"/>
      <c r="W57" s="171"/>
    </row>
    <row r="58" spans="1:23" ht="14.25" x14ac:dyDescent="0.2">
      <c r="A58" s="37"/>
      <c r="B58" s="39" t="s">
        <v>172</v>
      </c>
      <c r="C58" s="39" t="s">
        <v>173</v>
      </c>
      <c r="D58" s="19">
        <v>0.01</v>
      </c>
      <c r="E58" s="14">
        <v>0.54200542005416974</v>
      </c>
      <c r="F58" s="14">
        <v>0.33</v>
      </c>
      <c r="G58" s="44">
        <v>62.458824170252662</v>
      </c>
      <c r="H58" s="44">
        <v>0.98597804070653261</v>
      </c>
      <c r="I58" s="24">
        <v>0.26038914634265481</v>
      </c>
      <c r="J58" s="44">
        <v>0.69901780880064102</v>
      </c>
      <c r="K58" s="44">
        <v>0.11026488417026434</v>
      </c>
      <c r="L58" s="45">
        <v>8.2135058463436009E-2</v>
      </c>
      <c r="M58" s="46">
        <v>0.38825663440233926</v>
      </c>
      <c r="N58" s="46">
        <v>0.2892079523360423</v>
      </c>
      <c r="O58" s="13">
        <v>5.9504423110432129E-2</v>
      </c>
      <c r="P58" s="44">
        <v>0.19636459626442604</v>
      </c>
      <c r="Q58" s="46">
        <v>2.4904479970461236E-2</v>
      </c>
      <c r="R58" s="47">
        <v>0.13516936414072558</v>
      </c>
      <c r="V58" s="171"/>
      <c r="W58" s="171"/>
    </row>
    <row r="59" spans="1:23" ht="14.25" x14ac:dyDescent="0.2">
      <c r="A59" s="37"/>
      <c r="B59" s="39"/>
      <c r="C59" s="39"/>
      <c r="D59" s="19"/>
      <c r="E59" s="14"/>
      <c r="F59" s="14"/>
      <c r="G59" s="44"/>
      <c r="H59" s="44"/>
      <c r="I59" s="24"/>
      <c r="J59" s="44"/>
      <c r="K59" s="44"/>
      <c r="L59" s="45"/>
      <c r="M59" s="46"/>
      <c r="N59" s="46"/>
      <c r="O59" s="13"/>
      <c r="P59" s="44"/>
      <c r="Q59" s="46"/>
      <c r="R59" s="47"/>
      <c r="V59" s="171"/>
      <c r="W59" s="171"/>
    </row>
    <row r="60" spans="1:23" ht="14.25" x14ac:dyDescent="0.2">
      <c r="A60" s="37"/>
      <c r="B60" s="39" t="s">
        <v>175</v>
      </c>
      <c r="C60" s="39" t="s">
        <v>173</v>
      </c>
      <c r="D60" s="19">
        <v>0.01</v>
      </c>
      <c r="E60" s="14">
        <v>1.6051364365970762</v>
      </c>
      <c r="F60" s="14">
        <v>0.45</v>
      </c>
      <c r="G60" s="44">
        <v>22.26475320512505</v>
      </c>
      <c r="H60" s="44">
        <v>0.85582551124665418</v>
      </c>
      <c r="I60" s="24">
        <v>0.19889290010661836</v>
      </c>
      <c r="J60" s="44">
        <v>0.5604182430202288</v>
      </c>
      <c r="K60" s="44">
        <v>6.0283062424138563E-2</v>
      </c>
      <c r="L60" s="45">
        <v>4.3926114310893841E-2</v>
      </c>
      <c r="M60" s="46">
        <v>0.33122561771504705</v>
      </c>
      <c r="N60" s="46">
        <v>0.24135227643348264</v>
      </c>
      <c r="O60" s="13">
        <v>3.371261290332489E-2</v>
      </c>
      <c r="P60" s="44">
        <v>0.15170675806496201</v>
      </c>
      <c r="Q60" s="46">
        <v>1.6007574266558623E-2</v>
      </c>
      <c r="R60" s="47">
        <v>7.6290636690697189E-2</v>
      </c>
      <c r="V60" s="171"/>
      <c r="W60" s="171"/>
    </row>
    <row r="61" spans="1:23" ht="14.25" x14ac:dyDescent="0.2">
      <c r="A61" s="37"/>
      <c r="B61" s="39"/>
      <c r="C61" s="39"/>
      <c r="D61" s="19"/>
      <c r="E61" s="14"/>
      <c r="F61" s="14"/>
      <c r="G61" s="44"/>
      <c r="H61" s="44"/>
      <c r="I61" s="24"/>
      <c r="J61" s="44"/>
      <c r="K61" s="44"/>
      <c r="L61" s="45"/>
      <c r="M61" s="46"/>
      <c r="N61" s="46"/>
      <c r="O61" s="13"/>
      <c r="P61" s="44"/>
      <c r="Q61" s="46"/>
      <c r="R61" s="47"/>
      <c r="V61" s="171"/>
      <c r="W61" s="171"/>
    </row>
    <row r="62" spans="1:23" ht="14.25" x14ac:dyDescent="0.2">
      <c r="A62" s="37">
        <v>1</v>
      </c>
      <c r="B62" s="39" t="s">
        <v>176</v>
      </c>
      <c r="C62" s="39" t="s">
        <v>177</v>
      </c>
      <c r="D62" s="19">
        <v>0.01</v>
      </c>
      <c r="E62" s="14">
        <v>2.3084994753410166</v>
      </c>
      <c r="F62" s="14">
        <v>1.2</v>
      </c>
      <c r="G62" s="44">
        <v>36.358189734368466</v>
      </c>
      <c r="H62" s="44">
        <v>1.3975572076072327</v>
      </c>
      <c r="I62" s="24">
        <v>4.1256179445647384E-2</v>
      </c>
      <c r="J62" s="44">
        <v>0.57557540645941552</v>
      </c>
      <c r="K62" s="44">
        <v>2.3843246045084778E-2</v>
      </c>
      <c r="L62" s="45">
        <v>1.6364932893429007E-2</v>
      </c>
      <c r="M62" s="46">
        <v>0.13100684640156471</v>
      </c>
      <c r="N62" s="46">
        <v>8.9917213700159385E-2</v>
      </c>
      <c r="O62" s="13">
        <v>1.4908992787541918E-2</v>
      </c>
      <c r="P62" s="44">
        <v>0.178907913450503</v>
      </c>
      <c r="Q62" s="46">
        <v>1.6885170668752364E-2</v>
      </c>
      <c r="R62" s="47">
        <v>4.0728416713837146E-2</v>
      </c>
      <c r="V62" s="171"/>
      <c r="W62" s="171"/>
    </row>
    <row r="63" spans="1:23" ht="14.25" x14ac:dyDescent="0.2">
      <c r="A63" s="37"/>
      <c r="B63" s="39" t="s">
        <v>177</v>
      </c>
      <c r="C63" s="39" t="s">
        <v>178</v>
      </c>
      <c r="D63" s="19">
        <v>0.01</v>
      </c>
      <c r="E63" s="14">
        <v>0</v>
      </c>
      <c r="F63" s="14">
        <v>1.2</v>
      </c>
      <c r="G63" s="44">
        <v>36.358189734368466</v>
      </c>
      <c r="H63" s="44">
        <v>1.3975572076072327</v>
      </c>
      <c r="I63" s="24">
        <v>4.1256179445647384E-2</v>
      </c>
      <c r="J63" s="44">
        <v>0.57557540645941552</v>
      </c>
      <c r="K63" s="44">
        <v>2.3843246045084778E-2</v>
      </c>
      <c r="L63" s="45">
        <v>1.6364932893429007E-2</v>
      </c>
      <c r="M63" s="46">
        <v>0.13100684640156471</v>
      </c>
      <c r="N63" s="46">
        <v>8.9917213700159385E-2</v>
      </c>
      <c r="O63" s="13">
        <v>1.4908992787541918E-2</v>
      </c>
      <c r="P63" s="44">
        <v>0.178907913450503</v>
      </c>
      <c r="Q63" s="46">
        <v>1.6885170668752364E-2</v>
      </c>
      <c r="R63" s="47">
        <v>4.0728416713837146E-2</v>
      </c>
      <c r="V63" s="171"/>
      <c r="W63" s="171"/>
    </row>
    <row r="64" spans="1:23" ht="14.25" x14ac:dyDescent="0.2">
      <c r="A64" s="37"/>
      <c r="B64" s="39"/>
      <c r="C64" s="39"/>
      <c r="D64" s="19"/>
      <c r="E64" s="14"/>
      <c r="F64" s="14"/>
      <c r="G64" s="44"/>
      <c r="H64" s="44"/>
      <c r="I64" s="24"/>
      <c r="J64" s="44"/>
      <c r="K64" s="44"/>
      <c r="L64" s="45"/>
      <c r="M64" s="46"/>
      <c r="N64" s="46"/>
      <c r="O64" s="13"/>
      <c r="P64" s="44"/>
      <c r="Q64" s="46"/>
      <c r="R64" s="47"/>
      <c r="V64" s="171"/>
      <c r="W64" s="171"/>
    </row>
    <row r="65" spans="1:23" ht="14.25" x14ac:dyDescent="0.2">
      <c r="A65" s="37"/>
      <c r="B65" s="39" t="s">
        <v>180</v>
      </c>
      <c r="C65" s="39" t="s">
        <v>178</v>
      </c>
      <c r="D65" s="19">
        <v>0.01</v>
      </c>
      <c r="E65" s="14">
        <v>1.8181818181817724</v>
      </c>
      <c r="F65" s="14">
        <v>0.45</v>
      </c>
      <c r="G65" s="44">
        <v>22.26475320512505</v>
      </c>
      <c r="H65" s="44">
        <v>0.85582551124665418</v>
      </c>
      <c r="I65" s="24">
        <v>0.11347731265583963</v>
      </c>
      <c r="J65" s="44">
        <v>0.47496737101762404</v>
      </c>
      <c r="K65" s="44">
        <v>4.32995775172079E-2</v>
      </c>
      <c r="L65" s="45">
        <v>3.0595657767969246E-2</v>
      </c>
      <c r="M65" s="46">
        <v>0.2379097665780654</v>
      </c>
      <c r="N65" s="46">
        <v>0.16810800971411674</v>
      </c>
      <c r="O65" s="13">
        <v>2.5568559263938712E-2</v>
      </c>
      <c r="P65" s="44">
        <v>0.11505851668772421</v>
      </c>
      <c r="Q65" s="46">
        <v>1.1498165317604146E-2</v>
      </c>
      <c r="R65" s="47">
        <v>5.4797742834812049E-2</v>
      </c>
      <c r="V65" s="171"/>
      <c r="W65" s="171"/>
    </row>
    <row r="66" spans="1:23" ht="14.25" x14ac:dyDescent="0.2">
      <c r="A66" s="37"/>
      <c r="B66" s="39" t="s">
        <v>178</v>
      </c>
      <c r="C66" s="39" t="s">
        <v>173</v>
      </c>
      <c r="D66" s="19">
        <v>0.01</v>
      </c>
      <c r="E66" s="14">
        <v>0</v>
      </c>
      <c r="F66" s="14">
        <v>0.45</v>
      </c>
      <c r="G66" s="44">
        <v>22.26475320512505</v>
      </c>
      <c r="H66" s="44">
        <v>0.85582551124665418</v>
      </c>
      <c r="I66" s="24">
        <v>0.16050575579467954</v>
      </c>
      <c r="J66" s="44">
        <v>0.52608618429411313</v>
      </c>
      <c r="K66" s="44">
        <v>5.3122556326536834E-2</v>
      </c>
      <c r="L66" s="45">
        <v>3.8182680019946721E-2</v>
      </c>
      <c r="M66" s="46">
        <v>0.29188217761833424</v>
      </c>
      <c r="N66" s="46">
        <v>0.20979494516454242</v>
      </c>
      <c r="O66" s="13">
        <v>3.0414378576818127E-2</v>
      </c>
      <c r="P66" s="44">
        <v>0.13686470359568156</v>
      </c>
      <c r="Q66" s="46">
        <v>1.4106354398834838E-2</v>
      </c>
      <c r="R66" s="47">
        <v>6.7228910725371668E-2</v>
      </c>
      <c r="V66" s="171"/>
      <c r="W66" s="171"/>
    </row>
    <row r="67" spans="1:23" ht="14.25" x14ac:dyDescent="0.2">
      <c r="A67" s="37"/>
      <c r="B67" s="39" t="s">
        <v>173</v>
      </c>
      <c r="C67" s="39" t="s">
        <v>185</v>
      </c>
      <c r="D67" s="19">
        <v>0.01</v>
      </c>
      <c r="E67" s="14">
        <v>-6.2212604814713401</v>
      </c>
      <c r="F67" s="14">
        <v>0.25</v>
      </c>
      <c r="G67" s="44">
        <v>54.363428526533333</v>
      </c>
      <c r="H67" s="44">
        <v>0.85818373074992405</v>
      </c>
      <c r="I67" s="24">
        <v>0.44893036976410322</v>
      </c>
      <c r="J67" s="44">
        <v>0.71439868452441369</v>
      </c>
      <c r="K67" s="44">
        <v>0.15203031968266634</v>
      </c>
      <c r="L67" s="45">
        <v>0.12185288135880895</v>
      </c>
      <c r="M67" s="46">
        <v>0.53531802705164211</v>
      </c>
      <c r="N67" s="46">
        <v>0.42905944140425689</v>
      </c>
      <c r="O67" s="13">
        <v>7.4047614624027022E-2</v>
      </c>
      <c r="P67" s="44">
        <v>0.18511903656006756</v>
      </c>
      <c r="Q67" s="46">
        <v>2.6012511745678531E-2</v>
      </c>
      <c r="R67" s="47">
        <v>0.17804283142834487</v>
      </c>
      <c r="V67" s="171"/>
      <c r="W67" s="171"/>
    </row>
    <row r="68" spans="1:23" ht="14.25" x14ac:dyDescent="0.2">
      <c r="A68" s="37"/>
      <c r="B68" s="39" t="s">
        <v>185</v>
      </c>
      <c r="C68" s="39" t="s">
        <v>186</v>
      </c>
      <c r="D68" s="19">
        <v>0.01</v>
      </c>
      <c r="E68" s="14">
        <v>1.4047327236730012</v>
      </c>
      <c r="F68" s="14">
        <v>0.25</v>
      </c>
      <c r="G68" s="44">
        <v>54.363428526533333</v>
      </c>
      <c r="H68" s="44">
        <v>0.85818373074992405</v>
      </c>
      <c r="I68" s="24">
        <v>0.45213288837100996</v>
      </c>
      <c r="J68" s="44">
        <v>0.71589736086122924</v>
      </c>
      <c r="K68" s="44">
        <v>0.15266891706640989</v>
      </c>
      <c r="L68" s="45">
        <v>0.12253174542198118</v>
      </c>
      <c r="M68" s="46">
        <v>0.53756660938876732</v>
      </c>
      <c r="N68" s="46">
        <v>0.43144980782387743</v>
      </c>
      <c r="O68" s="13">
        <v>7.4231700715196525E-2</v>
      </c>
      <c r="P68" s="44">
        <v>0.18557925178799131</v>
      </c>
      <c r="Q68" s="46">
        <v>2.6121765101328905E-2</v>
      </c>
      <c r="R68" s="47">
        <v>0.1787906821677388</v>
      </c>
      <c r="V68" s="171"/>
      <c r="W68" s="171"/>
    </row>
    <row r="69" spans="1:23" ht="14.25" x14ac:dyDescent="0.2">
      <c r="A69" s="37"/>
      <c r="B69" s="39" t="s">
        <v>186</v>
      </c>
      <c r="C69" s="39" t="s">
        <v>187</v>
      </c>
      <c r="D69" s="19">
        <v>0.01</v>
      </c>
      <c r="E69" s="14">
        <v>0.8800000000000523</v>
      </c>
      <c r="F69" s="14">
        <v>0.25</v>
      </c>
      <c r="G69" s="44">
        <v>54.363428526533333</v>
      </c>
      <c r="H69" s="44">
        <v>0.85818373074992405</v>
      </c>
      <c r="I69" s="24">
        <v>0.45533088209634903</v>
      </c>
      <c r="J69" s="44">
        <v>0.71738646824341867</v>
      </c>
      <c r="K69" s="44">
        <v>0.15330476278253349</v>
      </c>
      <c r="L69" s="45">
        <v>0.12321041820579609</v>
      </c>
      <c r="M69" s="46">
        <v>0.53980550275539962</v>
      </c>
      <c r="N69" s="46">
        <v>0.43383950072463418</v>
      </c>
      <c r="O69" s="13">
        <v>7.4413795344448447E-2</v>
      </c>
      <c r="P69" s="44">
        <v>0.1860344883611211</v>
      </c>
      <c r="Q69" s="46">
        <v>2.6230547646216386E-2</v>
      </c>
      <c r="R69" s="47">
        <v>0.17953531042874987</v>
      </c>
      <c r="V69" s="171"/>
      <c r="W69" s="171"/>
    </row>
    <row r="70" spans="1:23" ht="14.25" x14ac:dyDescent="0.2">
      <c r="A70" s="37"/>
      <c r="B70" s="39" t="s">
        <v>187</v>
      </c>
      <c r="C70" s="39" t="s">
        <v>188</v>
      </c>
      <c r="D70" s="19">
        <v>0.01</v>
      </c>
      <c r="E70" s="14">
        <v>-0.56634304207120789</v>
      </c>
      <c r="F70" s="14">
        <v>0.25</v>
      </c>
      <c r="G70" s="44">
        <v>54.363428526533333</v>
      </c>
      <c r="H70" s="44">
        <v>0.85818373074992405</v>
      </c>
      <c r="I70" s="24">
        <v>0.45852439689402497</v>
      </c>
      <c r="J70" s="44">
        <v>0.71886614828875905</v>
      </c>
      <c r="K70" s="44">
        <v>0.15393789201423122</v>
      </c>
      <c r="L70" s="45">
        <v>0.12388893574693992</v>
      </c>
      <c r="M70" s="46">
        <v>0.54203483103602546</v>
      </c>
      <c r="N70" s="46">
        <v>0.43622864699626734</v>
      </c>
      <c r="O70" s="13">
        <v>7.4593921331237059E-2</v>
      </c>
      <c r="P70" s="44">
        <v>0.18648480332809264</v>
      </c>
      <c r="Q70" s="46">
        <v>2.6338865400383084E-2</v>
      </c>
      <c r="R70" s="47">
        <v>0.1802767574146143</v>
      </c>
      <c r="V70" s="171"/>
      <c r="W70" s="171"/>
    </row>
    <row r="71" spans="1:23" ht="14.25" x14ac:dyDescent="0.2">
      <c r="A71" s="37"/>
      <c r="B71" s="39" t="s">
        <v>188</v>
      </c>
      <c r="C71" s="39" t="s">
        <v>189</v>
      </c>
      <c r="D71" s="19">
        <v>0.01</v>
      </c>
      <c r="E71" s="14">
        <v>-1.2872221745473267</v>
      </c>
      <c r="F71" s="14">
        <v>0.25</v>
      </c>
      <c r="G71" s="44">
        <v>54.363428526533333</v>
      </c>
      <c r="H71" s="44">
        <v>0.85818373074992405</v>
      </c>
      <c r="I71" s="24">
        <v>0.46171347786949757</v>
      </c>
      <c r="J71" s="44">
        <v>0.72033653934965813</v>
      </c>
      <c r="K71" s="44">
        <v>0.15456833920320384</v>
      </c>
      <c r="L71" s="45">
        <v>0.12456733375375224</v>
      </c>
      <c r="M71" s="46">
        <v>0.54425471550423887</v>
      </c>
      <c r="N71" s="46">
        <v>0.43861737237236709</v>
      </c>
      <c r="O71" s="13">
        <v>7.4772100999427174E-2</v>
      </c>
      <c r="P71" s="44">
        <v>0.18693025249856796</v>
      </c>
      <c r="Q71" s="46">
        <v>2.6446724256994982E-2</v>
      </c>
      <c r="R71" s="47">
        <v>0.18101506346019883</v>
      </c>
      <c r="V71" s="171"/>
      <c r="W71" s="171"/>
    </row>
    <row r="72" spans="1:23" ht="14.25" x14ac:dyDescent="0.2">
      <c r="A72" s="37"/>
      <c r="B72" s="39" t="s">
        <v>189</v>
      </c>
      <c r="C72" s="39" t="s">
        <v>190</v>
      </c>
      <c r="D72" s="19">
        <v>0.01</v>
      </c>
      <c r="E72" s="14">
        <v>1.3964235483222687</v>
      </c>
      <c r="F72" s="14">
        <v>0.25</v>
      </c>
      <c r="G72" s="44">
        <v>54.363428526533333</v>
      </c>
      <c r="H72" s="44">
        <v>0.85818373074992405</v>
      </c>
      <c r="I72" s="24">
        <v>0.46489816930237732</v>
      </c>
      <c r="J72" s="44">
        <v>0.72179777661495215</v>
      </c>
      <c r="K72" s="44">
        <v>0.15519613807132496</v>
      </c>
      <c r="L72" s="45">
        <v>0.12524564762289364</v>
      </c>
      <c r="M72" s="46">
        <v>0.54646527489903163</v>
      </c>
      <c r="N72" s="46">
        <v>0.44100580148906215</v>
      </c>
      <c r="O72" s="13">
        <v>7.4948356191589849E-2</v>
      </c>
      <c r="P72" s="44">
        <v>0.18737089047897462</v>
      </c>
      <c r="Q72" s="46">
        <v>2.6554129986049356E-2</v>
      </c>
      <c r="R72" s="47">
        <v>0.18175026805737432</v>
      </c>
      <c r="V72" s="171"/>
      <c r="W72" s="171"/>
    </row>
    <row r="73" spans="1:23" ht="14.25" x14ac:dyDescent="0.2">
      <c r="A73" s="37"/>
      <c r="B73" s="39" t="s">
        <v>190</v>
      </c>
      <c r="C73" s="39" t="s">
        <v>191</v>
      </c>
      <c r="D73" s="19">
        <v>0.01</v>
      </c>
      <c r="E73" s="14">
        <v>-3.0841872614024441</v>
      </c>
      <c r="F73" s="14">
        <v>0.25</v>
      </c>
      <c r="G73" s="44">
        <v>54.363428526533333</v>
      </c>
      <c r="H73" s="44">
        <v>0.85818373074992405</v>
      </c>
      <c r="I73" s="24">
        <v>0.46807851466823824</v>
      </c>
      <c r="J73" s="44">
        <v>0.72324999220771602</v>
      </c>
      <c r="K73" s="44">
        <v>0.15582132164150075</v>
      </c>
      <c r="L73" s="45">
        <v>0.12592391245552564</v>
      </c>
      <c r="M73" s="46">
        <v>0.54866662549824219</v>
      </c>
      <c r="N73" s="46">
        <v>0.44339405794199177</v>
      </c>
      <c r="O73" s="13">
        <v>7.5122708282763268E-2</v>
      </c>
      <c r="P73" s="44">
        <v>0.18780677070690818</v>
      </c>
      <c r="Q73" s="46">
        <v>2.6661088237943997E-2</v>
      </c>
      <c r="R73" s="47">
        <v>0.18248240987944475</v>
      </c>
      <c r="V73" s="171"/>
      <c r="W73" s="171"/>
    </row>
    <row r="74" spans="1:23" ht="15" thickBot="1" x14ac:dyDescent="0.25">
      <c r="A74" s="153"/>
      <c r="B74" s="154" t="s">
        <v>191</v>
      </c>
      <c r="C74" s="154" t="s">
        <v>192</v>
      </c>
      <c r="D74" s="48">
        <v>0.01</v>
      </c>
      <c r="E74" s="49">
        <v>0.16032064128241932</v>
      </c>
      <c r="F74" s="49">
        <v>0.25</v>
      </c>
      <c r="G74" s="50">
        <v>54.363428526533333</v>
      </c>
      <c r="H74" s="50">
        <v>0.85818373074992405</v>
      </c>
      <c r="I74" s="51">
        <v>0.47125455665968052</v>
      </c>
      <c r="J74" s="50">
        <v>0.7246933152792765</v>
      </c>
      <c r="K74" s="50">
        <v>0.15644392225775958</v>
      </c>
      <c r="L74" s="52">
        <v>0.12660216307302968</v>
      </c>
      <c r="M74" s="53">
        <v>0.55085888118929438</v>
      </c>
      <c r="N74" s="53">
        <v>0.44578226434165386</v>
      </c>
      <c r="O74" s="54">
        <v>7.529517819370378E-2</v>
      </c>
      <c r="P74" s="50">
        <v>0.18823794548425943</v>
      </c>
      <c r="Q74" s="53">
        <v>2.6767604546914823E-2</v>
      </c>
      <c r="R74" s="55">
        <v>0.1832115268046744</v>
      </c>
      <c r="V74" s="171"/>
      <c r="W74" s="171"/>
    </row>
    <row r="75" spans="1:23" ht="15" thickBot="1" x14ac:dyDescent="0.25">
      <c r="A75" s="58"/>
      <c r="B75" s="72"/>
      <c r="C75" s="72"/>
      <c r="D75" s="161"/>
      <c r="E75" s="161"/>
      <c r="F75" s="161"/>
      <c r="G75" s="162"/>
      <c r="H75" s="163"/>
      <c r="I75" s="164"/>
      <c r="J75" s="165"/>
      <c r="K75" s="161"/>
      <c r="L75" s="161"/>
      <c r="M75" s="162"/>
      <c r="N75" s="160"/>
      <c r="O75" s="160"/>
      <c r="P75" s="166"/>
      <c r="V75" s="171"/>
      <c r="W75" s="171"/>
    </row>
    <row r="76" spans="1:23" ht="32.25" customHeight="1" x14ac:dyDescent="0.2">
      <c r="A76" s="229" t="s">
        <v>151</v>
      </c>
      <c r="B76" s="222" t="s">
        <v>109</v>
      </c>
      <c r="C76" s="222"/>
      <c r="D76" s="178" t="s">
        <v>25</v>
      </c>
      <c r="E76" s="222" t="s">
        <v>26</v>
      </c>
      <c r="F76" s="179" t="s">
        <v>130</v>
      </c>
      <c r="G76" s="222" t="s">
        <v>181</v>
      </c>
      <c r="H76" s="222"/>
      <c r="I76" s="222" t="s">
        <v>182</v>
      </c>
      <c r="J76" s="222"/>
      <c r="K76" s="222" t="s">
        <v>129</v>
      </c>
      <c r="L76" s="222"/>
      <c r="M76" s="222" t="s">
        <v>27</v>
      </c>
      <c r="N76" s="222"/>
      <c r="O76" s="222" t="s">
        <v>52</v>
      </c>
      <c r="P76" s="222"/>
      <c r="Q76" s="222" t="s">
        <v>112</v>
      </c>
      <c r="R76" s="223"/>
      <c r="V76" s="171"/>
      <c r="W76" s="171"/>
    </row>
    <row r="77" spans="1:23" x14ac:dyDescent="0.2">
      <c r="A77" s="230"/>
      <c r="B77" s="180" t="s">
        <v>29</v>
      </c>
      <c r="C77" s="180" t="s">
        <v>30</v>
      </c>
      <c r="D77" s="180" t="s">
        <v>33</v>
      </c>
      <c r="E77" s="241"/>
      <c r="F77" s="181" t="s">
        <v>131</v>
      </c>
      <c r="G77" s="182" t="s">
        <v>37</v>
      </c>
      <c r="H77" s="182" t="s">
        <v>38</v>
      </c>
      <c r="I77" s="182" t="s">
        <v>37</v>
      </c>
      <c r="J77" s="182" t="s">
        <v>38</v>
      </c>
      <c r="K77" s="182" t="s">
        <v>37</v>
      </c>
      <c r="L77" s="182" t="s">
        <v>38</v>
      </c>
      <c r="M77" s="182" t="s">
        <v>37</v>
      </c>
      <c r="N77" s="182" t="s">
        <v>38</v>
      </c>
      <c r="O77" s="182" t="s">
        <v>37</v>
      </c>
      <c r="P77" s="182" t="s">
        <v>38</v>
      </c>
      <c r="Q77" s="182" t="s">
        <v>37</v>
      </c>
      <c r="R77" s="183" t="s">
        <v>38</v>
      </c>
      <c r="V77" s="171"/>
      <c r="W77" s="171"/>
    </row>
    <row r="78" spans="1:23" x14ac:dyDescent="0.2">
      <c r="A78" s="184" t="s">
        <v>53</v>
      </c>
      <c r="B78" s="185" t="s">
        <v>54</v>
      </c>
      <c r="C78" s="185" t="s">
        <v>55</v>
      </c>
      <c r="D78" s="185" t="s">
        <v>81</v>
      </c>
      <c r="E78" s="185" t="s">
        <v>82</v>
      </c>
      <c r="F78" s="185" t="s">
        <v>83</v>
      </c>
      <c r="G78" s="185" t="s">
        <v>105</v>
      </c>
      <c r="H78" s="185" t="s">
        <v>90</v>
      </c>
      <c r="I78" s="185" t="s">
        <v>105</v>
      </c>
      <c r="J78" s="185" t="s">
        <v>90</v>
      </c>
      <c r="K78" s="185" t="s">
        <v>91</v>
      </c>
      <c r="L78" s="185" t="s">
        <v>92</v>
      </c>
      <c r="M78" s="185" t="s">
        <v>93</v>
      </c>
      <c r="N78" s="185" t="s">
        <v>94</v>
      </c>
      <c r="O78" s="185" t="s">
        <v>117</v>
      </c>
      <c r="P78" s="185" t="s">
        <v>142</v>
      </c>
      <c r="Q78" s="185" t="s">
        <v>143</v>
      </c>
      <c r="R78" s="186" t="s">
        <v>152</v>
      </c>
      <c r="V78" s="171"/>
      <c r="W78" s="171"/>
    </row>
    <row r="79" spans="1:23" ht="14.25" x14ac:dyDescent="0.2">
      <c r="A79" s="37">
        <v>1</v>
      </c>
      <c r="B79" s="39" t="s">
        <v>164</v>
      </c>
      <c r="C79" s="39" t="s">
        <v>165</v>
      </c>
      <c r="D79" s="13">
        <v>7.5710515434937481E-2</v>
      </c>
      <c r="E79" s="46">
        <v>0.60843125414109578</v>
      </c>
      <c r="F79" s="46" t="s">
        <v>183</v>
      </c>
      <c r="G79" s="14">
        <v>311</v>
      </c>
      <c r="H79" s="14">
        <v>311</v>
      </c>
      <c r="I79" s="14">
        <v>311</v>
      </c>
      <c r="J79" s="14">
        <v>311</v>
      </c>
      <c r="K79" s="14">
        <v>309.8</v>
      </c>
      <c r="L79" s="14">
        <v>309.54675000000003</v>
      </c>
      <c r="M79" s="14">
        <v>309.61799999999999</v>
      </c>
      <c r="N79" s="14">
        <v>309.36475000000002</v>
      </c>
      <c r="O79" s="14">
        <v>1.1999999999999886</v>
      </c>
      <c r="P79" s="14">
        <v>1.4532499999999686</v>
      </c>
      <c r="Q79" s="14">
        <v>1.382000000000005</v>
      </c>
      <c r="R79" s="187">
        <v>1.635249999999985</v>
      </c>
      <c r="W79" s="171"/>
    </row>
    <row r="80" spans="1:23" ht="14.25" x14ac:dyDescent="0.2">
      <c r="A80" s="37">
        <v>1</v>
      </c>
      <c r="B80" s="39" t="s">
        <v>166</v>
      </c>
      <c r="C80" s="39" t="s">
        <v>165</v>
      </c>
      <c r="D80" s="13">
        <v>2.0775634876776153E-2</v>
      </c>
      <c r="E80" s="46">
        <v>0.96749832272122693</v>
      </c>
      <c r="F80" s="46" t="s">
        <v>183</v>
      </c>
      <c r="G80" s="14">
        <v>310.8</v>
      </c>
      <c r="H80" s="14">
        <v>311</v>
      </c>
      <c r="I80" s="14">
        <v>310.8</v>
      </c>
      <c r="J80" s="14">
        <v>311</v>
      </c>
      <c r="K80" s="14">
        <v>309.60000000000002</v>
      </c>
      <c r="L80" s="14">
        <v>309.23975000000002</v>
      </c>
      <c r="M80" s="14">
        <v>309.41800000000001</v>
      </c>
      <c r="N80" s="14">
        <v>309.05775</v>
      </c>
      <c r="O80" s="14">
        <v>1.1999999999999886</v>
      </c>
      <c r="P80" s="14">
        <v>1.760249999999985</v>
      </c>
      <c r="Q80" s="14">
        <v>1.382000000000005</v>
      </c>
      <c r="R80" s="187">
        <v>1.9422500000000014</v>
      </c>
      <c r="W80" s="171"/>
    </row>
    <row r="81" spans="1:23" ht="14.25" x14ac:dyDescent="0.2">
      <c r="A81" s="37"/>
      <c r="B81" s="39" t="s">
        <v>165</v>
      </c>
      <c r="C81" s="39" t="s">
        <v>167</v>
      </c>
      <c r="D81" s="13">
        <v>8.3272402876125695E-2</v>
      </c>
      <c r="E81" s="46">
        <v>0.60120879661558468</v>
      </c>
      <c r="F81" s="46" t="s">
        <v>183</v>
      </c>
      <c r="G81" s="14">
        <v>311</v>
      </c>
      <c r="H81" s="14">
        <v>311.60000000000002</v>
      </c>
      <c r="I81" s="14">
        <v>311</v>
      </c>
      <c r="J81" s="14">
        <v>311.60000000000002</v>
      </c>
      <c r="K81" s="14">
        <v>309.21975000000003</v>
      </c>
      <c r="L81" s="14">
        <v>309.13025000000005</v>
      </c>
      <c r="M81" s="14">
        <v>309.03775000000002</v>
      </c>
      <c r="N81" s="14">
        <v>308.94825000000003</v>
      </c>
      <c r="O81" s="14">
        <v>1.7802499999999668</v>
      </c>
      <c r="P81" s="14">
        <v>2.4697499999999764</v>
      </c>
      <c r="Q81" s="14">
        <v>1.9622499999999832</v>
      </c>
      <c r="R81" s="187">
        <v>2.6517499999999927</v>
      </c>
      <c r="W81" s="171"/>
    </row>
    <row r="82" spans="1:23" ht="14.25" x14ac:dyDescent="0.2">
      <c r="A82" s="37"/>
      <c r="B82" s="39"/>
      <c r="C82" s="39"/>
      <c r="D82" s="13"/>
      <c r="E82" s="46"/>
      <c r="F82" s="46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87"/>
      <c r="W82" s="171"/>
    </row>
    <row r="83" spans="1:23" ht="14.25" x14ac:dyDescent="0.2">
      <c r="A83" s="37">
        <v>1</v>
      </c>
      <c r="B83" s="39" t="s">
        <v>168</v>
      </c>
      <c r="C83" s="39" t="s">
        <v>167</v>
      </c>
      <c r="D83" s="13">
        <v>2.0775634876776153E-2</v>
      </c>
      <c r="E83" s="46">
        <v>0.96749832272122693</v>
      </c>
      <c r="F83" s="46" t="s">
        <v>183</v>
      </c>
      <c r="G83" s="14">
        <v>310.8</v>
      </c>
      <c r="H83" s="14">
        <v>311.60000000000002</v>
      </c>
      <c r="I83" s="14">
        <v>310.8</v>
      </c>
      <c r="J83" s="14">
        <v>311.60000000000002</v>
      </c>
      <c r="K83" s="14">
        <v>309.60000000000002</v>
      </c>
      <c r="L83" s="14">
        <v>309.13525000000004</v>
      </c>
      <c r="M83" s="14">
        <v>309.41800000000001</v>
      </c>
      <c r="N83" s="14">
        <v>308.95325000000003</v>
      </c>
      <c r="O83" s="14">
        <v>1.1999999999999886</v>
      </c>
      <c r="P83" s="14">
        <v>2.4647499999999809</v>
      </c>
      <c r="Q83" s="14">
        <v>1.382000000000005</v>
      </c>
      <c r="R83" s="187">
        <v>2.6467499999999973</v>
      </c>
      <c r="W83" s="171"/>
    </row>
    <row r="84" spans="1:23" ht="14.25" x14ac:dyDescent="0.2">
      <c r="A84" s="37">
        <v>1</v>
      </c>
      <c r="B84" s="39" t="s">
        <v>169</v>
      </c>
      <c r="C84" s="39" t="s">
        <v>167</v>
      </c>
      <c r="D84" s="13">
        <v>3.7496018740353854E-2</v>
      </c>
      <c r="E84" s="46">
        <v>0.75803279135668944</v>
      </c>
      <c r="F84" s="46" t="s">
        <v>183</v>
      </c>
      <c r="G84" s="14">
        <v>310.8</v>
      </c>
      <c r="H84" s="14">
        <v>311.60000000000002</v>
      </c>
      <c r="I84" s="14">
        <v>310.8</v>
      </c>
      <c r="J84" s="14">
        <v>311.60000000000002</v>
      </c>
      <c r="K84" s="14">
        <v>309.60000000000002</v>
      </c>
      <c r="L84" s="14">
        <v>309.25024500000001</v>
      </c>
      <c r="M84" s="14">
        <v>309.41800000000001</v>
      </c>
      <c r="N84" s="14">
        <v>309.06824499999999</v>
      </c>
      <c r="O84" s="14">
        <v>1.1999999999999886</v>
      </c>
      <c r="P84" s="14">
        <v>2.349755000000016</v>
      </c>
      <c r="Q84" s="14">
        <v>1.382000000000005</v>
      </c>
      <c r="R84" s="187">
        <v>2.5317550000000324</v>
      </c>
      <c r="W84" s="171"/>
    </row>
    <row r="85" spans="1:23" ht="14.25" x14ac:dyDescent="0.2">
      <c r="A85" s="37"/>
      <c r="B85" s="39" t="s">
        <v>167</v>
      </c>
      <c r="C85" s="39" t="s">
        <v>170</v>
      </c>
      <c r="D85" s="13">
        <v>7.9415485569469257E-2</v>
      </c>
      <c r="E85" s="46">
        <v>0.76037161020000466</v>
      </c>
      <c r="F85" s="46" t="s">
        <v>183</v>
      </c>
      <c r="G85" s="14">
        <v>311.60000000000002</v>
      </c>
      <c r="H85" s="14">
        <v>312</v>
      </c>
      <c r="I85" s="14">
        <v>311.60000000000002</v>
      </c>
      <c r="J85" s="14">
        <v>312</v>
      </c>
      <c r="K85" s="14">
        <v>309.11025000000006</v>
      </c>
      <c r="L85" s="14">
        <v>308.98320000000007</v>
      </c>
      <c r="M85" s="14">
        <v>308.88325000000009</v>
      </c>
      <c r="N85" s="14">
        <v>308.75620000000009</v>
      </c>
      <c r="O85" s="14">
        <v>2.4897499999999582</v>
      </c>
      <c r="P85" s="14">
        <v>3.0167999999999324</v>
      </c>
      <c r="Q85" s="14">
        <v>2.7167499999999336</v>
      </c>
      <c r="R85" s="187">
        <v>3.2437999999999079</v>
      </c>
      <c r="W85" s="171"/>
    </row>
    <row r="86" spans="1:23" ht="14.25" x14ac:dyDescent="0.2">
      <c r="A86" s="37"/>
      <c r="B86" s="39"/>
      <c r="C86" s="39"/>
      <c r="D86" s="13"/>
      <c r="E86" s="46"/>
      <c r="F86" s="46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87"/>
      <c r="W86" s="171"/>
    </row>
    <row r="87" spans="1:23" ht="14.25" x14ac:dyDescent="0.2">
      <c r="A87" s="37"/>
      <c r="B87" s="39" t="s">
        <v>170</v>
      </c>
      <c r="C87" s="39" t="s">
        <v>172</v>
      </c>
      <c r="D87" s="13">
        <v>8.1405869692953173E-2</v>
      </c>
      <c r="E87" s="46">
        <v>0.77853826975596607</v>
      </c>
      <c r="F87" s="46" t="s">
        <v>183</v>
      </c>
      <c r="G87" s="14">
        <v>312</v>
      </c>
      <c r="H87" s="14">
        <v>310.8</v>
      </c>
      <c r="I87" s="14">
        <v>312</v>
      </c>
      <c r="J87" s="14">
        <v>310.8</v>
      </c>
      <c r="K87" s="14">
        <v>308.96320000000009</v>
      </c>
      <c r="L87" s="14">
        <v>308.6322100000001</v>
      </c>
      <c r="M87" s="14">
        <v>308.67920000000009</v>
      </c>
      <c r="N87" s="14">
        <v>308.34821000000011</v>
      </c>
      <c r="O87" s="14">
        <v>3.0367999999999142</v>
      </c>
      <c r="P87" s="14">
        <v>2.1677899999999113</v>
      </c>
      <c r="Q87" s="14">
        <v>3.320799999999906</v>
      </c>
      <c r="R87" s="187">
        <v>2.4517899999999031</v>
      </c>
      <c r="W87" s="171"/>
    </row>
    <row r="88" spans="1:23" ht="14.25" x14ac:dyDescent="0.2">
      <c r="A88" s="37"/>
      <c r="B88" s="39" t="s">
        <v>172</v>
      </c>
      <c r="C88" s="39" t="s">
        <v>173</v>
      </c>
      <c r="D88" s="13">
        <v>8.2135058463436009E-2</v>
      </c>
      <c r="E88" s="46">
        <v>0.77806277559476833</v>
      </c>
      <c r="F88" s="46" t="s">
        <v>183</v>
      </c>
      <c r="G88" s="14">
        <v>310.8</v>
      </c>
      <c r="H88" s="14">
        <v>310.60000000000002</v>
      </c>
      <c r="I88" s="14">
        <v>310.8</v>
      </c>
      <c r="J88" s="14">
        <v>310.60000000000002</v>
      </c>
      <c r="K88" s="14">
        <v>308.61221000000012</v>
      </c>
      <c r="L88" s="14">
        <v>308.49044000000009</v>
      </c>
      <c r="M88" s="14">
        <v>308.32821000000013</v>
      </c>
      <c r="N88" s="14">
        <v>308.2064400000001</v>
      </c>
      <c r="O88" s="14">
        <v>2.1877899999998931</v>
      </c>
      <c r="P88" s="14">
        <v>2.1095599999999308</v>
      </c>
      <c r="Q88" s="14">
        <v>2.4717899999998849</v>
      </c>
      <c r="R88" s="187">
        <v>2.3935599999999226</v>
      </c>
      <c r="W88" s="171"/>
    </row>
    <row r="89" spans="1:23" ht="14.25" x14ac:dyDescent="0.2">
      <c r="A89" s="37"/>
      <c r="B89" s="39"/>
      <c r="C89" s="39"/>
      <c r="D89" s="13"/>
      <c r="E89" s="46"/>
      <c r="F89" s="46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87"/>
      <c r="W89" s="171"/>
    </row>
    <row r="90" spans="1:23" ht="14.25" x14ac:dyDescent="0.2">
      <c r="A90" s="37"/>
      <c r="B90" s="39" t="s">
        <v>175</v>
      </c>
      <c r="C90" s="39" t="s">
        <v>173</v>
      </c>
      <c r="D90" s="13">
        <v>4.3926114310893841E-2</v>
      </c>
      <c r="E90" s="46">
        <v>0.85298531332940752</v>
      </c>
      <c r="F90" s="46" t="s">
        <v>183</v>
      </c>
      <c r="G90" s="14">
        <v>312.2</v>
      </c>
      <c r="H90" s="14">
        <v>310.60000000000002</v>
      </c>
      <c r="I90" s="14">
        <v>312.2</v>
      </c>
      <c r="J90" s="14">
        <v>310.60000000000002</v>
      </c>
      <c r="K90" s="14">
        <v>309.93877500000008</v>
      </c>
      <c r="L90" s="14">
        <v>309.49021500000009</v>
      </c>
      <c r="M90" s="14">
        <v>309.75677500000006</v>
      </c>
      <c r="N90" s="14">
        <v>309.30821500000008</v>
      </c>
      <c r="O90" s="14">
        <v>2.2612249999999108</v>
      </c>
      <c r="P90" s="14">
        <v>1.1097849999999312</v>
      </c>
      <c r="Q90" s="14">
        <v>2.4432249999999271</v>
      </c>
      <c r="R90" s="187">
        <v>1.2917849999999476</v>
      </c>
      <c r="W90" s="171"/>
    </row>
    <row r="91" spans="1:23" ht="14.25" x14ac:dyDescent="0.2">
      <c r="A91" s="37"/>
      <c r="B91" s="39"/>
      <c r="C91" s="39"/>
      <c r="D91" s="13"/>
      <c r="E91" s="46"/>
      <c r="F91" s="46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87"/>
      <c r="W91" s="171"/>
    </row>
    <row r="92" spans="1:23" ht="14.25" x14ac:dyDescent="0.2">
      <c r="A92" s="37">
        <v>1</v>
      </c>
      <c r="B92" s="39" t="s">
        <v>176</v>
      </c>
      <c r="C92" s="39" t="s">
        <v>177</v>
      </c>
      <c r="D92" s="13">
        <v>1.6364932893429007E-2</v>
      </c>
      <c r="E92" s="46">
        <v>1.4352772382769585</v>
      </c>
      <c r="F92" s="46" t="s">
        <v>193</v>
      </c>
      <c r="G92" s="14">
        <v>312.8</v>
      </c>
      <c r="H92" s="14">
        <v>310.60000000000002</v>
      </c>
      <c r="I92" s="14">
        <v>312.8</v>
      </c>
      <c r="J92" s="14">
        <v>311.40000000000003</v>
      </c>
      <c r="K92" s="14">
        <v>311.60000000000002</v>
      </c>
      <c r="L92" s="14">
        <v>310.45640000000003</v>
      </c>
      <c r="M92" s="14">
        <v>311.41800000000001</v>
      </c>
      <c r="N92" s="14">
        <v>310.27440000000001</v>
      </c>
      <c r="O92" s="14">
        <v>1.1999999999999886</v>
      </c>
      <c r="P92" s="14">
        <v>0.94360000000000355</v>
      </c>
      <c r="Q92" s="14">
        <v>1.382000000000005</v>
      </c>
      <c r="R92" s="187">
        <v>1.1256000000000199</v>
      </c>
      <c r="W92" s="171"/>
    </row>
    <row r="93" spans="1:23" ht="14.25" x14ac:dyDescent="0.2">
      <c r="A93" s="37"/>
      <c r="B93" s="39" t="s">
        <v>177</v>
      </c>
      <c r="C93" s="39" t="s">
        <v>178</v>
      </c>
      <c r="D93" s="13">
        <v>1.6364932893429007E-2</v>
      </c>
      <c r="E93" s="46">
        <v>1.4352772382769585</v>
      </c>
      <c r="F93" s="46" t="s">
        <v>193</v>
      </c>
      <c r="G93" s="14">
        <v>310.60000000000002</v>
      </c>
      <c r="H93" s="14">
        <v>310.60000000000002</v>
      </c>
      <c r="I93" s="14">
        <v>311.40000000000003</v>
      </c>
      <c r="J93" s="14">
        <v>311.10000000000002</v>
      </c>
      <c r="K93" s="14">
        <v>310.43640000000005</v>
      </c>
      <c r="L93" s="14">
        <v>310.00644000000005</v>
      </c>
      <c r="M93" s="14">
        <v>310.25440000000003</v>
      </c>
      <c r="N93" s="14">
        <v>309.82444000000004</v>
      </c>
      <c r="O93" s="14">
        <v>0.96359999999998536</v>
      </c>
      <c r="P93" s="14">
        <v>1.0935599999999681</v>
      </c>
      <c r="Q93" s="14">
        <v>1.1456000000000017</v>
      </c>
      <c r="R93" s="187">
        <v>1.2755599999999845</v>
      </c>
      <c r="W93" s="171"/>
    </row>
    <row r="94" spans="1:23" ht="14.25" x14ac:dyDescent="0.2">
      <c r="A94" s="37"/>
      <c r="B94" s="39"/>
      <c r="C94" s="39"/>
      <c r="D94" s="13"/>
      <c r="E94" s="46"/>
      <c r="F94" s="46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87"/>
      <c r="W94" s="171"/>
    </row>
    <row r="95" spans="1:23" ht="14.25" x14ac:dyDescent="0.2">
      <c r="A95" s="37"/>
      <c r="B95" s="39" t="s">
        <v>180</v>
      </c>
      <c r="C95" s="39" t="s">
        <v>178</v>
      </c>
      <c r="D95" s="13">
        <v>3.0595657767969246E-2</v>
      </c>
      <c r="E95" s="46">
        <v>0.86621272946830608</v>
      </c>
      <c r="F95" s="46" t="s">
        <v>183</v>
      </c>
      <c r="G95" s="14">
        <v>312.39999999999998</v>
      </c>
      <c r="H95" s="14">
        <v>310.60000000000002</v>
      </c>
      <c r="I95" s="14">
        <v>312.39999999999998</v>
      </c>
      <c r="J95" s="14">
        <v>311.10000000000002</v>
      </c>
      <c r="K95" s="14">
        <v>310.12305000000003</v>
      </c>
      <c r="L95" s="14">
        <v>309.67755000000005</v>
      </c>
      <c r="M95" s="14">
        <v>309.94105000000002</v>
      </c>
      <c r="N95" s="14">
        <v>309.49555000000004</v>
      </c>
      <c r="O95" s="14">
        <v>2.2769499999999425</v>
      </c>
      <c r="P95" s="14">
        <v>1.4224499999999694</v>
      </c>
      <c r="Q95" s="14">
        <v>2.4589499999999589</v>
      </c>
      <c r="R95" s="187">
        <v>1.6044499999999857</v>
      </c>
      <c r="W95" s="171"/>
    </row>
    <row r="96" spans="1:23" ht="14.25" x14ac:dyDescent="0.2">
      <c r="A96" s="37"/>
      <c r="B96" s="39" t="s">
        <v>178</v>
      </c>
      <c r="C96" s="39" t="s">
        <v>173</v>
      </c>
      <c r="D96" s="13">
        <v>3.8182680019946721E-2</v>
      </c>
      <c r="E96" s="46">
        <v>0.85884417779572009</v>
      </c>
      <c r="F96" s="46" t="s">
        <v>183</v>
      </c>
      <c r="G96" s="14">
        <v>310.60000000000002</v>
      </c>
      <c r="H96" s="14">
        <v>310.60000000000002</v>
      </c>
      <c r="I96" s="14">
        <v>311.10000000000002</v>
      </c>
      <c r="J96" s="14">
        <v>310.60000000000002</v>
      </c>
      <c r="K96" s="14">
        <v>309.65755000000007</v>
      </c>
      <c r="L96" s="14">
        <v>309.46990000000005</v>
      </c>
      <c r="M96" s="14">
        <v>309.47555000000006</v>
      </c>
      <c r="N96" s="14">
        <v>309.28790000000004</v>
      </c>
      <c r="O96" s="14">
        <v>1.4424499999999512</v>
      </c>
      <c r="P96" s="14">
        <v>1.1300999999999704</v>
      </c>
      <c r="Q96" s="14">
        <v>1.6244499999999675</v>
      </c>
      <c r="R96" s="187">
        <v>1.3120999999999867</v>
      </c>
      <c r="W96" s="171"/>
    </row>
    <row r="97" spans="1:23" ht="14.25" x14ac:dyDescent="0.2">
      <c r="A97" s="37"/>
      <c r="B97" s="39" t="s">
        <v>173</v>
      </c>
      <c r="C97" s="39" t="s">
        <v>185</v>
      </c>
      <c r="D97" s="13">
        <v>0.12185288135880895</v>
      </c>
      <c r="E97" s="46">
        <v>0.65285002895310018</v>
      </c>
      <c r="F97" s="46" t="s">
        <v>183</v>
      </c>
      <c r="G97" s="14">
        <v>310.60000000000002</v>
      </c>
      <c r="H97" s="14">
        <v>312.89999999999998</v>
      </c>
      <c r="I97" s="14">
        <v>310.60000000000002</v>
      </c>
      <c r="J97" s="14">
        <v>312.89999999999998</v>
      </c>
      <c r="K97" s="14">
        <v>308.47044000000011</v>
      </c>
      <c r="L97" s="14">
        <v>308.37801500000012</v>
      </c>
      <c r="M97" s="14">
        <v>308.18644000000012</v>
      </c>
      <c r="N97" s="14">
        <v>308.09401500000013</v>
      </c>
      <c r="O97" s="14">
        <v>2.1295599999999126</v>
      </c>
      <c r="P97" s="14">
        <v>4.5219849999998587</v>
      </c>
      <c r="Q97" s="14">
        <v>2.4135599999999044</v>
      </c>
      <c r="R97" s="187">
        <v>4.8059849999998505</v>
      </c>
      <c r="W97" s="171"/>
    </row>
    <row r="98" spans="1:23" ht="14.25" x14ac:dyDescent="0.2">
      <c r="A98" s="37"/>
      <c r="B98" s="39" t="s">
        <v>185</v>
      </c>
      <c r="C98" s="39" t="s">
        <v>186</v>
      </c>
      <c r="D98" s="13">
        <v>0.12253174542198118</v>
      </c>
      <c r="E98" s="46">
        <v>0.65240478023213744</v>
      </c>
      <c r="F98" s="46" t="s">
        <v>183</v>
      </c>
      <c r="G98" s="14">
        <v>312.89999999999998</v>
      </c>
      <c r="H98" s="14">
        <v>311.41000000000003</v>
      </c>
      <c r="I98" s="14">
        <v>312.89999999999998</v>
      </c>
      <c r="J98" s="14">
        <v>311.41000000000003</v>
      </c>
      <c r="K98" s="14">
        <v>308.35801500000014</v>
      </c>
      <c r="L98" s="14">
        <v>308.09284000000014</v>
      </c>
      <c r="M98" s="14">
        <v>308.07401500000014</v>
      </c>
      <c r="N98" s="14">
        <v>307.80884000000015</v>
      </c>
      <c r="O98" s="14">
        <v>4.5419849999998405</v>
      </c>
      <c r="P98" s="14">
        <v>3.3171599999998875</v>
      </c>
      <c r="Q98" s="14">
        <v>4.8259849999998323</v>
      </c>
      <c r="R98" s="187">
        <v>3.6011599999998793</v>
      </c>
      <c r="W98" s="171"/>
    </row>
    <row r="99" spans="1:23" ht="14.25" x14ac:dyDescent="0.2">
      <c r="A99" s="37"/>
      <c r="B99" s="39" t="s">
        <v>186</v>
      </c>
      <c r="C99" s="39" t="s">
        <v>187</v>
      </c>
      <c r="D99" s="13">
        <v>0.12321041820579609</v>
      </c>
      <c r="E99" s="46">
        <v>0.65195879400632895</v>
      </c>
      <c r="F99" s="46" t="s">
        <v>183</v>
      </c>
      <c r="G99" s="14">
        <v>311.41000000000003</v>
      </c>
      <c r="H99" s="14">
        <v>310.52999999999997</v>
      </c>
      <c r="I99" s="14">
        <v>311.41000000000003</v>
      </c>
      <c r="J99" s="14">
        <v>310.52999999999997</v>
      </c>
      <c r="K99" s="14">
        <v>308.07284000000016</v>
      </c>
      <c r="L99" s="14">
        <v>307.82284000000016</v>
      </c>
      <c r="M99" s="14">
        <v>307.78884000000016</v>
      </c>
      <c r="N99" s="14">
        <v>307.53884000000016</v>
      </c>
      <c r="O99" s="14">
        <v>3.3371599999998693</v>
      </c>
      <c r="P99" s="14">
        <v>2.707159999999817</v>
      </c>
      <c r="Q99" s="14">
        <v>3.6211599999998612</v>
      </c>
      <c r="R99" s="187">
        <v>2.9911599999998089</v>
      </c>
      <c r="W99" s="171"/>
    </row>
    <row r="100" spans="1:23" ht="14.25" x14ac:dyDescent="0.2">
      <c r="A100" s="37"/>
      <c r="B100" s="39" t="s">
        <v>187</v>
      </c>
      <c r="C100" s="39" t="s">
        <v>188</v>
      </c>
      <c r="D100" s="13">
        <v>0.12388893574693992</v>
      </c>
      <c r="E100" s="46">
        <v>0.65151205352076424</v>
      </c>
      <c r="F100" s="46" t="s">
        <v>183</v>
      </c>
      <c r="G100" s="14">
        <v>310.52999999999997</v>
      </c>
      <c r="H100" s="14">
        <v>311.02</v>
      </c>
      <c r="I100" s="14">
        <v>310.52999999999997</v>
      </c>
      <c r="J100" s="14">
        <v>311.02</v>
      </c>
      <c r="K100" s="14">
        <v>307.80284000000017</v>
      </c>
      <c r="L100" s="14">
        <v>307.58654000000018</v>
      </c>
      <c r="M100" s="14">
        <v>307.51884000000018</v>
      </c>
      <c r="N100" s="14">
        <v>307.30254000000019</v>
      </c>
      <c r="O100" s="14">
        <v>2.7271599999997989</v>
      </c>
      <c r="P100" s="14">
        <v>3.4334599999997977</v>
      </c>
      <c r="Q100" s="14">
        <v>3.0111599999997907</v>
      </c>
      <c r="R100" s="187">
        <v>3.7174599999997895</v>
      </c>
      <c r="W100" s="171"/>
    </row>
    <row r="101" spans="1:23" ht="14.25" x14ac:dyDescent="0.2">
      <c r="A101" s="37"/>
      <c r="B101" s="39" t="s">
        <v>188</v>
      </c>
      <c r="C101" s="39" t="s">
        <v>189</v>
      </c>
      <c r="D101" s="13">
        <v>0.12456733375375224</v>
      </c>
      <c r="E101" s="46">
        <v>0.65106454211452036</v>
      </c>
      <c r="F101" s="46" t="s">
        <v>183</v>
      </c>
      <c r="G101" s="14">
        <v>311.02</v>
      </c>
      <c r="H101" s="14">
        <v>312.52</v>
      </c>
      <c r="I101" s="14">
        <v>311.02</v>
      </c>
      <c r="J101" s="14">
        <v>312.52</v>
      </c>
      <c r="K101" s="14">
        <v>307.5665400000002</v>
      </c>
      <c r="L101" s="14">
        <v>307.27521500000023</v>
      </c>
      <c r="M101" s="14">
        <v>307.28254000000021</v>
      </c>
      <c r="N101" s="14">
        <v>306.99121500000024</v>
      </c>
      <c r="O101" s="14">
        <v>3.4534599999997795</v>
      </c>
      <c r="P101" s="14">
        <v>5.2447849999997516</v>
      </c>
      <c r="Q101" s="14">
        <v>3.7374599999997713</v>
      </c>
      <c r="R101" s="187">
        <v>5.5287849999997434</v>
      </c>
      <c r="W101" s="171"/>
    </row>
    <row r="102" spans="1:23" ht="14.25" x14ac:dyDescent="0.2">
      <c r="A102" s="37"/>
      <c r="B102" s="39" t="s">
        <v>189</v>
      </c>
      <c r="C102" s="39" t="s">
        <v>190</v>
      </c>
      <c r="D102" s="13">
        <v>0.12524564762289364</v>
      </c>
      <c r="E102" s="46">
        <v>0.65061624321432276</v>
      </c>
      <c r="F102" s="46" t="s">
        <v>183</v>
      </c>
      <c r="G102" s="14">
        <v>312.52</v>
      </c>
      <c r="H102" s="14">
        <v>311.13</v>
      </c>
      <c r="I102" s="14">
        <v>312.52</v>
      </c>
      <c r="J102" s="14">
        <v>311.13</v>
      </c>
      <c r="K102" s="14">
        <v>307.25521500000025</v>
      </c>
      <c r="L102" s="14">
        <v>307.00636500000024</v>
      </c>
      <c r="M102" s="14">
        <v>306.97121500000026</v>
      </c>
      <c r="N102" s="14">
        <v>306.72236500000025</v>
      </c>
      <c r="O102" s="14">
        <v>5.2647849999997334</v>
      </c>
      <c r="P102" s="14">
        <v>4.1236349999997515</v>
      </c>
      <c r="Q102" s="14">
        <v>5.5487849999997252</v>
      </c>
      <c r="R102" s="187">
        <v>4.4076349999997433</v>
      </c>
      <c r="W102" s="171"/>
    </row>
    <row r="103" spans="1:23" ht="14.25" x14ac:dyDescent="0.2">
      <c r="A103" s="37"/>
      <c r="B103" s="39" t="s">
        <v>190</v>
      </c>
      <c r="C103" s="39" t="s">
        <v>191</v>
      </c>
      <c r="D103" s="13">
        <v>0.12592391245552564</v>
      </c>
      <c r="E103" s="46">
        <v>0.65016714032838652</v>
      </c>
      <c r="F103" s="46" t="s">
        <v>183</v>
      </c>
      <c r="G103" s="14">
        <v>311.13</v>
      </c>
      <c r="H103" s="14">
        <v>314.2</v>
      </c>
      <c r="I103" s="14">
        <v>311.13</v>
      </c>
      <c r="J103" s="14">
        <v>314.2</v>
      </c>
      <c r="K103" s="14">
        <v>306.98636500000026</v>
      </c>
      <c r="L103" s="14">
        <v>306.73751500000026</v>
      </c>
      <c r="M103" s="14">
        <v>306.70236500000027</v>
      </c>
      <c r="N103" s="14">
        <v>306.45351500000027</v>
      </c>
      <c r="O103" s="14">
        <v>4.1436349999997333</v>
      </c>
      <c r="P103" s="14">
        <v>7.4624849999997309</v>
      </c>
      <c r="Q103" s="14">
        <v>4.4276349999997251</v>
      </c>
      <c r="R103" s="187">
        <v>7.7464849999997227</v>
      </c>
      <c r="W103" s="171"/>
    </row>
    <row r="104" spans="1:23" ht="15" thickBot="1" x14ac:dyDescent="0.25">
      <c r="A104" s="153"/>
      <c r="B104" s="154" t="s">
        <v>191</v>
      </c>
      <c r="C104" s="154" t="s">
        <v>192</v>
      </c>
      <c r="D104" s="54">
        <v>0.12660216307302968</v>
      </c>
      <c r="E104" s="53">
        <v>0.64971721704042751</v>
      </c>
      <c r="F104" s="53" t="s">
        <v>183</v>
      </c>
      <c r="G104" s="49">
        <v>314.2</v>
      </c>
      <c r="H104" s="49">
        <v>314.16000000000003</v>
      </c>
      <c r="I104" s="49">
        <v>314.2</v>
      </c>
      <c r="J104" s="49">
        <v>314.16000000000003</v>
      </c>
      <c r="K104" s="49">
        <v>306.71751500000028</v>
      </c>
      <c r="L104" s="49">
        <v>306.6551400000003</v>
      </c>
      <c r="M104" s="49">
        <v>306.43351500000028</v>
      </c>
      <c r="N104" s="49">
        <v>306.37114000000031</v>
      </c>
      <c r="O104" s="49">
        <v>7.4824849999997127</v>
      </c>
      <c r="P104" s="49">
        <v>7.5048599999997236</v>
      </c>
      <c r="Q104" s="49">
        <v>7.7664849999997045</v>
      </c>
      <c r="R104" s="188">
        <v>7.7888599999997155</v>
      </c>
      <c r="W104" s="171"/>
    </row>
    <row r="105" spans="1:23" s="61" customFormat="1" ht="14.25" x14ac:dyDescent="0.2">
      <c r="A105" s="58"/>
      <c r="B105" s="72"/>
      <c r="C105" s="72"/>
      <c r="D105" s="161"/>
      <c r="E105" s="171"/>
      <c r="F105" s="171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W105" s="171"/>
    </row>
  </sheetData>
  <mergeCells count="34">
    <mergeCell ref="F3:G3"/>
    <mergeCell ref="H3:M3"/>
    <mergeCell ref="H4:M4"/>
    <mergeCell ref="H5:M5"/>
    <mergeCell ref="A2:R2"/>
    <mergeCell ref="A47:A48"/>
    <mergeCell ref="B47:C47"/>
    <mergeCell ref="B8:D8"/>
    <mergeCell ref="R15:R16"/>
    <mergeCell ref="D47:D48"/>
    <mergeCell ref="G47:H47"/>
    <mergeCell ref="I47:I48"/>
    <mergeCell ref="A15:A16"/>
    <mergeCell ref="B15:C15"/>
    <mergeCell ref="D15:F15"/>
    <mergeCell ref="H8:J8"/>
    <mergeCell ref="B9:D9"/>
    <mergeCell ref="H9:J9"/>
    <mergeCell ref="A76:A77"/>
    <mergeCell ref="B76:C76"/>
    <mergeCell ref="H11:J11"/>
    <mergeCell ref="B12:D12"/>
    <mergeCell ref="H12:J12"/>
    <mergeCell ref="B11:D11"/>
    <mergeCell ref="E76:E77"/>
    <mergeCell ref="G76:H76"/>
    <mergeCell ref="Q76:R76"/>
    <mergeCell ref="I76:J76"/>
    <mergeCell ref="O76:P76"/>
    <mergeCell ref="B10:D10"/>
    <mergeCell ref="H10:J10"/>
    <mergeCell ref="M76:N76"/>
    <mergeCell ref="N10:P10"/>
    <mergeCell ref="K76:L76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rowBreaks count="2" manualBreakCount="2">
    <brk id="45" max="17" man="1"/>
    <brk id="74" max="17" man="1"/>
  </rowBreaks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3" zoomScale="150" zoomScaleNormal="150" workbookViewId="0">
      <selection activeCell="G13" sqref="G13"/>
    </sheetView>
  </sheetViews>
  <sheetFormatPr baseColWidth="10" defaultRowHeight="12.75" x14ac:dyDescent="0.2"/>
  <cols>
    <col min="1" max="1" width="11.42578125" customWidth="1"/>
    <col min="2" max="3" width="10" customWidth="1"/>
  </cols>
  <sheetData>
    <row r="1" spans="1:3" s="1" customFormat="1" x14ac:dyDescent="0.2">
      <c r="A1" s="254" t="s">
        <v>135</v>
      </c>
      <c r="B1" s="255" t="s">
        <v>136</v>
      </c>
      <c r="C1" s="255"/>
    </row>
    <row r="2" spans="1:3" ht="25.5" x14ac:dyDescent="0.2">
      <c r="A2" s="254"/>
      <c r="B2" s="2" t="s">
        <v>137</v>
      </c>
      <c r="C2" s="2" t="s">
        <v>138</v>
      </c>
    </row>
    <row r="3" spans="1:3" x14ac:dyDescent="0.2">
      <c r="A3" s="3">
        <v>4</v>
      </c>
      <c r="B3" s="4">
        <f>A3*0.0254</f>
        <v>0.1016</v>
      </c>
      <c r="C3" s="5">
        <v>9.9000000000000005E-2</v>
      </c>
    </row>
    <row r="4" spans="1:3" x14ac:dyDescent="0.2">
      <c r="A4" s="3">
        <v>6</v>
      </c>
      <c r="B4" s="4">
        <f t="shared" ref="B4:B14" si="0">A4*0.0254</f>
        <v>0.15239999999999998</v>
      </c>
      <c r="C4" s="5">
        <v>0.14499999999999999</v>
      </c>
    </row>
    <row r="5" spans="1:3" x14ac:dyDescent="0.2">
      <c r="A5" s="3">
        <v>8</v>
      </c>
      <c r="B5" s="4">
        <f t="shared" si="0"/>
        <v>0.20319999999999999</v>
      </c>
      <c r="C5" s="5">
        <v>0.182</v>
      </c>
    </row>
    <row r="6" spans="1:3" x14ac:dyDescent="0.2">
      <c r="A6" s="3">
        <v>10</v>
      </c>
      <c r="B6" s="4">
        <f t="shared" si="0"/>
        <v>0.254</v>
      </c>
      <c r="C6" s="5">
        <v>0.22700000000000001</v>
      </c>
    </row>
    <row r="7" spans="1:3" x14ac:dyDescent="0.2">
      <c r="A7" s="3">
        <v>12</v>
      </c>
      <c r="B7" s="4">
        <f t="shared" si="0"/>
        <v>0.30479999999999996</v>
      </c>
      <c r="C7" s="5">
        <v>0.28399999999999997</v>
      </c>
    </row>
    <row r="8" spans="1:3" x14ac:dyDescent="0.2">
      <c r="A8" s="3">
        <v>14</v>
      </c>
      <c r="B8" s="4">
        <f t="shared" si="0"/>
        <v>0.35559999999999997</v>
      </c>
      <c r="C8" s="5">
        <v>0.32700000000000001</v>
      </c>
    </row>
    <row r="9" spans="1:3" x14ac:dyDescent="0.2">
      <c r="A9" s="3">
        <v>16</v>
      </c>
      <c r="B9" s="4">
        <f t="shared" si="0"/>
        <v>0.40639999999999998</v>
      </c>
      <c r="C9" s="5">
        <v>0.36199999999999999</v>
      </c>
    </row>
    <row r="10" spans="1:3" x14ac:dyDescent="0.2">
      <c r="A10" s="3">
        <v>18</v>
      </c>
      <c r="B10" s="4">
        <f t="shared" si="0"/>
        <v>0.4572</v>
      </c>
      <c r="C10" s="5">
        <v>0.40699999999999997</v>
      </c>
    </row>
    <row r="11" spans="1:3" x14ac:dyDescent="0.2">
      <c r="A11" s="3">
        <v>20</v>
      </c>
      <c r="B11" s="4">
        <f t="shared" si="0"/>
        <v>0.50800000000000001</v>
      </c>
      <c r="C11" s="5">
        <v>0.45200000000000001</v>
      </c>
    </row>
    <row r="12" spans="1:3" x14ac:dyDescent="0.2">
      <c r="A12" s="3">
        <v>24</v>
      </c>
      <c r="B12" s="4">
        <f t="shared" si="0"/>
        <v>0.60959999999999992</v>
      </c>
      <c r="C12" s="5">
        <v>0.59499999999999997</v>
      </c>
    </row>
    <row r="13" spans="1:3" x14ac:dyDescent="0.2">
      <c r="A13" s="3">
        <v>27</v>
      </c>
      <c r="B13" s="4">
        <f t="shared" si="0"/>
        <v>0.68579999999999997</v>
      </c>
      <c r="C13" s="5">
        <v>0.67</v>
      </c>
    </row>
    <row r="14" spans="1:3" x14ac:dyDescent="0.2">
      <c r="A14" s="3">
        <v>30</v>
      </c>
      <c r="B14" s="4">
        <f t="shared" si="0"/>
        <v>0.76200000000000001</v>
      </c>
      <c r="C14" s="5">
        <v>0.747</v>
      </c>
    </row>
    <row r="15" spans="1:3" x14ac:dyDescent="0.2">
      <c r="A15" s="3">
        <v>33</v>
      </c>
      <c r="B15" s="6" t="s">
        <v>139</v>
      </c>
      <c r="C15" s="5">
        <v>0.82299999999999995</v>
      </c>
    </row>
    <row r="16" spans="1:3" x14ac:dyDescent="0.2">
      <c r="A16" s="3">
        <v>36</v>
      </c>
      <c r="B16" s="4">
        <f t="shared" ref="B16:B51" si="1">A16*0.025</f>
        <v>0.9</v>
      </c>
      <c r="C16" s="5">
        <v>0.89900000000000002</v>
      </c>
    </row>
    <row r="17" spans="1:3" x14ac:dyDescent="0.2">
      <c r="A17" s="3">
        <v>39</v>
      </c>
      <c r="B17" s="6" t="s">
        <v>139</v>
      </c>
      <c r="C17" s="5">
        <v>0.97499999999999998</v>
      </c>
    </row>
    <row r="18" spans="1:3" x14ac:dyDescent="0.2">
      <c r="A18" s="3">
        <v>40</v>
      </c>
      <c r="B18" s="4">
        <f t="shared" si="1"/>
        <v>1</v>
      </c>
      <c r="C18" s="6" t="s">
        <v>139</v>
      </c>
    </row>
    <row r="19" spans="1:3" x14ac:dyDescent="0.2">
      <c r="A19" s="3">
        <v>42</v>
      </c>
      <c r="B19" s="6" t="s">
        <v>139</v>
      </c>
      <c r="C19" s="5">
        <v>1.0509999999999999</v>
      </c>
    </row>
    <row r="20" spans="1:3" x14ac:dyDescent="0.2">
      <c r="A20" s="3">
        <v>44</v>
      </c>
      <c r="B20" s="4">
        <f t="shared" si="1"/>
        <v>1.1000000000000001</v>
      </c>
      <c r="C20" s="6" t="s">
        <v>139</v>
      </c>
    </row>
    <row r="21" spans="1:3" x14ac:dyDescent="0.2">
      <c r="A21" s="3">
        <v>45</v>
      </c>
      <c r="B21" s="6" t="s">
        <v>139</v>
      </c>
      <c r="C21" s="5">
        <v>1.127</v>
      </c>
    </row>
    <row r="22" spans="1:3" x14ac:dyDescent="0.2">
      <c r="A22" s="3">
        <v>48</v>
      </c>
      <c r="B22" s="4">
        <f t="shared" si="1"/>
        <v>1.2000000000000002</v>
      </c>
      <c r="C22" s="5">
        <v>1.202</v>
      </c>
    </row>
    <row r="23" spans="1:3" x14ac:dyDescent="0.2">
      <c r="A23" s="3">
        <v>52</v>
      </c>
      <c r="B23" s="4">
        <f t="shared" si="1"/>
        <v>1.3</v>
      </c>
      <c r="C23" s="6" t="s">
        <v>139</v>
      </c>
    </row>
    <row r="24" spans="1:3" x14ac:dyDescent="0.2">
      <c r="A24" s="3">
        <v>54</v>
      </c>
      <c r="B24" s="6" t="s">
        <v>139</v>
      </c>
      <c r="C24" s="5">
        <v>1.355</v>
      </c>
    </row>
    <row r="25" spans="1:3" x14ac:dyDescent="0.2">
      <c r="A25" s="3">
        <v>56</v>
      </c>
      <c r="B25" s="4">
        <f t="shared" si="1"/>
        <v>1.4000000000000001</v>
      </c>
      <c r="C25" s="6" t="s">
        <v>139</v>
      </c>
    </row>
    <row r="26" spans="1:3" x14ac:dyDescent="0.2">
      <c r="A26" s="3">
        <v>60</v>
      </c>
      <c r="B26" s="4">
        <f t="shared" si="1"/>
        <v>1.5</v>
      </c>
      <c r="C26" s="5">
        <v>1.5069999999999999</v>
      </c>
    </row>
    <row r="27" spans="1:3" x14ac:dyDescent="0.2">
      <c r="A27" s="3">
        <v>64</v>
      </c>
      <c r="B27" s="4">
        <f t="shared" si="1"/>
        <v>1.6</v>
      </c>
      <c r="C27" s="6" t="s">
        <v>139</v>
      </c>
    </row>
    <row r="28" spans="1:3" x14ac:dyDescent="0.2">
      <c r="A28" s="3">
        <v>68</v>
      </c>
      <c r="B28" s="4">
        <f t="shared" si="1"/>
        <v>1.7000000000000002</v>
      </c>
      <c r="C28" s="6" t="s">
        <v>139</v>
      </c>
    </row>
    <row r="29" spans="1:3" x14ac:dyDescent="0.2">
      <c r="A29" s="3">
        <v>72</v>
      </c>
      <c r="B29" s="4">
        <f t="shared" si="1"/>
        <v>1.8</v>
      </c>
      <c r="C29" s="6" t="s">
        <v>139</v>
      </c>
    </row>
    <row r="30" spans="1:3" x14ac:dyDescent="0.2">
      <c r="A30" s="3">
        <v>80</v>
      </c>
      <c r="B30" s="4">
        <f t="shared" si="1"/>
        <v>2</v>
      </c>
      <c r="C30" s="6" t="s">
        <v>139</v>
      </c>
    </row>
    <row r="31" spans="1:3" x14ac:dyDescent="0.2">
      <c r="A31" s="3">
        <v>86</v>
      </c>
      <c r="B31" s="4">
        <f t="shared" si="1"/>
        <v>2.15</v>
      </c>
      <c r="C31" s="6" t="s">
        <v>139</v>
      </c>
    </row>
    <row r="32" spans="1:3" x14ac:dyDescent="0.2">
      <c r="A32" s="3">
        <v>92</v>
      </c>
      <c r="B32" s="4">
        <f t="shared" si="1"/>
        <v>2.3000000000000003</v>
      </c>
      <c r="C32" s="6" t="s">
        <v>139</v>
      </c>
    </row>
    <row r="33" spans="1:3" x14ac:dyDescent="0.2">
      <c r="A33" s="3">
        <v>98</v>
      </c>
      <c r="B33" s="4">
        <f t="shared" si="1"/>
        <v>2.4500000000000002</v>
      </c>
      <c r="C33" s="6" t="s">
        <v>139</v>
      </c>
    </row>
    <row r="34" spans="1:3" x14ac:dyDescent="0.2">
      <c r="A34" s="3">
        <v>110</v>
      </c>
      <c r="B34" s="4">
        <f t="shared" si="1"/>
        <v>2.75</v>
      </c>
      <c r="C34" s="6" t="s">
        <v>139</v>
      </c>
    </row>
    <row r="35" spans="1:3" x14ac:dyDescent="0.2">
      <c r="A35" s="3">
        <v>70</v>
      </c>
      <c r="B35" s="4">
        <f t="shared" si="1"/>
        <v>1.75</v>
      </c>
      <c r="C35" s="4">
        <f t="shared" ref="C35:C51" si="2">A35*0.025</f>
        <v>1.75</v>
      </c>
    </row>
    <row r="36" spans="1:3" x14ac:dyDescent="0.2">
      <c r="A36" s="3">
        <v>72</v>
      </c>
      <c r="B36" s="4">
        <f t="shared" si="1"/>
        <v>1.8</v>
      </c>
      <c r="C36" s="4">
        <f t="shared" si="2"/>
        <v>1.8</v>
      </c>
    </row>
    <row r="37" spans="1:3" x14ac:dyDescent="0.2">
      <c r="A37" s="3">
        <v>74</v>
      </c>
      <c r="B37" s="4">
        <f t="shared" si="1"/>
        <v>1.85</v>
      </c>
      <c r="C37" s="4">
        <f t="shared" si="2"/>
        <v>1.85</v>
      </c>
    </row>
    <row r="38" spans="1:3" x14ac:dyDescent="0.2">
      <c r="A38" s="3">
        <v>76</v>
      </c>
      <c r="B38" s="4">
        <f t="shared" si="1"/>
        <v>1.9000000000000001</v>
      </c>
      <c r="C38" s="4">
        <f t="shared" si="2"/>
        <v>1.9000000000000001</v>
      </c>
    </row>
    <row r="39" spans="1:3" x14ac:dyDescent="0.2">
      <c r="A39" s="3">
        <v>78</v>
      </c>
      <c r="B39" s="4">
        <f t="shared" si="1"/>
        <v>1.9500000000000002</v>
      </c>
      <c r="C39" s="4">
        <f t="shared" si="2"/>
        <v>1.9500000000000002</v>
      </c>
    </row>
    <row r="40" spans="1:3" x14ac:dyDescent="0.2">
      <c r="A40" s="3">
        <v>80</v>
      </c>
      <c r="B40" s="4">
        <f t="shared" si="1"/>
        <v>2</v>
      </c>
      <c r="C40" s="4">
        <f t="shared" si="2"/>
        <v>2</v>
      </c>
    </row>
    <row r="41" spans="1:3" x14ac:dyDescent="0.2">
      <c r="A41" s="3">
        <v>82</v>
      </c>
      <c r="B41" s="4">
        <f t="shared" si="1"/>
        <v>2.0500000000000003</v>
      </c>
      <c r="C41" s="4">
        <f t="shared" si="2"/>
        <v>2.0500000000000003</v>
      </c>
    </row>
    <row r="42" spans="1:3" x14ac:dyDescent="0.2">
      <c r="A42" s="3">
        <v>84</v>
      </c>
      <c r="B42" s="4">
        <f t="shared" si="1"/>
        <v>2.1</v>
      </c>
      <c r="C42" s="4">
        <f t="shared" si="2"/>
        <v>2.1</v>
      </c>
    </row>
    <row r="43" spans="1:3" x14ac:dyDescent="0.2">
      <c r="A43" s="3">
        <v>86</v>
      </c>
      <c r="B43" s="4">
        <f t="shared" si="1"/>
        <v>2.15</v>
      </c>
      <c r="C43" s="4">
        <f t="shared" si="2"/>
        <v>2.15</v>
      </c>
    </row>
    <row r="44" spans="1:3" x14ac:dyDescent="0.2">
      <c r="A44" s="3">
        <v>88</v>
      </c>
      <c r="B44" s="4">
        <f t="shared" si="1"/>
        <v>2.2000000000000002</v>
      </c>
      <c r="C44" s="4">
        <f t="shared" si="2"/>
        <v>2.2000000000000002</v>
      </c>
    </row>
    <row r="45" spans="1:3" x14ac:dyDescent="0.2">
      <c r="A45" s="3">
        <v>90</v>
      </c>
      <c r="B45" s="4">
        <f t="shared" si="1"/>
        <v>2.25</v>
      </c>
      <c r="C45" s="4">
        <f t="shared" si="2"/>
        <v>2.25</v>
      </c>
    </row>
    <row r="46" spans="1:3" x14ac:dyDescent="0.2">
      <c r="A46" s="3">
        <v>92</v>
      </c>
      <c r="B46" s="4">
        <f t="shared" si="1"/>
        <v>2.3000000000000003</v>
      </c>
      <c r="C46" s="4">
        <f t="shared" si="2"/>
        <v>2.3000000000000003</v>
      </c>
    </row>
    <row r="47" spans="1:3" x14ac:dyDescent="0.2">
      <c r="A47" s="3">
        <v>94</v>
      </c>
      <c r="B47" s="4">
        <f t="shared" si="1"/>
        <v>2.35</v>
      </c>
      <c r="C47" s="4">
        <f t="shared" si="2"/>
        <v>2.35</v>
      </c>
    </row>
    <row r="48" spans="1:3" x14ac:dyDescent="0.2">
      <c r="A48" s="3">
        <v>96</v>
      </c>
      <c r="B48" s="4">
        <f t="shared" si="1"/>
        <v>2.4000000000000004</v>
      </c>
      <c r="C48" s="4">
        <f t="shared" si="2"/>
        <v>2.4000000000000004</v>
      </c>
    </row>
    <row r="49" spans="1:3" x14ac:dyDescent="0.2">
      <c r="A49" s="3">
        <v>98</v>
      </c>
      <c r="B49" s="4">
        <f t="shared" si="1"/>
        <v>2.4500000000000002</v>
      </c>
      <c r="C49" s="4">
        <f t="shared" si="2"/>
        <v>2.4500000000000002</v>
      </c>
    </row>
    <row r="50" spans="1:3" x14ac:dyDescent="0.2">
      <c r="A50" s="3">
        <v>100</v>
      </c>
      <c r="B50" s="4">
        <f t="shared" si="1"/>
        <v>2.5</v>
      </c>
      <c r="C50" s="4">
        <f t="shared" si="2"/>
        <v>2.5</v>
      </c>
    </row>
    <row r="51" spans="1:3" x14ac:dyDescent="0.2">
      <c r="A51" s="3">
        <v>102</v>
      </c>
      <c r="B51" s="4">
        <f t="shared" si="1"/>
        <v>2.5500000000000003</v>
      </c>
      <c r="C51" s="4">
        <f t="shared" si="2"/>
        <v>2.5500000000000003</v>
      </c>
    </row>
  </sheetData>
  <mergeCells count="2">
    <mergeCell ref="A1:A2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DiseñoOK</vt:lpstr>
      <vt:lpstr>Imprimir</vt:lpstr>
      <vt:lpstr>D internos</vt:lpstr>
      <vt:lpstr>DiseñoOK!Área_de_impresión</vt:lpstr>
      <vt:lpstr>Imprimir!Área_de_impresión</vt:lpstr>
      <vt:lpstr>Imprimir!Títulos_a_imprimir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Restrepo</dc:creator>
  <cp:lastModifiedBy>Lina Katheryn Parra Rodriguez</cp:lastModifiedBy>
  <cp:lastPrinted>2022-04-29T16:29:37Z</cp:lastPrinted>
  <dcterms:created xsi:type="dcterms:W3CDTF">2008-09-09T19:33:32Z</dcterms:created>
  <dcterms:modified xsi:type="dcterms:W3CDTF">2022-04-29T16:32:48Z</dcterms:modified>
</cp:coreProperties>
</file>