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gomez\OneDrive\BIBLIOTECA\2021\Proyectos de grado\ADFU\2020-2021\"/>
    </mc:Choice>
  </mc:AlternateContent>
  <bookViews>
    <workbookView xWindow="0" yWindow="0" windowWidth="28800" windowHeight="12000" firstSheet="1" activeTab="1"/>
  </bookViews>
  <sheets>
    <sheet name="COMPARATIVO" sheetId="3" state="hidden" r:id="rId1"/>
    <sheet name="INFORMACIÓN TASAS" sheetId="5" r:id="rId2"/>
    <sheet name="PROYECCIONES FINANCIERAS" sheetId="2" r:id="rId3"/>
    <sheet name="ANÁLISIS COMPARATIVO" sheetId="4" r:id="rId4"/>
    <sheet name="ANÁLISIS DE RIESGO ANUAL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F19" i="6" l="1"/>
  <c r="F36" i="6" s="1"/>
  <c r="F52" i="6" s="1"/>
  <c r="H17" i="6"/>
  <c r="F21" i="2"/>
  <c r="A25" i="2" l="1"/>
  <c r="A23" i="2"/>
  <c r="A22" i="2"/>
  <c r="A21" i="2"/>
  <c r="A19" i="2"/>
  <c r="M6" i="6" l="1"/>
  <c r="I8" i="2"/>
  <c r="M7" i="6" s="1"/>
  <c r="H7" i="6"/>
  <c r="O7" i="6" l="1"/>
  <c r="H8" i="6"/>
  <c r="H19" i="6" s="1"/>
  <c r="H36" i="6" s="1"/>
  <c r="H52" i="6" s="1"/>
  <c r="H9" i="6"/>
  <c r="H10" i="6"/>
  <c r="H11" i="6"/>
  <c r="H12" i="6"/>
  <c r="H13" i="6"/>
  <c r="H14" i="6"/>
  <c r="H15" i="6"/>
  <c r="H16" i="6"/>
  <c r="H28" i="6" l="1"/>
  <c r="H44" i="6" s="1"/>
  <c r="F28" i="6"/>
  <c r="F44" i="6" s="1"/>
  <c r="F25" i="6"/>
  <c r="F41" i="6" s="1"/>
  <c r="F35" i="6"/>
  <c r="F51" i="6" s="1"/>
  <c r="F31" i="6"/>
  <c r="F47" i="6" s="1"/>
  <c r="F27" i="6"/>
  <c r="F43" i="6" s="1"/>
  <c r="F34" i="6"/>
  <c r="F50" i="6" s="1"/>
  <c r="F30" i="6"/>
  <c r="F46" i="6" s="1"/>
  <c r="F26" i="6"/>
  <c r="F42" i="6" s="1"/>
  <c r="F33" i="6"/>
  <c r="F49" i="6" s="1"/>
  <c r="F29" i="6"/>
  <c r="F45" i="6" s="1"/>
  <c r="F32" i="6"/>
  <c r="F48" i="6" s="1"/>
  <c r="H30" i="6"/>
  <c r="H46" i="6" s="1"/>
  <c r="H32" i="6"/>
  <c r="H48" i="6" s="1"/>
  <c r="G7" i="2"/>
  <c r="H9" i="5"/>
  <c r="H6" i="5"/>
  <c r="F53" i="6" l="1"/>
  <c r="F54" i="6" s="1"/>
  <c r="H34" i="6"/>
  <c r="H50" i="6" s="1"/>
  <c r="H31" i="6"/>
  <c r="H47" i="6" s="1"/>
  <c r="F56" i="6"/>
  <c r="H26" i="6"/>
  <c r="H42" i="6" s="1"/>
  <c r="H29" i="6"/>
  <c r="H45" i="6" s="1"/>
  <c r="H35" i="6"/>
  <c r="H51" i="6" s="1"/>
  <c r="H33" i="6"/>
  <c r="H49" i="6" s="1"/>
  <c r="H27" i="6"/>
  <c r="H43" i="6" s="1"/>
  <c r="H53" i="6" l="1"/>
  <c r="H54" i="6" s="1"/>
  <c r="H56" i="6"/>
  <c r="F16" i="2" l="1"/>
  <c r="G9" i="3" l="1"/>
  <c r="G8" i="3"/>
  <c r="G7" i="3"/>
  <c r="G21" i="2"/>
  <c r="K8" i="2"/>
  <c r="I9" i="2"/>
  <c r="M9" i="2" s="1"/>
  <c r="Q9" i="2" s="1"/>
  <c r="U9" i="2" s="1"/>
  <c r="Y9" i="2" s="1"/>
  <c r="M8" i="2"/>
  <c r="M8" i="6" s="1"/>
  <c r="M6" i="2"/>
  <c r="Q6" i="2" s="1"/>
  <c r="U6" i="2" s="1"/>
  <c r="Y6" i="2" s="1"/>
  <c r="I6" i="2"/>
  <c r="I5" i="2"/>
  <c r="M5" i="2" s="1"/>
  <c r="Q5" i="2" s="1"/>
  <c r="U5" i="2" s="1"/>
  <c r="Y5" i="2" s="1"/>
  <c r="M4" i="2"/>
  <c r="Q4" i="2" s="1"/>
  <c r="U4" i="2" s="1"/>
  <c r="Y4" i="2" s="1"/>
  <c r="O8" i="6" l="1"/>
  <c r="G16" i="5"/>
  <c r="G17" i="5" s="1"/>
  <c r="I21" i="2"/>
  <c r="M21" i="2" s="1"/>
  <c r="Q21" i="2" s="1"/>
  <c r="U21" i="2" s="1"/>
  <c r="Y21" i="2" s="1"/>
  <c r="Q8" i="2"/>
  <c r="G22" i="2"/>
  <c r="K21" i="2"/>
  <c r="M9" i="6" l="1"/>
  <c r="U8" i="2"/>
  <c r="J21" i="2"/>
  <c r="M10" i="6" l="1"/>
  <c r="Y8" i="2"/>
  <c r="M11" i="6" s="1"/>
  <c r="O9" i="6"/>
  <c r="Q22" i="2"/>
  <c r="R21" i="2"/>
  <c r="R22" i="2" s="1"/>
  <c r="M22" i="2"/>
  <c r="N21" i="2"/>
  <c r="N22" i="2" s="1"/>
  <c r="O11" i="6" l="1"/>
  <c r="M30" i="6"/>
  <c r="M46" i="6" s="1"/>
  <c r="M13" i="6"/>
  <c r="O10" i="6"/>
  <c r="M29" i="6"/>
  <c r="M45" i="6" s="1"/>
  <c r="U22" i="2"/>
  <c r="V21" i="2"/>
  <c r="V22" i="2" s="1"/>
  <c r="O13" i="6" l="1"/>
  <c r="M27" i="6"/>
  <c r="M43" i="6" s="1"/>
  <c r="M26" i="6"/>
  <c r="M42" i="6" s="1"/>
  <c r="M25" i="6"/>
  <c r="M41" i="6" s="1"/>
  <c r="M28" i="6"/>
  <c r="M44" i="6" s="1"/>
  <c r="Z21" i="2"/>
  <c r="Z22" i="2" s="1"/>
  <c r="Y22" i="2"/>
  <c r="O26" i="6" l="1"/>
  <c r="O42" i="6" s="1"/>
  <c r="O27" i="6"/>
  <c r="O43" i="6" s="1"/>
  <c r="O28" i="6"/>
  <c r="O44" i="6" s="1"/>
  <c r="M50" i="6"/>
  <c r="M51" i="6" s="1"/>
  <c r="M53" i="6" s="1"/>
  <c r="O29" i="6"/>
  <c r="O45" i="6" s="1"/>
  <c r="O30" i="6"/>
  <c r="O46" i="6" s="1"/>
  <c r="I22" i="2"/>
  <c r="E16" i="2"/>
  <c r="D16" i="2"/>
  <c r="C16" i="2"/>
  <c r="B16" i="2"/>
  <c r="O50" i="6" l="1"/>
  <c r="O51" i="6" s="1"/>
  <c r="O53" i="6" s="1"/>
  <c r="J22" i="2"/>
  <c r="K9" i="2"/>
  <c r="K5" i="2"/>
  <c r="K6" i="2"/>
  <c r="K4" i="2"/>
  <c r="J4" i="2" l="1"/>
  <c r="J6" i="2"/>
  <c r="N8" i="2"/>
  <c r="N5" i="2"/>
  <c r="J8" i="2"/>
  <c r="I10" i="2"/>
  <c r="M10" i="2"/>
  <c r="J5" i="2"/>
  <c r="I7" i="2"/>
  <c r="N9" i="2"/>
  <c r="R9" i="2" s="1"/>
  <c r="N4" i="2"/>
  <c r="N6" i="2"/>
  <c r="J9" i="2"/>
  <c r="M7" i="2"/>
  <c r="G10" i="2"/>
  <c r="G25" i="2" s="1"/>
  <c r="G20" i="5" l="1"/>
  <c r="G21" i="5" s="1"/>
  <c r="G26" i="2"/>
  <c r="I25" i="2"/>
  <c r="M25" i="2" s="1"/>
  <c r="Q25" i="2" s="1"/>
  <c r="U25" i="2" s="1"/>
  <c r="Y25" i="2" s="1"/>
  <c r="M11" i="2"/>
  <c r="I11" i="2"/>
  <c r="J7" i="2"/>
  <c r="Q7" i="2"/>
  <c r="Q11" i="2" s="1"/>
  <c r="J10" i="2"/>
  <c r="R5" i="2"/>
  <c r="Q10" i="2"/>
  <c r="R8" i="2"/>
  <c r="R10" i="2" s="1"/>
  <c r="Z9" i="2"/>
  <c r="V9" i="2"/>
  <c r="R6" i="2"/>
  <c r="N10" i="2"/>
  <c r="R4" i="2"/>
  <c r="N7" i="2"/>
  <c r="J11" i="2" l="1"/>
  <c r="D5" i="4" s="1"/>
  <c r="C34" i="4" s="1"/>
  <c r="N11" i="2"/>
  <c r="D6" i="4" s="1"/>
  <c r="C35" i="4" s="1"/>
  <c r="J25" i="2"/>
  <c r="J26" i="2" s="1"/>
  <c r="J27" i="2" s="1"/>
  <c r="D21" i="4" s="1"/>
  <c r="D34" i="4" s="1"/>
  <c r="I26" i="2"/>
  <c r="I27" i="2" s="1"/>
  <c r="V4" i="2"/>
  <c r="U7" i="2"/>
  <c r="U11" i="2" s="1"/>
  <c r="R7" i="2"/>
  <c r="R11" i="2" s="1"/>
  <c r="D7" i="4" s="1"/>
  <c r="C36" i="4" s="1"/>
  <c r="V8" i="2"/>
  <c r="V10" i="2" s="1"/>
  <c r="U10" i="2"/>
  <c r="Z5" i="2"/>
  <c r="V5" i="2"/>
  <c r="Z6" i="2"/>
  <c r="V6" i="2"/>
  <c r="M26" i="2" l="1"/>
  <c r="M27" i="2" s="1"/>
  <c r="N25" i="2"/>
  <c r="N26" i="2" s="1"/>
  <c r="N27" i="2" s="1"/>
  <c r="D22" i="4" s="1"/>
  <c r="D35" i="4" s="1"/>
  <c r="V7" i="2"/>
  <c r="V11" i="2" s="1"/>
  <c r="D8" i="4" s="1"/>
  <c r="C37" i="4" s="1"/>
  <c r="Z8" i="2"/>
  <c r="Z10" i="2" s="1"/>
  <c r="Y10" i="2"/>
  <c r="Z4" i="2"/>
  <c r="Z7" i="2" s="1"/>
  <c r="Y7" i="2"/>
  <c r="Y11" i="2" s="1"/>
  <c r="Z11" i="2" l="1"/>
  <c r="D9" i="4" s="1"/>
  <c r="C38" i="4" s="1"/>
  <c r="C48" i="4" s="1"/>
  <c r="Q26" i="2"/>
  <c r="Q27" i="2" s="1"/>
  <c r="R25" i="2"/>
  <c r="R26" i="2" s="1"/>
  <c r="R27" i="2" s="1"/>
  <c r="D23" i="4" s="1"/>
  <c r="D36" i="4" s="1"/>
  <c r="U26" i="2" l="1"/>
  <c r="U27" i="2" s="1"/>
  <c r="V25" i="2"/>
  <c r="V26" i="2" s="1"/>
  <c r="V27" i="2" s="1"/>
  <c r="D24" i="4" s="1"/>
  <c r="D37" i="4" s="1"/>
  <c r="Z25" i="2"/>
  <c r="Z26" i="2" l="1"/>
  <c r="Z27" i="2" s="1"/>
  <c r="Y26" i="2"/>
  <c r="Y27" i="2" s="1"/>
  <c r="V33" i="2" l="1"/>
  <c r="D25" i="4"/>
  <c r="D38" i="4" s="1"/>
  <c r="D48" i="4" s="1"/>
  <c r="E48" i="4" s="1"/>
</calcChain>
</file>

<file path=xl/sharedStrings.xml><?xml version="1.0" encoding="utf-8"?>
<sst xmlns="http://schemas.openxmlformats.org/spreadsheetml/2006/main" count="309" uniqueCount="133">
  <si>
    <t>CDT´S</t>
  </si>
  <si>
    <t xml:space="preserve">2020 (FUTURO I-1er trimestre) </t>
  </si>
  <si>
    <t xml:space="preserve">  </t>
  </si>
  <si>
    <t>FECHA DE VENCIMIENTO</t>
  </si>
  <si>
    <t>PLAZO</t>
  </si>
  <si>
    <t>TASA  %</t>
  </si>
  <si>
    <t>VALOR DE REDENCION</t>
  </si>
  <si>
    <t>RENTABILIDAD EN PESOS</t>
  </si>
  <si>
    <t>FECHA DE REDENCIÓN</t>
  </si>
  <si>
    <t xml:space="preserve">BANCO AV VILLAS                      </t>
  </si>
  <si>
    <t>90 DIAS</t>
  </si>
  <si>
    <t xml:space="preserve">BANCO BBVA                             </t>
  </si>
  <si>
    <t xml:space="preserve">BANCO OCCIDENTE                   </t>
  </si>
  <si>
    <t xml:space="preserve">BANCO OCCIDENTE                  </t>
  </si>
  <si>
    <t xml:space="preserve">BANCO AV VILLAS                    </t>
  </si>
  <si>
    <t>TOTAL CDT´S</t>
  </si>
  <si>
    <t>PRONÓSTICO INFLACIÓN</t>
  </si>
  <si>
    <t>Año 2020</t>
  </si>
  <si>
    <t>Año 2021</t>
  </si>
  <si>
    <t>Año 2022</t>
  </si>
  <si>
    <t>Año 2024</t>
  </si>
  <si>
    <t xml:space="preserve">DTF  </t>
  </si>
  <si>
    <t>CRECIMIENTO FONDOS DE INVERSIÓN</t>
  </si>
  <si>
    <t>FONDOS DE INVERSIÓN</t>
  </si>
  <si>
    <t>FONDO DE ACCIONARIO NACIONAL</t>
  </si>
  <si>
    <t>FONDO DE ACCIONARIO INTERNACIONAL</t>
  </si>
  <si>
    <t>TOTAL FONDO DE ACCIONARIO INTERNACIONAL</t>
  </si>
  <si>
    <t>TOTAL FONDOS DE INVERSIÓN</t>
  </si>
  <si>
    <t>ANÁLISIS COMPARATIVO DE LAS UTILIDADES AL FINAL DEL EJERCICIO          
(CDT Vs FONDOS DE INVERSIÓN)</t>
  </si>
  <si>
    <t xml:space="preserve">FECHA DE CONSTITUCIÓN </t>
  </si>
  <si>
    <t>SUBTOTAL 1</t>
  </si>
  <si>
    <t>SUBTOTAL 2</t>
  </si>
  <si>
    <t xml:space="preserve">2020 (FUTURO II-2do trimestre) </t>
  </si>
  <si>
    <t xml:space="preserve">2020 (FUTURO III-3er trimestre) </t>
  </si>
  <si>
    <t xml:space="preserve">2020 (FUTURO IV-4to trimestre) </t>
  </si>
  <si>
    <t xml:space="preserve">FECHA DE INVERSIÓN </t>
  </si>
  <si>
    <t xml:space="preserve">2021 (FUTURO V-5to trimestre) </t>
  </si>
  <si>
    <t>VAR/ACUMULADA EN $ (RENTABILIDAD)</t>
  </si>
  <si>
    <t>Año 2023</t>
  </si>
  <si>
    <t>DNP (Departamento Nacional de Planeación)</t>
  </si>
  <si>
    <t>Corficolombiana</t>
  </si>
  <si>
    <t>MONTO</t>
  </si>
  <si>
    <t xml:space="preserve">PLAZO </t>
  </si>
  <si>
    <t>OPCIÓN DE INVERSION</t>
  </si>
  <si>
    <t>CARACTERÍSTICAS DEL PRODUCTO</t>
  </si>
  <si>
    <t>PROCESOS Y TRAMITES</t>
  </si>
  <si>
    <t>PERIODO</t>
  </si>
  <si>
    <t xml:space="preserve">TASAS </t>
  </si>
  <si>
    <t>COSTOS ASOCIADOS</t>
  </si>
  <si>
    <t>RENTABILIDAD REAL EN PESOS</t>
  </si>
  <si>
    <t>CDT</t>
  </si>
  <si>
    <t>- Inversión a terrmino fijo.
- Bajo riesgo.
- Titularidad invidual o compartida.
- Negociación mediante endoso o en el mercado secundario si se necesita el dinero antes del tiempo pactado.
- Se redime o desembolsa solo en los plazos pactados.
-La tasa de interes depende del plazo y monto pactado.
- Intereses no capitalizables.
- Penalización si se cobra o retira  antes de la fecha de vencimiento.</t>
  </si>
  <si>
    <t>- Se debe realizar directamente en la ofiina o sucursales de la entidad financiera.
- Diligenciamiento del formato establedio por la entidad bancaria para solicitud del producto.
- Orientación del producto al cliente.
- Suministro de información en relación del origen de los fondos.
- Entrega del soporte que ratifique el origen de fondos.
- Presentación de documento de identificación original -cédula de ciudadanía
- Deposito material o físico del dinero.</t>
  </si>
  <si>
    <t>Oscilan en plazos entre mínimo un mes y máximo un año.</t>
  </si>
  <si>
    <t xml:space="preserve">Del 1 % al 3% </t>
  </si>
  <si>
    <t>- Entre 4% al 7% de rendimientos financieros.
- En algunos casos 7% genera retefuente por ganancia ocasional</t>
  </si>
  <si>
    <t>CUENTA DE AHORROS</t>
  </si>
  <si>
    <t>- Inversión a termino indefinido.
- Riesgo bajo.
- Titularidad individual o compartida.
- Disposición de los fondos de forma inmediata.
- Posibilidad de aumentar el monto y depositos sin restriccón alguna.
- El no presentar movimientos periódicos, inactiva o cancela la cuenta.
- En la mayoría se cobra una partida fija por concepto de cuota de manejo o administración.
- La tasa de interes esta condicionada a las políticas del banco.
- Excención del gravamen financiero solo una vez. 
- El monto mínimo de apertura oscila entre $10.000 o $50.000.
- El costo de la reposición del medio de manejo (libreta o tarjeta débito) es asumida por el cliente.</t>
  </si>
  <si>
    <t>- Se debe realizar directamente en oficina y sucursales de la entidad financiera
- Diligenciamiento del formato establedio por la entidad bancaria para solicitud de productos financieros
-Orientaciòn del producto al cliente
- Deposito material del dinero o moneda
- Suministro de informaciòn en relaciòn origen de los fondos
- Entrega del soporte que ratifique el origen de fondos
- Presentaciòn de docuemnto de identificaciòn original -cedula de ciudadanìa
- Diligenciamiento de tarjeta de firmas y toma de huellas</t>
  </si>
  <si>
    <t>Plazo indefinido</t>
  </si>
  <si>
    <t xml:space="preserve">Del 0.01 % al 0.05 % </t>
  </si>
  <si>
    <t>- Entre 4% - 7% de rendimientos financieros.
- Según tarifas de la entidad se cobra el medio de manejo (tarjeta o libreta).</t>
  </si>
  <si>
    <t>FINTECH</t>
  </si>
  <si>
    <t>- Inversión a termino indefinido. 
- Riesgo medio.
- Titularidad individual.
- Tramites digitales.
- Control absoluto de los recursos.
- Orientación del cliente al producto.
- Oferta de servicios para cada cliente                    (pesonalizados).
- No dependencia a políticas institucionales.</t>
  </si>
  <si>
    <t>- Conexión a red de internet.
- Creación de usuario y contraseña.
-Operación con baja intermediación.
- No cuenta con dependencia  a una oficina o sucursal.
-Todos las transacciones se realizan por plataforma online.
-Firma autógrafa o electrónica.
- Dinero electrónico.
- Transaccionalidad en línea.</t>
  </si>
  <si>
    <t>Del 3% al 4%</t>
  </si>
  <si>
    <t>Entre 1% al 2% de administración.</t>
  </si>
  <si>
    <t>TRIMESTRE</t>
  </si>
  <si>
    <t>2do Trimestre</t>
  </si>
  <si>
    <t xml:space="preserve">4to Trimestre </t>
  </si>
  <si>
    <t>5to Trimestre</t>
  </si>
  <si>
    <t>3er Trimestre</t>
  </si>
  <si>
    <t>CDT´s</t>
  </si>
  <si>
    <t>1er Trimestre</t>
  </si>
  <si>
    <t>TRIMESTRES</t>
  </si>
  <si>
    <t>RENTABILIDAD CDT´s</t>
  </si>
  <si>
    <t>RENTABILIDAD FONDOS DE INVERSIÓN</t>
  </si>
  <si>
    <t>ANÁLISIS COMPARATIVO           
(CDT Vs FONDOS DE INVERSIÓN)</t>
  </si>
  <si>
    <t>TOTAL RENTABILIDAD $</t>
  </si>
  <si>
    <t xml:space="preserve"> RENTABILIDAD ACUMULADA AL FINAL DEL EJERCICIO</t>
  </si>
  <si>
    <t>VARIACIÓN ABSOLUTA</t>
  </si>
  <si>
    <t>TASA NOMINAL TRIM - VENCIDO</t>
  </si>
  <si>
    <t>Fórmula Multivariable</t>
  </si>
  <si>
    <t xml:space="preserve">TASA EFECTIVA ANUAL - VENCIDA </t>
  </si>
  <si>
    <t>FICHA COMPARATIVA DE ALTERNATIVAS DE INVERSIÓN</t>
  </si>
  <si>
    <t xml:space="preserve">CORREDORES DAVIVIENDA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</si>
  <si>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</si>
  <si>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</si>
  <si>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</si>
  <si>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</si>
  <si>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</si>
  <si>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</si>
  <si>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</si>
  <si>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</si>
  <si>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</si>
  <si>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</si>
  <si>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</si>
  <si>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PRECIO DE LA ACCIÓN (a fin de mes)</t>
  </si>
  <si>
    <t>PERIODO                 (2019)</t>
  </si>
  <si>
    <t>-</t>
  </si>
  <si>
    <t>MEDIA</t>
  </si>
  <si>
    <t>(PRECIO DE LA ACCIÓN    - MEDIA)^2</t>
  </si>
  <si>
    <t>(RENDIMIENTO     - MEDIA)^2</t>
  </si>
  <si>
    <t>TOTAL</t>
  </si>
  <si>
    <t>VARIANZA</t>
  </si>
  <si>
    <t>DESVIACIÓN ESTÁNDAR</t>
  </si>
  <si>
    <t>(RENDIMIENTO     - MEDIA)</t>
  </si>
  <si>
    <t>(PRECIO DE LA ACCIÓN    - MEDIA)</t>
  </si>
  <si>
    <t xml:space="preserve">BANCO OCCIDENTE </t>
  </si>
  <si>
    <t>PERIODO                 (trimestral)</t>
  </si>
  <si>
    <t>CAPITAL ACUMULADO  (trimestre a trimestre)</t>
  </si>
  <si>
    <t>RENDIMIENTO (%)</t>
  </si>
  <si>
    <t>Capital Inicial</t>
  </si>
  <si>
    <t>2do. Trimestre</t>
  </si>
  <si>
    <t>ESCENARIO - I</t>
  </si>
  <si>
    <t>ESCENARIO - II</t>
  </si>
  <si>
    <t>1er.  Trimestre</t>
  </si>
  <si>
    <t>3er.  Trimestre</t>
  </si>
  <si>
    <t>4to.  Trimestre</t>
  </si>
  <si>
    <t>5to.  Trimestre</t>
  </si>
  <si>
    <t>(CAPITAL ACUMULADO   - MEDIA)</t>
  </si>
  <si>
    <t xml:space="preserve">(RENDIMIENTO  - MEDIA) </t>
  </si>
  <si>
    <t>(CAPITAL ACUMULADO   - MEDIA)^2</t>
  </si>
  <si>
    <r>
      <rPr>
        <u/>
        <sz val="12"/>
        <color rgb="FFFF0000"/>
        <rFont val="Arial"/>
        <family val="2"/>
      </rPr>
      <t>VOLATILIDAD</t>
    </r>
    <r>
      <rPr>
        <sz val="12"/>
        <color theme="1"/>
        <rFont val="Arial"/>
        <family val="2"/>
      </rPr>
      <t>: Frecuencia de cambio del precio que tiene de un periodo a otro la acción. Su adquisición es definida y el riesgo es moderado por el tiempo de medición y observación.</t>
    </r>
  </si>
  <si>
    <t xml:space="preserve">Estimado con un entorno de especulación. </t>
  </si>
  <si>
    <t xml:space="preserve">ESTA MEDICIÓN CUANTITATIVA, PERMITE DETERMINAR LOS ESPACIOS DE INCERTIDUMBRE, LO CUAL ESTABLECE LA PROBABILIDAD DE QUE OCURRA POSITIVA O NEGATIVAMENTE. </t>
  </si>
  <si>
    <t>Los CDt´s son montos pactados por las entidades con el cliente. La entidad financiera responde y respalda el monto de la inversión; no depende de la variabilidad del mercado, si no por las condiciones del contrato. A diferencia de una acción, esta depende de la oferta y no del mercado bursátil.</t>
  </si>
  <si>
    <t>FONDO RENTA FIJA NACIONAL LARGO PLAZO</t>
  </si>
  <si>
    <t>TOTAL FONDO DE RENTA FIJA NACIONAL  LARGO PLAZO</t>
  </si>
  <si>
    <t xml:space="preserve">FIDUCIARIA BOGOTÁ        </t>
  </si>
  <si>
    <t xml:space="preserve">FIDUCIARIA CORFICOLOMBIANA                </t>
  </si>
  <si>
    <t>Diciembre</t>
  </si>
  <si>
    <t xml:space="preserve">FIDUCIARIA CORFICOLOMBIANA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</si>
</sst>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\ #,##0.00;[Red]\-&quot;$&quot;\ #,##0.00"/>
    <numFmt numFmtId="164" formatCode="[$-C0A]d\-mmm\-yyyy;@"/>
    <numFmt numFmtId="165" formatCode="&quot;Año &quot;General"/>
    <numFmt numFmtId="166" formatCode="0.0%"/>
    <numFmt numFmtId="167" formatCode="0.000"/>
    <numFmt numFmtId="168" formatCode="[$$-240A]#,##0"/>
    <numFmt numFmtId="169" formatCode="[$$-240A]#,##0;[Red]\-[$$-240A]#,##0"/>
    <numFmt numFmtId="170" formatCode="0.00;[Red]0.00"/>
    <numFmt numFmtId="171" formatCode="_-[$$-240A]\ * #,##0.00_-;\-[$$-240A]\ * #,##0.00_-;_-[$$-240A]\ * &quot;-&quot;??_-;_-@_-"/>
    <numFmt numFmtId="172" formatCode="d\-m\-yy;@"/>
    <numFmt numFmtId="173" formatCode="_(* #,##0.00_);_(* \(#,##0.00\);_(* &quot;-&quot;??_);_(@_)"/>
    <numFmt numFmtId="174" formatCode="0.00000"/>
    <numFmt numFmtId="175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u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306">
    <xf numFmtId="0" fontId="0" fillId="0" borderId="0" xfId="0"/>
    <xf numFmtId="0" fontId="4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5" fillId="3" borderId="6" xfId="0" applyFont="1" applyFill="1" applyBorder="1"/>
    <xf numFmtId="0" fontId="9" fillId="3" borderId="7" xfId="0" applyFont="1" applyFill="1" applyBorder="1"/>
    <xf numFmtId="164" fontId="9" fillId="3" borderId="7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right"/>
    </xf>
    <xf numFmtId="4" fontId="5" fillId="3" borderId="7" xfId="0" applyNumberFormat="1" applyFont="1" applyFill="1" applyBorder="1"/>
    <xf numFmtId="4" fontId="5" fillId="3" borderId="8" xfId="0" applyNumberFormat="1" applyFont="1" applyFill="1" applyBorder="1"/>
    <xf numFmtId="2" fontId="9" fillId="3" borderId="7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0" fontId="7" fillId="3" borderId="7" xfId="0" applyFont="1" applyFill="1" applyBorder="1"/>
    <xf numFmtId="4" fontId="9" fillId="0" borderId="0" xfId="0" applyNumberFormat="1" applyFont="1" applyFill="1" applyAlignment="1">
      <alignment horizontal="right"/>
    </xf>
    <xf numFmtId="4" fontId="9" fillId="0" borderId="5" xfId="0" applyNumberFormat="1" applyFont="1" applyBorder="1"/>
    <xf numFmtId="4" fontId="9" fillId="0" borderId="9" xfId="0" applyNumberFormat="1" applyFont="1" applyBorder="1"/>
    <xf numFmtId="4" fontId="5" fillId="3" borderId="9" xfId="0" applyNumberFormat="1" applyFont="1" applyFill="1" applyBorder="1"/>
    <xf numFmtId="0" fontId="11" fillId="0" borderId="10" xfId="0" applyFont="1" applyBorder="1" applyAlignment="1">
      <alignment horizontal="center" wrapText="1"/>
    </xf>
    <xf numFmtId="4" fontId="11" fillId="4" borderId="12" xfId="0" applyNumberFormat="1" applyFont="1" applyFill="1" applyBorder="1"/>
    <xf numFmtId="4" fontId="11" fillId="4" borderId="13" xfId="0" applyNumberFormat="1" applyFont="1" applyFill="1" applyBorder="1"/>
    <xf numFmtId="0" fontId="4" fillId="0" borderId="0" xfId="0" applyFont="1" applyFill="1" applyBorder="1"/>
    <xf numFmtId="0" fontId="0" fillId="0" borderId="0" xfId="0" applyFill="1" applyBorder="1"/>
    <xf numFmtId="4" fontId="11" fillId="0" borderId="0" xfId="0" applyNumberFormat="1" applyFont="1" applyFill="1" applyBorder="1"/>
    <xf numFmtId="0" fontId="0" fillId="0" borderId="0" xfId="0" applyFill="1"/>
    <xf numFmtId="165" fontId="1" fillId="2" borderId="9" xfId="0" applyNumberFormat="1" applyFont="1" applyFill="1" applyBorder="1" applyAlignment="1">
      <alignment horizontal="center" vertical="center"/>
    </xf>
    <xf numFmtId="166" fontId="0" fillId="5" borderId="9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7" fontId="0" fillId="5" borderId="9" xfId="0" applyNumberFormat="1" applyFill="1" applyBorder="1" applyAlignment="1">
      <alignment horizontal="center" vertical="center"/>
    </xf>
    <xf numFmtId="167" fontId="0" fillId="5" borderId="8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38" fontId="0" fillId="0" borderId="0" xfId="0" applyNumberFormat="1"/>
    <xf numFmtId="0" fontId="3" fillId="0" borderId="0" xfId="0" applyFont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0" fontId="4" fillId="3" borderId="23" xfId="0" applyFont="1" applyFill="1" applyBorder="1"/>
    <xf numFmtId="164" fontId="9" fillId="0" borderId="0" xfId="0" applyNumberFormat="1" applyFont="1" applyBorder="1" applyAlignment="1">
      <alignment horizontal="right"/>
    </xf>
    <xf numFmtId="4" fontId="5" fillId="3" borderId="25" xfId="0" applyNumberFormat="1" applyFont="1" applyFill="1" applyBorder="1"/>
    <xf numFmtId="4" fontId="5" fillId="3" borderId="23" xfId="0" applyNumberFormat="1" applyFont="1" applyFill="1" applyBorder="1"/>
    <xf numFmtId="4" fontId="9" fillId="0" borderId="0" xfId="0" applyNumberFormat="1" applyFont="1" applyFill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0" fontId="11" fillId="0" borderId="28" xfId="0" applyFont="1" applyBorder="1" applyAlignment="1">
      <alignment horizontal="center" wrapText="1"/>
    </xf>
    <xf numFmtId="4" fontId="9" fillId="0" borderId="8" xfId="0" applyNumberFormat="1" applyFont="1" applyBorder="1"/>
    <xf numFmtId="0" fontId="11" fillId="0" borderId="29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3" borderId="32" xfId="0" applyNumberFormat="1" applyFont="1" applyFill="1" applyBorder="1"/>
    <xf numFmtId="4" fontId="5" fillId="3" borderId="33" xfId="0" applyNumberFormat="1" applyFont="1" applyFill="1" applyBorder="1"/>
    <xf numFmtId="4" fontId="5" fillId="3" borderId="31" xfId="0" applyNumberFormat="1" applyFont="1" applyFill="1" applyBorder="1"/>
    <xf numFmtId="0" fontId="11" fillId="0" borderId="37" xfId="0" applyFont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4" fontId="5" fillId="3" borderId="40" xfId="0" applyNumberFormat="1" applyFont="1" applyFill="1" applyBorder="1"/>
    <xf numFmtId="4" fontId="9" fillId="0" borderId="42" xfId="0" applyNumberFormat="1" applyFont="1" applyBorder="1"/>
    <xf numFmtId="4" fontId="5" fillId="3" borderId="35" xfId="0" applyNumberFormat="1" applyFont="1" applyFill="1" applyBorder="1"/>
    <xf numFmtId="4" fontId="5" fillId="3" borderId="41" xfId="0" applyNumberFormat="1" applyFont="1" applyFill="1" applyBorder="1"/>
    <xf numFmtId="4" fontId="5" fillId="3" borderId="36" xfId="0" applyNumberFormat="1" applyFont="1" applyFill="1" applyBorder="1"/>
    <xf numFmtId="8" fontId="0" fillId="0" borderId="0" xfId="0" applyNumberFormat="1"/>
    <xf numFmtId="10" fontId="9" fillId="0" borderId="0" xfId="1" applyNumberFormat="1" applyFont="1" applyFill="1" applyBorder="1" applyAlignment="1">
      <alignment horizontal="right"/>
    </xf>
    <xf numFmtId="0" fontId="4" fillId="3" borderId="7" xfId="0" applyFont="1" applyFill="1" applyBorder="1"/>
    <xf numFmtId="4" fontId="5" fillId="3" borderId="46" xfId="0" applyNumberFormat="1" applyFont="1" applyFill="1" applyBorder="1"/>
    <xf numFmtId="0" fontId="4" fillId="4" borderId="47" xfId="0" applyFont="1" applyFill="1" applyBorder="1" applyAlignment="1">
      <alignment horizontal="center"/>
    </xf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4" fontId="11" fillId="4" borderId="52" xfId="0" applyNumberFormat="1" applyFont="1" applyFill="1" applyBorder="1"/>
    <xf numFmtId="14" fontId="9" fillId="0" borderId="31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14" fontId="9" fillId="0" borderId="25" xfId="0" applyNumberFormat="1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14" fontId="9" fillId="0" borderId="32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center"/>
    </xf>
    <xf numFmtId="4" fontId="5" fillId="3" borderId="33" xfId="0" applyNumberFormat="1" applyFont="1" applyFill="1" applyBorder="1" applyAlignment="1">
      <alignment horizontal="center"/>
    </xf>
    <xf numFmtId="4" fontId="5" fillId="3" borderId="32" xfId="0" applyNumberFormat="1" applyFont="1" applyFill="1" applyBorder="1" applyAlignment="1">
      <alignment horizontal="center"/>
    </xf>
    <xf numFmtId="14" fontId="9" fillId="0" borderId="33" xfId="0" applyNumberFormat="1" applyFont="1" applyFill="1" applyBorder="1" applyAlignment="1">
      <alignment horizontal="center"/>
    </xf>
    <xf numFmtId="4" fontId="9" fillId="0" borderId="6" xfId="0" applyNumberFormat="1" applyFont="1" applyBorder="1"/>
    <xf numFmtId="4" fontId="5" fillId="3" borderId="43" xfId="0" applyNumberFormat="1" applyFont="1" applyFill="1" applyBorder="1"/>
    <xf numFmtId="4" fontId="5" fillId="3" borderId="34" xfId="0" applyNumberFormat="1" applyFont="1" applyFill="1" applyBorder="1"/>
    <xf numFmtId="0" fontId="4" fillId="4" borderId="49" xfId="0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1" fillId="6" borderId="54" xfId="0" applyNumberFormat="1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49" fontId="1" fillId="7" borderId="54" xfId="0" applyNumberFormat="1" applyFont="1" applyFill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168" fontId="0" fillId="0" borderId="54" xfId="0" applyNumberFormat="1" applyBorder="1" applyAlignment="1">
      <alignment horizontal="center" vertical="center"/>
    </xf>
    <xf numFmtId="49" fontId="1" fillId="7" borderId="54" xfId="0" applyNumberFormat="1" applyFont="1" applyFill="1" applyBorder="1" applyAlignment="1">
      <alignment vertical="center" wrapText="1"/>
    </xf>
    <xf numFmtId="49" fontId="0" fillId="0" borderId="54" xfId="0" applyNumberFormat="1" applyBorder="1" applyAlignment="1">
      <alignment horizontal="center" vertical="center"/>
    </xf>
    <xf numFmtId="169" fontId="0" fillId="0" borderId="54" xfId="0" applyNumberFormat="1" applyBorder="1" applyAlignment="1">
      <alignment horizontal="center" vertical="center"/>
    </xf>
    <xf numFmtId="170" fontId="0" fillId="0" borderId="0" xfId="0" applyNumberFormat="1"/>
    <xf numFmtId="0" fontId="1" fillId="0" borderId="56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Border="1" applyAlignment="1"/>
    <xf numFmtId="0" fontId="14" fillId="0" borderId="0" xfId="0" applyFont="1" applyFill="1" applyBorder="1" applyAlignment="1"/>
    <xf numFmtId="4" fontId="0" fillId="0" borderId="0" xfId="0" applyNumberFormat="1" applyBorder="1"/>
    <xf numFmtId="4" fontId="13" fillId="0" borderId="9" xfId="0" applyNumberFormat="1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4" fontId="13" fillId="0" borderId="31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 horizontal="center"/>
    </xf>
    <xf numFmtId="0" fontId="10" fillId="8" borderId="32" xfId="0" applyFont="1" applyFill="1" applyBorder="1" applyAlignment="1"/>
    <xf numFmtId="0" fontId="10" fillId="8" borderId="43" xfId="0" applyFont="1" applyFill="1" applyBorder="1" applyAlignment="1"/>
    <xf numFmtId="0" fontId="1" fillId="0" borderId="2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/>
    <xf numFmtId="0" fontId="1" fillId="0" borderId="27" xfId="0" applyFont="1" applyBorder="1" applyAlignment="1">
      <alignment horizontal="center" wrapText="1"/>
    </xf>
    <xf numFmtId="0" fontId="10" fillId="9" borderId="32" xfId="0" applyFont="1" applyFill="1" applyBorder="1" applyAlignment="1"/>
    <xf numFmtId="0" fontId="10" fillId="9" borderId="43" xfId="0" applyFont="1" applyFill="1" applyBorder="1" applyAlignment="1"/>
    <xf numFmtId="0" fontId="10" fillId="10" borderId="32" xfId="0" applyFont="1" applyFill="1" applyBorder="1" applyAlignment="1"/>
    <xf numFmtId="0" fontId="10" fillId="10" borderId="43" xfId="0" applyFont="1" applyFill="1" applyBorder="1" applyAlignment="1"/>
    <xf numFmtId="0" fontId="10" fillId="11" borderId="4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71" fontId="13" fillId="0" borderId="34" xfId="0" applyNumberFormat="1" applyFont="1" applyBorder="1" applyAlignment="1">
      <alignment horizontal="center"/>
    </xf>
    <xf numFmtId="171" fontId="13" fillId="0" borderId="38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4" xfId="0" applyFont="1" applyFill="1" applyBorder="1" applyAlignment="1"/>
    <xf numFmtId="0" fontId="6" fillId="0" borderId="5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7" xfId="0" applyFont="1" applyBorder="1"/>
    <xf numFmtId="0" fontId="7" fillId="0" borderId="0" xfId="0" applyFont="1" applyBorder="1"/>
    <xf numFmtId="17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/>
    <xf numFmtId="164" fontId="7" fillId="0" borderId="0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0" fontId="7" fillId="0" borderId="17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Border="1"/>
    <xf numFmtId="4" fontId="8" fillId="0" borderId="0" xfId="0" applyNumberFormat="1" applyFont="1" applyFill="1" applyBorder="1"/>
    <xf numFmtId="0" fontId="5" fillId="3" borderId="49" xfId="0" applyFont="1" applyFill="1" applyBorder="1"/>
    <xf numFmtId="0" fontId="9" fillId="3" borderId="11" xfId="0" applyFont="1" applyFill="1" applyBorder="1"/>
    <xf numFmtId="164" fontId="9" fillId="3" borderId="11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4" fontId="5" fillId="3" borderId="48" xfId="0" applyNumberFormat="1" applyFont="1" applyFill="1" applyBorder="1"/>
    <xf numFmtId="4" fontId="5" fillId="0" borderId="0" xfId="0" applyNumberFormat="1" applyFont="1" applyFill="1" applyBorder="1"/>
    <xf numFmtId="172" fontId="7" fillId="0" borderId="0" xfId="0" applyNumberFormat="1" applyFont="1" applyBorder="1" applyAlignment="1">
      <alignment horizontal="center"/>
    </xf>
    <xf numFmtId="0" fontId="5" fillId="3" borderId="11" xfId="0" applyFont="1" applyFill="1" applyBorder="1"/>
    <xf numFmtId="164" fontId="7" fillId="0" borderId="0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0" fontId="5" fillId="3" borderId="40" xfId="0" applyFont="1" applyFill="1" applyBorder="1"/>
    <xf numFmtId="0" fontId="0" fillId="0" borderId="17" xfId="0" applyBorder="1"/>
    <xf numFmtId="0" fontId="0" fillId="0" borderId="18" xfId="0" applyBorder="1"/>
    <xf numFmtId="10" fontId="7" fillId="0" borderId="0" xfId="2" applyNumberFormat="1" applyFont="1" applyFill="1" applyBorder="1" applyAlignment="1">
      <alignment horizontal="right"/>
    </xf>
    <xf numFmtId="10" fontId="7" fillId="0" borderId="0" xfId="2" applyNumberFormat="1" applyFont="1" applyBorder="1" applyAlignment="1">
      <alignment horizontal="right"/>
    </xf>
    <xf numFmtId="0" fontId="16" fillId="0" borderId="0" xfId="0" applyFont="1"/>
    <xf numFmtId="167" fontId="0" fillId="0" borderId="0" xfId="0" applyNumberFormat="1"/>
    <xf numFmtId="2" fontId="0" fillId="0" borderId="0" xfId="0" applyNumberFormat="1"/>
    <xf numFmtId="2" fontId="0" fillId="0" borderId="9" xfId="0" applyNumberFormat="1" applyBorder="1"/>
    <xf numFmtId="0" fontId="0" fillId="0" borderId="26" xfId="0" applyBorder="1" applyAlignment="1">
      <alignment horizontal="right"/>
    </xf>
    <xf numFmtId="174" fontId="0" fillId="0" borderId="9" xfId="0" applyNumberFormat="1" applyBorder="1"/>
    <xf numFmtId="0" fontId="11" fillId="0" borderId="54" xfId="0" applyFont="1" applyBorder="1" applyAlignment="1">
      <alignment horizontal="center" vertical="center" wrapText="1"/>
    </xf>
    <xf numFmtId="174" fontId="11" fillId="0" borderId="9" xfId="0" applyNumberFormat="1" applyFont="1" applyBorder="1"/>
    <xf numFmtId="0" fontId="0" fillId="0" borderId="0" xfId="0" applyAlignment="1">
      <alignment vertical="center" wrapText="1"/>
    </xf>
    <xf numFmtId="2" fontId="10" fillId="0" borderId="9" xfId="0" applyNumberFormat="1" applyFont="1" applyBorder="1"/>
    <xf numFmtId="2" fontId="0" fillId="0" borderId="0" xfId="0" applyNumberFormat="1" applyBorder="1"/>
    <xf numFmtId="175" fontId="0" fillId="0" borderId="9" xfId="0" applyNumberFormat="1" applyBorder="1"/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" fontId="0" fillId="0" borderId="0" xfId="0" applyNumberFormat="1"/>
    <xf numFmtId="175" fontId="10" fillId="0" borderId="9" xfId="0" applyNumberFormat="1" applyFont="1" applyBorder="1"/>
    <xf numFmtId="175" fontId="11" fillId="0" borderId="9" xfId="0" applyNumberFormat="1" applyFont="1" applyBorder="1"/>
    <xf numFmtId="0" fontId="3" fillId="0" borderId="3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horizontal="left"/>
    </xf>
    <xf numFmtId="10" fontId="14" fillId="0" borderId="9" xfId="1" applyNumberFormat="1" applyFont="1" applyBorder="1"/>
    <xf numFmtId="8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4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2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" fontId="10" fillId="0" borderId="49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7" fillId="0" borderId="9" xfId="0" applyFont="1" applyBorder="1" applyAlignment="1">
      <alignment horizontal="left"/>
    </xf>
    <xf numFmtId="4" fontId="0" fillId="0" borderId="26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9" xfId="0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7" fillId="0" borderId="26" xfId="0" applyFont="1" applyBorder="1" applyAlignment="1">
      <alignment horizontal="left"/>
    </xf>
    <xf numFmtId="2" fontId="0" fillId="0" borderId="26" xfId="0" applyNumberFormat="1" applyBorder="1" applyAlignment="1">
      <alignment horizontal="center"/>
    </xf>
    <xf numFmtId="0" fontId="10" fillId="12" borderId="64" xfId="0" applyFont="1" applyFill="1" applyBorder="1" applyAlignment="1">
      <alignment horizontal="center"/>
    </xf>
    <xf numFmtId="0" fontId="10" fillId="12" borderId="65" xfId="0" applyFont="1" applyFill="1" applyBorder="1" applyAlignment="1">
      <alignment horizontal="center"/>
    </xf>
    <xf numFmtId="0" fontId="10" fillId="12" borderId="66" xfId="0" applyFont="1" applyFill="1" applyBorder="1" applyAlignment="1">
      <alignment horizontal="center"/>
    </xf>
    <xf numFmtId="0" fontId="14" fillId="4" borderId="60" xfId="0" applyFont="1" applyFill="1" applyBorder="1" applyAlignment="1">
      <alignment horizontal="center" wrapText="1"/>
    </xf>
    <xf numFmtId="0" fontId="14" fillId="4" borderId="59" xfId="0" applyFont="1" applyFill="1" applyBorder="1" applyAlignment="1">
      <alignment horizontal="center" wrapText="1"/>
    </xf>
    <xf numFmtId="0" fontId="14" fillId="4" borderId="61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rgbClr val="FF0000"/>
                </a:solidFill>
              </a:rPr>
              <a:t>CERTIFICADOS</a:t>
            </a:r>
            <a:r>
              <a:rPr lang="es-CO" b="1" baseline="0">
                <a:solidFill>
                  <a:srgbClr val="FF0000"/>
                </a:solidFill>
              </a:rPr>
              <a:t> DE DEPÓSITO A TÉRMINO</a:t>
            </a:r>
            <a:endParaRPr lang="es-CO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9987798059503073"/>
          <c:y val="3.0828510141447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COMPARATIVO'!$D$3:$D$4</c:f>
              <c:strCache>
                <c:ptCount val="2"/>
                <c:pt idx="0">
                  <c:v>CDT´s</c:v>
                </c:pt>
                <c:pt idx="1">
                  <c:v>TOTAL RENTABILIDAD 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COMPARATIVO'!$C$5:$C$9</c:f>
              <c:strCache>
                <c:ptCount val="5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 </c:v>
                </c:pt>
                <c:pt idx="4">
                  <c:v>5to Trimestre</c:v>
                </c:pt>
              </c:strCache>
            </c:strRef>
          </c:cat>
          <c:val>
            <c:numRef>
              <c:f>'ANÁLISIS COMPARATIVO'!$D$5:$D$9</c:f>
              <c:numCache>
                <c:formatCode>#,##0.00</c:formatCode>
                <c:ptCount val="5"/>
                <c:pt idx="0">
                  <c:v>9964323.9566000886</c:v>
                </c:pt>
                <c:pt idx="1">
                  <c:v>10077261.404204957</c:v>
                </c:pt>
                <c:pt idx="2">
                  <c:v>10190578.108318023</c:v>
                </c:pt>
                <c:pt idx="3">
                  <c:v>10306991.369464576</c:v>
                </c:pt>
                <c:pt idx="4">
                  <c:v>10423813.077328647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2-4B09-9DAF-3A47C9E1FA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578457440"/>
        <c:axId val="-578455808"/>
      </c:barChart>
      <c:catAx>
        <c:axId val="-57845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rgbClr val="C00000"/>
                    </a:solidFill>
                  </a:rPr>
                  <a:t>PROYECCIÓN</a:t>
                </a:r>
                <a:r>
                  <a:rPr lang="es-CO" sz="1050" b="1" baseline="0">
                    <a:solidFill>
                      <a:srgbClr val="C00000"/>
                    </a:solidFill>
                  </a:rPr>
                  <a:t> FINANCIERA</a:t>
                </a:r>
                <a:endParaRPr lang="es-CO" sz="1050" b="1">
                  <a:solidFill>
                    <a:srgbClr val="C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42120321814043"/>
              <c:y val="0.878080638771464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55808"/>
        <c:crosses val="autoZero"/>
        <c:auto val="1"/>
        <c:lblAlgn val="ctr"/>
        <c:lblOffset val="100"/>
        <c:noMultiLvlLbl val="0"/>
      </c:catAx>
      <c:valAx>
        <c:axId val="-5784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rgbClr val="C00000"/>
                    </a:solidFill>
                  </a:rPr>
                  <a:t>RENTABILIDAD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5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FONDOS DE INVERSIÓN</a:t>
            </a:r>
          </a:p>
        </c:rich>
      </c:tx>
      <c:layout>
        <c:manualLayout>
          <c:xMode val="edge"/>
          <c:yMode val="edge"/>
          <c:x val="0.3459007488928749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COMPARATIVO'!$D$19:$D$20</c:f>
              <c:strCache>
                <c:ptCount val="2"/>
                <c:pt idx="0">
                  <c:v>FONDOS DE INVERSIÓN</c:v>
                </c:pt>
                <c:pt idx="1">
                  <c:v>TOTAL RENTABILIDAD 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COMPARATIVO'!$C$21:$C$25</c:f>
              <c:strCache>
                <c:ptCount val="5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 </c:v>
                </c:pt>
                <c:pt idx="4">
                  <c:v>5to Trimestre</c:v>
                </c:pt>
              </c:strCache>
            </c:strRef>
          </c:cat>
          <c:val>
            <c:numRef>
              <c:f>'ANÁLISIS COMPARATIVO'!$D$21:$D$25</c:f>
              <c:numCache>
                <c:formatCode>#,##0.00</c:formatCode>
                <c:ptCount val="5"/>
                <c:pt idx="0">
                  <c:v>22807735.031000018</c:v>
                </c:pt>
                <c:pt idx="1">
                  <c:v>23437453.862133086</c:v>
                </c:pt>
                <c:pt idx="2">
                  <c:v>24085579.162220001</c:v>
                </c:pt>
                <c:pt idx="3">
                  <c:v>24752674.620070219</c:v>
                </c:pt>
                <c:pt idx="4">
                  <c:v>25439321.797588766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F-47E1-A628-C68B72487A6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578455264"/>
        <c:axId val="-578461248"/>
      </c:barChart>
      <c:catAx>
        <c:axId val="-57845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rgbClr val="C00000"/>
                    </a:solidFill>
                  </a:rPr>
                  <a:t>PROYECIÓN</a:t>
                </a:r>
                <a:r>
                  <a:rPr lang="es-CO" sz="1050" b="1" baseline="0">
                    <a:solidFill>
                      <a:srgbClr val="C00000"/>
                    </a:solidFill>
                  </a:rPr>
                  <a:t> FINANCIERA</a:t>
                </a:r>
                <a:endParaRPr lang="es-CO" sz="1050" b="1">
                  <a:solidFill>
                    <a:srgbClr val="C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63694403064482"/>
              <c:y val="0.89010380622837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61248"/>
        <c:crosses val="autoZero"/>
        <c:auto val="1"/>
        <c:lblAlgn val="ctr"/>
        <c:lblOffset val="100"/>
        <c:noMultiLvlLbl val="0"/>
      </c:catAx>
      <c:valAx>
        <c:axId val="-5784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rgbClr val="C00000"/>
                    </a:solidFill>
                  </a:rPr>
                  <a:t>RENTABILIDAD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5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rgbClr val="002060"/>
                </a:solidFill>
              </a:rPr>
              <a:t>ANÁLISIS COMPARATIVO           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CO">
                <a:solidFill>
                  <a:srgbClr val="002060"/>
                </a:solidFill>
              </a:rPr>
              <a:t>CDT Vs FONDOS DE INVERSIÓN</a:t>
            </a:r>
          </a:p>
        </c:rich>
      </c:tx>
      <c:layout>
        <c:manualLayout>
          <c:xMode val="edge"/>
          <c:yMode val="edge"/>
          <c:x val="0.2555067804024496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COMPARATIVO'!$C$33</c:f>
              <c:strCache>
                <c:ptCount val="1"/>
                <c:pt idx="0">
                  <c:v>RENTABILIDAD CDT´s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COMPARATIVO'!$B$34:$B$38</c:f>
              <c:strCache>
                <c:ptCount val="5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 </c:v>
                </c:pt>
                <c:pt idx="4">
                  <c:v>5to Trimestre</c:v>
                </c:pt>
              </c:strCache>
            </c:strRef>
          </c:cat>
          <c:val>
            <c:numRef>
              <c:f>'ANÁLISIS COMPARATIVO'!$C$34:$C$38</c:f>
              <c:numCache>
                <c:formatCode>#,##0.00</c:formatCode>
                <c:ptCount val="5"/>
                <c:pt idx="0">
                  <c:v>9964323.9566000886</c:v>
                </c:pt>
                <c:pt idx="1">
                  <c:v>10077261.404204957</c:v>
                </c:pt>
                <c:pt idx="2">
                  <c:v>10190578.108318023</c:v>
                </c:pt>
                <c:pt idx="3">
                  <c:v>10306991.369464576</c:v>
                </c:pt>
                <c:pt idx="4">
                  <c:v>10423813.077328647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E-482C-9261-E3D51F327078}"/>
            </c:ext>
          </c:extLst>
        </c:ser>
        <c:ser>
          <c:idx val="1"/>
          <c:order val="1"/>
          <c:tx>
            <c:strRef>
              <c:f>'ANÁLISIS COMPARATIVO'!$D$33</c:f>
              <c:strCache>
                <c:ptCount val="1"/>
                <c:pt idx="0">
                  <c:v>RENTABILIDAD FONDOS DE INVERSIÓN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COMPARATIVO'!$B$34:$B$38</c:f>
              <c:strCache>
                <c:ptCount val="5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 </c:v>
                </c:pt>
                <c:pt idx="4">
                  <c:v>5to Trimestre</c:v>
                </c:pt>
              </c:strCache>
            </c:strRef>
          </c:cat>
          <c:val>
            <c:numRef>
              <c:f>'ANÁLISIS COMPARATIVO'!$D$34:$D$38</c:f>
              <c:numCache>
                <c:formatCode>#,##0.00</c:formatCode>
                <c:ptCount val="5"/>
                <c:pt idx="0">
                  <c:v>22807735.031000018</c:v>
                </c:pt>
                <c:pt idx="1">
                  <c:v>23437453.862133086</c:v>
                </c:pt>
                <c:pt idx="2">
                  <c:v>24085579.162220001</c:v>
                </c:pt>
                <c:pt idx="3">
                  <c:v>24752674.620070219</c:v>
                </c:pt>
                <c:pt idx="4">
                  <c:v>25439321.797588766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82C-9261-E3D51F3270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578454720"/>
        <c:axId val="-578463968"/>
      </c:barChart>
      <c:catAx>
        <c:axId val="-578454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rgbClr val="C00000"/>
                    </a:solidFill>
                  </a:rPr>
                  <a:t>PROYECCIÓN FINANCIERA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63968"/>
        <c:crosses val="autoZero"/>
        <c:auto val="1"/>
        <c:lblAlgn val="ctr"/>
        <c:lblOffset val="100"/>
        <c:noMultiLvlLbl val="0"/>
      </c:catAx>
      <c:valAx>
        <c:axId val="-5784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rgbClr val="C00000"/>
                    </a:solidFill>
                  </a:rPr>
                  <a:t>RENTABILIDAD ACUMULADA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8601851851851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5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s-CO" sz="1800" b="1">
                <a:solidFill>
                  <a:srgbClr val="FFFF00"/>
                </a:solidFill>
              </a:rPr>
              <a:t>RENTABILIDAD</a:t>
            </a:r>
            <a:r>
              <a:rPr lang="es-CO" sz="1800" b="1" baseline="0">
                <a:solidFill>
                  <a:srgbClr val="FFFF00"/>
                </a:solidFill>
              </a:rPr>
              <a:t> ESPERADA</a:t>
            </a:r>
            <a:endParaRPr lang="es-CO" sz="1800" b="1">
              <a:solidFill>
                <a:srgbClr val="FFFF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'ANÁLISIS COMPARATIVO'!$C$47</c:f>
              <c:strCache>
                <c:ptCount val="1"/>
                <c:pt idx="0">
                  <c:v>RENTABILIDAD CDT´s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2.4193548387096774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04-4682-AEAF-42A0B907C50F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noFill/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COMPARATIVO'!$B$48</c:f>
              <c:strCache>
                <c:ptCount val="1"/>
                <c:pt idx="0">
                  <c:v>5to Trimestre</c:v>
                </c:pt>
              </c:strCache>
            </c:strRef>
          </c:cat>
          <c:val>
            <c:numRef>
              <c:f>'ANÁLISIS COMPARATIVO'!$C$48</c:f>
              <c:numCache>
                <c:formatCode>_-[$$-240A]\ * #,##0.00_-;\-[$$-240A]\ * #,##0.00_-;_-[$$-240A]\ * "-"??_-;_-@_-</c:formatCode>
                <c:ptCount val="1"/>
                <c:pt idx="0">
                  <c:v>10423813.077328647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4-4682-AEAF-42A0B907C50F}"/>
            </c:ext>
          </c:extLst>
        </c:ser>
        <c:ser>
          <c:idx val="1"/>
          <c:order val="1"/>
          <c:tx>
            <c:strRef>
              <c:f>'ANÁLISIS COMPARATIVO'!$D$47</c:f>
              <c:strCache>
                <c:ptCount val="1"/>
                <c:pt idx="0">
                  <c:v>RENTABILIDAD FONDOS DE INVERSIÓN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2.6881720430107035E-3"/>
                  <c:y val="0.23611111111111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04-4682-AEAF-42A0B907C50F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noFill/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COMPARATIVO'!$B$48</c:f>
              <c:strCache>
                <c:ptCount val="1"/>
                <c:pt idx="0">
                  <c:v>5to Trimestre</c:v>
                </c:pt>
              </c:strCache>
            </c:strRef>
          </c:cat>
          <c:val>
            <c:numRef>
              <c:f>'ANÁLISIS COMPARATIVO'!$D$48</c:f>
              <c:numCache>
                <c:formatCode>_-[$$-240A]\ * #,##0.00_-;\-[$$-240A]\ * #,##0.00_-;_-[$$-240A]\ * "-"??_-;_-@_-</c:formatCode>
                <c:ptCount val="1"/>
                <c:pt idx="0">
                  <c:v>25439321.797588766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04-4682-AEAF-42A0B907C50F}"/>
            </c:ext>
          </c:extLst>
        </c:ser>
        <c:ser>
          <c:idx val="2"/>
          <c:order val="2"/>
          <c:tx>
            <c:strRef>
              <c:f>'ANÁLISIS COMPARATIVO'!$E$47</c:f>
              <c:strCache>
                <c:ptCount val="1"/>
                <c:pt idx="0">
                  <c:v>VARIACIÓN ABSOLUTA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4193548387096774E-2"/>
                  <c:y val="0.15740740740740725"/>
                </c:manualLayout>
              </c:layout>
              <c:spPr>
                <a:solidFill>
                  <a:schemeClr val="accent3">
                    <a:alpha val="30000"/>
                  </a:schemeClr>
                </a:solidFill>
                <a:ln>
                  <a:noFill/>
                  <a:round/>
                </a:ln>
                <a:effectLst>
                  <a:outerShdw blurRad="63500" dist="889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5010583354501"/>
                      <c:h val="7.70370370370370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004-4682-AEAF-42A0B907C50F}"/>
                </c:ext>
              </c:extLst>
            </c:dLbl>
            <c:spPr>
              <a:solidFill>
                <a:schemeClr val="accent3">
                  <a:alpha val="30000"/>
                </a:schemeClr>
              </a:solidFill>
              <a:ln>
                <a:noFill/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'ANÁLISIS COMPARATIVO'!$B$48</c:f>
              <c:strCache>
                <c:ptCount val="1"/>
                <c:pt idx="0">
                  <c:v>5to Trimestre</c:v>
                </c:pt>
              </c:strCache>
            </c:strRef>
          </c:cat>
          <c:val>
            <c:numRef>
              <c:f>'ANÁLISIS COMPARATIVO'!$E$48</c:f>
              <c:numCache>
                <c:formatCode>_-[$$-240A]\ * #,##0.00_-;\-[$$-240A]\ * #,##0.00_-;_-[$$-240A]\ * "-"??_-;_-@_-</c:formatCode>
                <c:ptCount val="1"/>
                <c:pt idx="0">
                  <c:v>15015508.720260119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04-4682-AEAF-42A0B907C5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578464512"/>
        <c:axId val="-578460704"/>
        <c:axId val="0"/>
      </c:bar3DChart>
      <c:catAx>
        <c:axId val="-578464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chemeClr val="bg1"/>
                    </a:solidFill>
                  </a:rPr>
                  <a:t>SALDO</a:t>
                </a:r>
                <a:r>
                  <a:rPr lang="es-CO" sz="1050" b="1" baseline="0">
                    <a:solidFill>
                      <a:schemeClr val="bg1"/>
                    </a:solidFill>
                  </a:rPr>
                  <a:t> EN PESOS ($) </a:t>
                </a:r>
                <a:endParaRPr lang="es-CO" sz="1050" b="1">
                  <a:solidFill>
                    <a:schemeClr val="bg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78460704"/>
        <c:crosses val="autoZero"/>
        <c:auto val="1"/>
        <c:lblAlgn val="ctr"/>
        <c:lblOffset val="100"/>
        <c:noMultiLvlLbl val="0"/>
      </c:catAx>
      <c:valAx>
        <c:axId val="-578460704"/>
        <c:scaling>
          <c:orientation val="minMax"/>
        </c:scaling>
        <c:delete val="1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050" b="1">
                    <a:solidFill>
                      <a:schemeClr val="bg1"/>
                    </a:solidFill>
                  </a:rPr>
                  <a:t>TOTAL RENTABILIDAD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[$$-240A]\ * #,##0.00_-;\-[$$-240A]\ * #,##0.00_-;_-[$$-240A]\ * &quot;-&quot;??_-;_-@_-" sourceLinked="1"/>
        <c:majorTickMark val="out"/>
        <c:minorTickMark val="none"/>
        <c:tickLblPos val="nextTo"/>
        <c:crossAx val="-5784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5692786385572769E-2"/>
          <c:y val="0.1711807378244386"/>
          <c:w val="0.88592625518584367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14287</xdr:rowOff>
    </xdr:from>
    <xdr:to>
      <xdr:col>11</xdr:col>
      <xdr:colOff>381000</xdr:colOff>
      <xdr:row>13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15</xdr:row>
      <xdr:rowOff>23812</xdr:rowOff>
    </xdr:from>
    <xdr:to>
      <xdr:col>11</xdr:col>
      <xdr:colOff>381000</xdr:colOff>
      <xdr:row>29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</xdr:colOff>
      <xdr:row>31</xdr:row>
      <xdr:rowOff>4762</xdr:rowOff>
    </xdr:from>
    <xdr:to>
      <xdr:col>11</xdr:col>
      <xdr:colOff>381000</xdr:colOff>
      <xdr:row>42</xdr:row>
      <xdr:rowOff>128587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45</xdr:row>
      <xdr:rowOff>4762</xdr:rowOff>
    </xdr:from>
    <xdr:to>
      <xdr:col>11</xdr:col>
      <xdr:colOff>381000</xdr:colOff>
      <xdr:row>58</xdr:row>
      <xdr:rowOff>61912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638175</xdr:colOff>
      <xdr:row>48</xdr:row>
      <xdr:rowOff>66675</xdr:rowOff>
    </xdr:from>
    <xdr:to>
      <xdr:col>10</xdr:col>
      <xdr:colOff>590550</xdr:colOff>
      <xdr:row>50</xdr:row>
      <xdr:rowOff>19051</xdr:rowOff>
    </xdr:to>
    <xdr:sp macro="" textlink="">
      <xdr:nvSpPr>
        <xdr:cNvPr id="6" name="Llamada rectangular 5"/>
        <xdr:cNvSpPr/>
      </xdr:nvSpPr>
      <xdr:spPr>
        <a:xfrm>
          <a:off x="9239250" y="10125075"/>
          <a:ext cx="1476375" cy="333376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 u="sng">
              <a:solidFill>
                <a:schemeClr val="accent6">
                  <a:lumMod val="50000"/>
                </a:schemeClr>
              </a:solidFill>
            </a:rPr>
            <a:t>VARIACIÓN  ABSOLUTA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0.6418</cdr:x>
      <cdr:y>0.45602</cdr:y>
    </cdr:from>
    <cdr:to>
      <cdr:x>0.68616</cdr:x>
      <cdr:y>0.68171</cdr:y>
    </cdr:to>
    <cdr:sp macro="" textlink="">
      <cdr:nvSpPr>
        <cdr:cNvPr id="2" name="Flecha abajo 1"/>
        <cdr:cNvSpPr/>
      </cdr:nvSpPr>
      <cdr:spPr>
        <a:xfrm xmlns:a="http://schemas.openxmlformats.org/drawingml/2006/main">
          <a:off x="3032125" y="1250950"/>
          <a:ext cx="209550" cy="61912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0">
          <a:schemeClr val="accent4"/>
        </a:lnRef>
        <a:fillRef xmlns:a="http://schemas.openxmlformats.org/drawingml/2006/main" idx="3">
          <a:schemeClr val="accent4"/>
        </a:fillRef>
        <a:effectRef xmlns:a="http://schemas.openxmlformats.org/drawingml/2006/main" idx="3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CO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56</xdr:row>
      <xdr:rowOff>76200</xdr:rowOff>
    </xdr:from>
    <xdr:to>
      <xdr:col>5</xdr:col>
      <xdr:colOff>533400</xdr:colOff>
      <xdr:row>58</xdr:row>
      <xdr:rowOff>104775</xdr:rowOff>
    </xdr:to>
    <xdr:sp macro="" textlink="">
      <xdr:nvSpPr>
        <xdr:cNvPr id="2" name="Flecha abajo 1"/>
        <xdr:cNvSpPr/>
      </xdr:nvSpPr>
      <xdr:spPr>
        <a:xfrm>
          <a:off x="4133850" y="11334750"/>
          <a:ext cx="209550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523875</xdr:colOff>
      <xdr:row>56</xdr:row>
      <xdr:rowOff>66675</xdr:rowOff>
    </xdr:from>
    <xdr:to>
      <xdr:col>7</xdr:col>
      <xdr:colOff>733425</xdr:colOff>
      <xdr:row>58</xdr:row>
      <xdr:rowOff>95250</xdr:rowOff>
    </xdr:to>
    <xdr:sp macro="" textlink="">
      <xdr:nvSpPr>
        <xdr:cNvPr id="3" name="Flecha abajo 2"/>
        <xdr:cNvSpPr/>
      </xdr:nvSpPr>
      <xdr:spPr>
        <a:xfrm>
          <a:off x="5857875" y="11325225"/>
          <a:ext cx="209550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47625</xdr:colOff>
      <xdr:row>54</xdr:row>
      <xdr:rowOff>9525</xdr:rowOff>
    </xdr:from>
    <xdr:to>
      <xdr:col>12</xdr:col>
      <xdr:colOff>257175</xdr:colOff>
      <xdr:row>56</xdr:row>
      <xdr:rowOff>38100</xdr:rowOff>
    </xdr:to>
    <xdr:sp macro="" textlink="">
      <xdr:nvSpPr>
        <xdr:cNvPr id="4" name="Flecha abajo 3"/>
        <xdr:cNvSpPr/>
      </xdr:nvSpPr>
      <xdr:spPr>
        <a:xfrm>
          <a:off x="9505950" y="10887075"/>
          <a:ext cx="209550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561974</xdr:colOff>
      <xdr:row>53</xdr:row>
      <xdr:rowOff>180975</xdr:rowOff>
    </xdr:from>
    <xdr:to>
      <xdr:col>14</xdr:col>
      <xdr:colOff>761999</xdr:colOff>
      <xdr:row>56</xdr:row>
      <xdr:rowOff>9525</xdr:rowOff>
    </xdr:to>
    <xdr:sp macro="" textlink="">
      <xdr:nvSpPr>
        <xdr:cNvPr id="5" name="Flecha abajo 4"/>
        <xdr:cNvSpPr/>
      </xdr:nvSpPr>
      <xdr:spPr>
        <a:xfrm>
          <a:off x="11544299" y="10868025"/>
          <a:ext cx="20002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219075</xdr:colOff>
      <xdr:row>66</xdr:row>
      <xdr:rowOff>95250</xdr:rowOff>
    </xdr:from>
    <xdr:to>
      <xdr:col>4</xdr:col>
      <xdr:colOff>219075</xdr:colOff>
      <xdr:row>70</xdr:row>
      <xdr:rowOff>38100</xdr:rowOff>
    </xdr:to>
    <xdr:cxnSp macro="">
      <xdr:nvCxnSpPr>
        <xdr:cNvPr id="7" name="Conector recto 6"/>
        <xdr:cNvCxnSpPr/>
      </xdr:nvCxnSpPr>
      <xdr:spPr>
        <a:xfrm>
          <a:off x="3267075" y="13315950"/>
          <a:ext cx="0" cy="7143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66</xdr:row>
      <xdr:rowOff>66675</xdr:rowOff>
    </xdr:from>
    <xdr:to>
      <xdr:col>12</xdr:col>
      <xdr:colOff>352425</xdr:colOff>
      <xdr:row>70</xdr:row>
      <xdr:rowOff>9525</xdr:rowOff>
    </xdr:to>
    <xdr:cxnSp macro="">
      <xdr:nvCxnSpPr>
        <xdr:cNvPr id="8" name="Conector recto 7"/>
        <xdr:cNvCxnSpPr/>
      </xdr:nvCxnSpPr>
      <xdr:spPr>
        <a:xfrm>
          <a:off x="9810750" y="13287375"/>
          <a:ext cx="0" cy="7143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70</xdr:row>
      <xdr:rowOff>38100</xdr:rowOff>
    </xdr:from>
    <xdr:to>
      <xdr:col>6</xdr:col>
      <xdr:colOff>457200</xdr:colOff>
      <xdr:row>70</xdr:row>
      <xdr:rowOff>38100</xdr:rowOff>
    </xdr:to>
    <xdr:cxnSp macro="">
      <xdr:nvCxnSpPr>
        <xdr:cNvPr id="10" name="Conector recto de flecha 9"/>
        <xdr:cNvCxnSpPr/>
      </xdr:nvCxnSpPr>
      <xdr:spPr>
        <a:xfrm>
          <a:off x="3248025" y="14030325"/>
          <a:ext cx="17811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70</xdr:row>
      <xdr:rowOff>9525</xdr:rowOff>
    </xdr:from>
    <xdr:to>
      <xdr:col>12</xdr:col>
      <xdr:colOff>371475</xdr:colOff>
      <xdr:row>70</xdr:row>
      <xdr:rowOff>9525</xdr:rowOff>
    </xdr:to>
    <xdr:cxnSp macro="">
      <xdr:nvCxnSpPr>
        <xdr:cNvPr id="12" name="Conector recto de flecha 11"/>
        <xdr:cNvCxnSpPr/>
      </xdr:nvCxnSpPr>
      <xdr:spPr>
        <a:xfrm flipH="1">
          <a:off x="8963025" y="14001750"/>
          <a:ext cx="866775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6" workbookViewId="0">
      <selection activeCell="B8" sqref="B8"/>
    </sheetView>
  </sheetViews>
  <sheetFormatPr baseColWidth="10" defaultRowHeight="15" x14ac:dyDescent="0.25"/>
  <cols>
    <col min="2" max="2" width="42.42578125" customWidth="1"/>
    <col min="3" max="3" width="52.140625" bestFit="1" customWidth="1"/>
    <col min="4" max="4" width="16.140625" customWidth="1"/>
    <col min="6" max="6" width="32.140625" customWidth="1"/>
    <col min="7" max="7" width="16.85546875" customWidth="1"/>
  </cols>
  <sheetData>
    <row r="1" spans="1:11" x14ac:dyDescent="0.25">
      <c r="A1" s="94"/>
      <c r="B1" s="94"/>
      <c r="C1" s="94"/>
      <c r="D1" s="94"/>
      <c r="E1" s="94"/>
      <c r="F1" s="94"/>
      <c r="G1" s="94"/>
    </row>
    <row r="2" spans="1:11" x14ac:dyDescent="0.25">
      <c r="A2" s="196" t="s">
        <v>84</v>
      </c>
      <c r="B2" s="196"/>
      <c r="C2" s="196"/>
      <c r="D2" s="196"/>
      <c r="E2" s="196"/>
      <c r="F2" s="196"/>
      <c r="G2" s="196"/>
    </row>
    <row r="3" spans="1:11" x14ac:dyDescent="0.25">
      <c r="A3" s="95"/>
      <c r="B3" s="95"/>
      <c r="C3" s="96" t="s">
        <v>41</v>
      </c>
      <c r="D3" s="97">
        <v>200000</v>
      </c>
      <c r="E3" s="95"/>
      <c r="F3" s="95"/>
      <c r="G3" s="95"/>
    </row>
    <row r="4" spans="1:11" x14ac:dyDescent="0.25">
      <c r="A4" s="95"/>
      <c r="B4" s="95"/>
      <c r="C4" s="96" t="s">
        <v>42</v>
      </c>
      <c r="D4" s="97">
        <v>3</v>
      </c>
      <c r="E4" s="95"/>
      <c r="F4" s="95"/>
      <c r="G4" s="95"/>
    </row>
    <row r="5" spans="1:11" ht="15.75" thickBot="1" x14ac:dyDescent="0.3">
      <c r="A5" s="95"/>
      <c r="B5" s="95"/>
      <c r="C5" s="97"/>
      <c r="D5" s="97"/>
      <c r="E5" s="95"/>
      <c r="F5" s="95"/>
      <c r="G5" s="95"/>
    </row>
    <row r="6" spans="1:11" ht="30.75" thickBot="1" x14ac:dyDescent="0.3">
      <c r="A6" s="98" t="s">
        <v>43</v>
      </c>
      <c r="B6" s="98" t="s">
        <v>44</v>
      </c>
      <c r="C6" s="98" t="s">
        <v>45</v>
      </c>
      <c r="D6" s="98" t="s">
        <v>46</v>
      </c>
      <c r="E6" s="98" t="s">
        <v>47</v>
      </c>
      <c r="F6" s="98" t="s">
        <v>48</v>
      </c>
      <c r="G6" s="99" t="s">
        <v>49</v>
      </c>
    </row>
    <row r="7" spans="1:11" ht="195.75" thickBot="1" x14ac:dyDescent="0.3">
      <c r="A7" s="100" t="s">
        <v>50</v>
      </c>
      <c r="B7" s="101" t="s">
        <v>51</v>
      </c>
      <c r="C7" s="102" t="s">
        <v>52</v>
      </c>
      <c r="D7" s="102" t="s">
        <v>53</v>
      </c>
      <c r="E7" s="102" t="s">
        <v>54</v>
      </c>
      <c r="F7" s="102" t="s">
        <v>55</v>
      </c>
      <c r="G7" s="103">
        <f>FV(0.017,3,,-200000,0)</f>
        <v>210374.38259999992</v>
      </c>
    </row>
    <row r="8" spans="1:11" ht="315.75" thickBot="1" x14ac:dyDescent="0.3">
      <c r="A8" s="104" t="s">
        <v>56</v>
      </c>
      <c r="B8" s="102" t="s">
        <v>57</v>
      </c>
      <c r="C8" s="102" t="s">
        <v>58</v>
      </c>
      <c r="D8" s="105" t="s">
        <v>59</v>
      </c>
      <c r="E8" s="102" t="s">
        <v>60</v>
      </c>
      <c r="F8" s="102" t="s">
        <v>61</v>
      </c>
      <c r="G8" s="106">
        <f>FV(0.0001,3,,-200000,0)</f>
        <v>200060.00600019997</v>
      </c>
    </row>
    <row r="9" spans="1:11" ht="164.25" customHeight="1" thickBot="1" x14ac:dyDescent="0.3">
      <c r="A9" s="100" t="s">
        <v>62</v>
      </c>
      <c r="B9" s="102" t="s">
        <v>63</v>
      </c>
      <c r="C9" s="102" t="s">
        <v>64</v>
      </c>
      <c r="D9" s="105" t="s">
        <v>59</v>
      </c>
      <c r="E9" s="105" t="s">
        <v>65</v>
      </c>
      <c r="F9" s="105" t="s">
        <v>66</v>
      </c>
      <c r="G9" s="106">
        <f>FV(0.03,3,,-200000,0)</f>
        <v>218545.4</v>
      </c>
    </row>
    <row r="10" spans="1:11" x14ac:dyDescent="0.25">
      <c r="K10" s="107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H9" sqref="H9"/>
    </sheetView>
  </sheetViews>
  <sheetFormatPr baseColWidth="10" defaultRowHeight="15" x14ac:dyDescent="0.25"/>
  <cols>
    <col min="3" max="3" width="10.7109375" customWidth="1"/>
    <col min="4" max="4" width="16.28515625" customWidth="1"/>
    <col min="5" max="5" width="12.5703125" bestFit="1" customWidth="1"/>
    <col min="6" max="6" width="17.5703125" customWidth="1"/>
    <col min="7" max="7" width="15.42578125" customWidth="1"/>
    <col min="8" max="8" width="17.5703125" customWidth="1"/>
    <col min="9" max="9" width="14.7109375" customWidth="1"/>
  </cols>
  <sheetData>
    <row r="1" spans="1:9" ht="15.75" customHeight="1" thickBot="1" x14ac:dyDescent="0.35">
      <c r="A1" s="200" t="s">
        <v>0</v>
      </c>
      <c r="B1" s="201"/>
      <c r="C1" s="201"/>
      <c r="D1" s="201"/>
      <c r="E1" s="201"/>
      <c r="F1" s="201"/>
      <c r="G1" s="201"/>
      <c r="H1" s="202"/>
      <c r="I1" s="137"/>
    </row>
    <row r="2" spans="1:9" ht="39" x14ac:dyDescent="0.25">
      <c r="A2" s="138" t="s">
        <v>2</v>
      </c>
      <c r="B2" s="1"/>
      <c r="C2" s="1"/>
      <c r="D2" s="2" t="s">
        <v>3</v>
      </c>
      <c r="E2" s="139"/>
      <c r="F2" s="3" t="s">
        <v>4</v>
      </c>
      <c r="G2" s="2" t="s">
        <v>81</v>
      </c>
      <c r="H2" s="140">
        <v>2019</v>
      </c>
      <c r="I2" s="141"/>
    </row>
    <row r="3" spans="1:9" x14ac:dyDescent="0.25">
      <c r="A3" s="142" t="s">
        <v>9</v>
      </c>
      <c r="B3" s="143"/>
      <c r="C3" s="143"/>
      <c r="D3" s="144">
        <v>43859</v>
      </c>
      <c r="E3" s="145"/>
      <c r="F3" s="163" t="s">
        <v>10</v>
      </c>
      <c r="G3" s="170">
        <v>4.4299999999999999E-2</v>
      </c>
      <c r="H3" s="147">
        <v>165000000</v>
      </c>
      <c r="I3" s="148"/>
    </row>
    <row r="4" spans="1:9" x14ac:dyDescent="0.25">
      <c r="A4" s="142" t="s">
        <v>11</v>
      </c>
      <c r="B4" s="143"/>
      <c r="C4" s="143"/>
      <c r="D4" s="144">
        <v>43861</v>
      </c>
      <c r="E4" s="145"/>
      <c r="F4" s="163" t="s">
        <v>10</v>
      </c>
      <c r="G4" s="170">
        <v>4.5699999999999998E-2</v>
      </c>
      <c r="H4" s="147">
        <v>270076224</v>
      </c>
      <c r="I4" s="148"/>
    </row>
    <row r="5" spans="1:9" x14ac:dyDescent="0.25">
      <c r="A5" s="149" t="s">
        <v>12</v>
      </c>
      <c r="B5" s="150"/>
      <c r="C5" s="151"/>
      <c r="D5" s="144">
        <v>43839</v>
      </c>
      <c r="E5" s="152"/>
      <c r="F5" s="163" t="s">
        <v>10</v>
      </c>
      <c r="G5" s="170">
        <v>4.5224E-2</v>
      </c>
      <c r="H5" s="147">
        <v>87178550</v>
      </c>
      <c r="I5" s="153"/>
    </row>
    <row r="6" spans="1:9" ht="15.75" thickBot="1" x14ac:dyDescent="0.3">
      <c r="A6" s="154" t="s">
        <v>30</v>
      </c>
      <c r="B6" s="155"/>
      <c r="C6" s="155"/>
      <c r="D6" s="156"/>
      <c r="E6" s="157"/>
      <c r="F6" s="164"/>
      <c r="G6" s="158"/>
      <c r="H6" s="159">
        <f>SUM(H3:H5)</f>
        <v>522254774</v>
      </c>
      <c r="I6" s="160"/>
    </row>
    <row r="7" spans="1:9" ht="15.75" thickTop="1" x14ac:dyDescent="0.25">
      <c r="A7" s="149" t="s">
        <v>13</v>
      </c>
      <c r="B7" s="150"/>
      <c r="C7" s="150"/>
      <c r="D7" s="144">
        <v>43839</v>
      </c>
      <c r="E7" s="152"/>
      <c r="F7" s="163" t="s">
        <v>10</v>
      </c>
      <c r="G7" s="170">
        <v>4.5706999999999998E-2</v>
      </c>
      <c r="H7" s="147">
        <v>350000000</v>
      </c>
      <c r="I7" s="153"/>
    </row>
    <row r="8" spans="1:9" x14ac:dyDescent="0.25">
      <c r="A8" s="142" t="s">
        <v>14</v>
      </c>
      <c r="B8" s="143"/>
      <c r="C8" s="150"/>
      <c r="D8" s="161">
        <v>43859</v>
      </c>
      <c r="E8" s="145"/>
      <c r="F8" s="165" t="s">
        <v>10</v>
      </c>
      <c r="G8" s="171">
        <v>4.4999999999999998E-2</v>
      </c>
      <c r="H8" s="147">
        <v>6976760</v>
      </c>
      <c r="I8" s="153"/>
    </row>
    <row r="9" spans="1:9" ht="15.75" thickBot="1" x14ac:dyDescent="0.3">
      <c r="A9" s="154" t="s">
        <v>31</v>
      </c>
      <c r="B9" s="162"/>
      <c r="C9" s="162"/>
      <c r="D9" s="158"/>
      <c r="E9" s="158"/>
      <c r="F9" s="164"/>
      <c r="G9" s="158"/>
      <c r="H9" s="159">
        <f>SUM(H7:H8)</f>
        <v>356976760</v>
      </c>
      <c r="I9" s="160"/>
    </row>
    <row r="10" spans="1:9" ht="15.75" thickTop="1" x14ac:dyDescent="0.25"/>
    <row r="12" spans="1:9" ht="15.75" thickBot="1" x14ac:dyDescent="0.3"/>
    <row r="13" spans="1:9" ht="19.5" thickBot="1" x14ac:dyDescent="0.35">
      <c r="A13" s="200" t="s">
        <v>23</v>
      </c>
      <c r="B13" s="201"/>
      <c r="C13" s="201"/>
      <c r="D13" s="201"/>
      <c r="E13" s="201"/>
      <c r="F13" s="201"/>
      <c r="G13" s="202"/>
    </row>
    <row r="14" spans="1:9" ht="19.5" customHeight="1" thickBot="1" x14ac:dyDescent="0.35">
      <c r="A14" s="205" t="s">
        <v>127</v>
      </c>
      <c r="B14" s="206"/>
      <c r="C14" s="206"/>
      <c r="D14" s="206"/>
      <c r="E14" s="206"/>
      <c r="F14" s="192"/>
      <c r="G14" s="189"/>
    </row>
    <row r="15" spans="1:9" ht="26.25" x14ac:dyDescent="0.25">
      <c r="A15" s="138" t="s">
        <v>2</v>
      </c>
      <c r="B15" s="1"/>
      <c r="C15" s="1"/>
      <c r="D15" s="2" t="s">
        <v>3</v>
      </c>
      <c r="E15" s="3" t="s">
        <v>4</v>
      </c>
      <c r="F15" s="2" t="s">
        <v>83</v>
      </c>
      <c r="G15" s="140">
        <v>2019</v>
      </c>
    </row>
    <row r="16" spans="1:9" x14ac:dyDescent="0.25">
      <c r="A16" s="203" t="s">
        <v>129</v>
      </c>
      <c r="B16" s="204"/>
      <c r="C16" s="204"/>
      <c r="D16" s="78">
        <v>43861</v>
      </c>
      <c r="E16" s="146" t="s">
        <v>10</v>
      </c>
      <c r="F16" s="68">
        <v>8.43E-2</v>
      </c>
      <c r="G16" s="166">
        <f>'PROYECCIONES FINANCIERAS'!G21</f>
        <v>522254774</v>
      </c>
    </row>
    <row r="17" spans="1:7" ht="15.75" thickBot="1" x14ac:dyDescent="0.3">
      <c r="A17" s="167" t="s">
        <v>128</v>
      </c>
      <c r="B17" s="8"/>
      <c r="C17" s="8"/>
      <c r="D17" s="9"/>
      <c r="E17" s="10"/>
      <c r="F17" s="10"/>
      <c r="G17" s="58">
        <f>SUM(G16:G16)</f>
        <v>522254774</v>
      </c>
    </row>
    <row r="18" spans="1:7" ht="19.5" thickBot="1" x14ac:dyDescent="0.35">
      <c r="A18" s="205" t="s">
        <v>25</v>
      </c>
      <c r="B18" s="206"/>
      <c r="C18" s="206"/>
      <c r="D18" s="206"/>
      <c r="E18" s="133"/>
      <c r="F18" s="133"/>
      <c r="G18" s="134"/>
    </row>
    <row r="19" spans="1:7" x14ac:dyDescent="0.25">
      <c r="A19" s="168"/>
      <c r="B19" s="150"/>
      <c r="C19" s="38"/>
      <c r="D19" s="38"/>
      <c r="E19" s="38"/>
      <c r="F19" s="38"/>
      <c r="G19" s="169"/>
    </row>
    <row r="20" spans="1:7" x14ac:dyDescent="0.25">
      <c r="A20" s="207" t="s">
        <v>130</v>
      </c>
      <c r="B20" s="208"/>
      <c r="C20" s="208"/>
      <c r="D20" s="78">
        <v>43859</v>
      </c>
      <c r="E20" s="146" t="s">
        <v>10</v>
      </c>
      <c r="F20" s="68">
        <v>0.1421</v>
      </c>
      <c r="G20" s="166">
        <f>'PROYECCIONES FINANCIERAS'!G25</f>
        <v>356976760</v>
      </c>
    </row>
    <row r="21" spans="1:7" x14ac:dyDescent="0.25">
      <c r="A21" s="167" t="s">
        <v>26</v>
      </c>
      <c r="B21" s="8"/>
      <c r="C21" s="8"/>
      <c r="D21" s="9"/>
      <c r="E21" s="10"/>
      <c r="F21" s="10"/>
      <c r="G21" s="58">
        <f>SUM(G20:G20)</f>
        <v>356976760</v>
      </c>
    </row>
    <row r="22" spans="1:7" ht="15.75" thickBot="1" x14ac:dyDescent="0.3">
      <c r="A22" s="197"/>
      <c r="B22" s="198"/>
      <c r="C22" s="198"/>
      <c r="D22" s="198"/>
      <c r="E22" s="198"/>
      <c r="F22" s="198"/>
      <c r="G22" s="199"/>
    </row>
  </sheetData>
  <mergeCells count="7">
    <mergeCell ref="A22:G22"/>
    <mergeCell ref="A1:H1"/>
    <mergeCell ref="A13:G13"/>
    <mergeCell ref="A16:C16"/>
    <mergeCell ref="A18:D18"/>
    <mergeCell ref="A20:C20"/>
    <mergeCell ref="A14:E14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Normal="100" workbookViewId="0">
      <selection activeCell="Z27" sqref="Z27"/>
    </sheetView>
  </sheetViews>
  <sheetFormatPr baseColWidth="10" defaultColWidth="11.42578125" defaultRowHeight="15" x14ac:dyDescent="0.25"/>
  <cols>
    <col min="1" max="1" width="16.85546875" customWidth="1"/>
    <col min="2" max="2" width="13.5703125" customWidth="1"/>
    <col min="4" max="4" width="14.85546875" customWidth="1"/>
    <col min="5" max="5" width="12.140625" customWidth="1"/>
    <col min="6" max="6" width="12.5703125" bestFit="1" customWidth="1"/>
    <col min="7" max="8" width="17" customWidth="1"/>
    <col min="9" max="9" width="19" customWidth="1"/>
    <col min="10" max="10" width="17.85546875" customWidth="1"/>
    <col min="11" max="11" width="14.140625" customWidth="1"/>
    <col min="12" max="12" width="15.140625" customWidth="1"/>
    <col min="13" max="13" width="17.7109375" customWidth="1"/>
    <col min="14" max="14" width="16.28515625" customWidth="1"/>
    <col min="15" max="15" width="12.28515625" customWidth="1"/>
    <col min="16" max="16" width="15.42578125" customWidth="1"/>
    <col min="17" max="17" width="17.85546875" customWidth="1"/>
    <col min="18" max="18" width="17.140625" customWidth="1"/>
    <col min="19" max="19" width="13.5703125" customWidth="1"/>
    <col min="20" max="20" width="15.42578125" customWidth="1"/>
    <col min="21" max="21" width="15" customWidth="1"/>
    <col min="22" max="22" width="13.28515625" customWidth="1"/>
    <col min="23" max="23" width="12.140625" customWidth="1"/>
    <col min="24" max="24" width="14.85546875" customWidth="1"/>
    <col min="25" max="25" width="15.140625" customWidth="1"/>
    <col min="26" max="26" width="14.28515625" customWidth="1"/>
    <col min="27" max="27" width="12.7109375" customWidth="1"/>
    <col min="28" max="28" width="15.140625" bestFit="1" customWidth="1"/>
    <col min="29" max="29" width="19.5703125" bestFit="1" customWidth="1"/>
  </cols>
  <sheetData>
    <row r="1" spans="1:28" ht="15.75" thickBot="1" x14ac:dyDescent="0.3"/>
    <row r="2" spans="1:28" ht="26.25" customHeight="1" thickBot="1" x14ac:dyDescent="0.35">
      <c r="A2" s="241" t="s">
        <v>0</v>
      </c>
      <c r="B2" s="242"/>
      <c r="C2" s="242"/>
      <c r="D2" s="242"/>
      <c r="E2" s="242"/>
      <c r="F2" s="242"/>
      <c r="G2" s="242"/>
      <c r="H2" s="225" t="s">
        <v>1</v>
      </c>
      <c r="I2" s="226"/>
      <c r="J2" s="226"/>
      <c r="K2" s="227"/>
      <c r="L2" s="225" t="s">
        <v>32</v>
      </c>
      <c r="M2" s="226"/>
      <c r="N2" s="226"/>
      <c r="O2" s="226"/>
      <c r="P2" s="225" t="s">
        <v>33</v>
      </c>
      <c r="Q2" s="226"/>
      <c r="R2" s="226"/>
      <c r="S2" s="226"/>
      <c r="T2" s="225" t="s">
        <v>34</v>
      </c>
      <c r="U2" s="226"/>
      <c r="V2" s="226"/>
      <c r="W2" s="227"/>
      <c r="X2" s="225" t="s">
        <v>36</v>
      </c>
      <c r="Y2" s="226"/>
      <c r="Z2" s="226"/>
      <c r="AA2" s="227"/>
    </row>
    <row r="3" spans="1:28" ht="39" x14ac:dyDescent="0.25">
      <c r="A3" s="42" t="s">
        <v>2</v>
      </c>
      <c r="B3" s="14"/>
      <c r="C3" s="14"/>
      <c r="D3" s="79" t="s">
        <v>3</v>
      </c>
      <c r="E3" s="3" t="s">
        <v>4</v>
      </c>
      <c r="F3" s="2" t="s">
        <v>5</v>
      </c>
      <c r="G3" s="15">
        <v>2019</v>
      </c>
      <c r="H3" s="50" t="s">
        <v>29</v>
      </c>
      <c r="I3" s="49" t="s">
        <v>6</v>
      </c>
      <c r="J3" s="49" t="s">
        <v>7</v>
      </c>
      <c r="K3" s="51" t="s">
        <v>8</v>
      </c>
      <c r="L3" s="55" t="s">
        <v>29</v>
      </c>
      <c r="M3" s="21" t="s">
        <v>6</v>
      </c>
      <c r="N3" s="21" t="s">
        <v>7</v>
      </c>
      <c r="O3" s="61" t="s">
        <v>8</v>
      </c>
      <c r="P3" s="55" t="s">
        <v>29</v>
      </c>
      <c r="Q3" s="21" t="s">
        <v>6</v>
      </c>
      <c r="R3" s="21" t="s">
        <v>7</v>
      </c>
      <c r="S3" s="61" t="s">
        <v>8</v>
      </c>
      <c r="T3" s="60" t="s">
        <v>29</v>
      </c>
      <c r="U3" s="53" t="s">
        <v>6</v>
      </c>
      <c r="V3" s="21" t="s">
        <v>7</v>
      </c>
      <c r="W3" s="56" t="s">
        <v>8</v>
      </c>
      <c r="X3" s="60" t="s">
        <v>29</v>
      </c>
      <c r="Y3" s="21" t="s">
        <v>6</v>
      </c>
      <c r="Z3" s="21" t="s">
        <v>7</v>
      </c>
      <c r="AA3" s="56" t="s">
        <v>8</v>
      </c>
    </row>
    <row r="4" spans="1:28" x14ac:dyDescent="0.25">
      <c r="A4" s="235" t="s">
        <v>9</v>
      </c>
      <c r="B4" s="236"/>
      <c r="C4" s="236"/>
      <c r="D4" s="78">
        <v>43859</v>
      </c>
      <c r="E4" s="43" t="s">
        <v>10</v>
      </c>
      <c r="F4" s="68">
        <v>1.11E-2</v>
      </c>
      <c r="G4" s="48">
        <v>165000000</v>
      </c>
      <c r="H4" s="80">
        <v>43767</v>
      </c>
      <c r="I4" s="19">
        <f>FV(F4,1,,-G4,0)</f>
        <v>166831500.00000003</v>
      </c>
      <c r="J4" s="19">
        <f>I4-G4</f>
        <v>1831500.0000000298</v>
      </c>
      <c r="K4" s="77">
        <f>D4</f>
        <v>43859</v>
      </c>
      <c r="L4" s="82">
        <v>43860</v>
      </c>
      <c r="M4" s="19">
        <f>FV(F4,1,,-I4,0)</f>
        <v>168683329.65000004</v>
      </c>
      <c r="N4" s="19">
        <f>M4-I4</f>
        <v>1851829.650000006</v>
      </c>
      <c r="O4" s="77">
        <v>43951</v>
      </c>
      <c r="P4" s="82">
        <v>43952</v>
      </c>
      <c r="Q4" s="19">
        <f>FV(F4,1,,-M4,0)</f>
        <v>170555714.60911506</v>
      </c>
      <c r="R4" s="63">
        <f>Q4-M4</f>
        <v>1872384.9591150284</v>
      </c>
      <c r="S4" s="77">
        <v>44044</v>
      </c>
      <c r="T4" s="82">
        <v>44045</v>
      </c>
      <c r="U4" s="54">
        <f>FV(F4,1,,-Q4,0)</f>
        <v>172448883.04127625</v>
      </c>
      <c r="V4" s="19">
        <f>U4-Q4</f>
        <v>1893168.4321611822</v>
      </c>
      <c r="W4" s="85">
        <v>44137</v>
      </c>
      <c r="X4" s="82">
        <v>44138</v>
      </c>
      <c r="Y4" s="54">
        <f>FV(F4,1,,-U4,0)</f>
        <v>174363065.64303443</v>
      </c>
      <c r="Z4" s="19">
        <f>Y4-U4</f>
        <v>1914182.601758182</v>
      </c>
      <c r="AA4" s="88">
        <v>44230</v>
      </c>
      <c r="AB4" s="67"/>
    </row>
    <row r="5" spans="1:28" x14ac:dyDescent="0.25">
      <c r="A5" s="237" t="s">
        <v>11</v>
      </c>
      <c r="B5" s="238"/>
      <c r="C5" s="238"/>
      <c r="D5" s="78">
        <v>43861</v>
      </c>
      <c r="E5" s="43" t="s">
        <v>10</v>
      </c>
      <c r="F5" s="68">
        <v>1.14E-2</v>
      </c>
      <c r="G5" s="48">
        <v>270076224</v>
      </c>
      <c r="H5" s="80">
        <v>43769</v>
      </c>
      <c r="I5" s="19">
        <f>FV(F5,1,,-G5,0)</f>
        <v>273155092.95360005</v>
      </c>
      <c r="J5" s="18">
        <f>I5-G5</f>
        <v>3078868.953600049</v>
      </c>
      <c r="K5" s="77">
        <f t="shared" ref="K5:K6" si="0">D5</f>
        <v>43861</v>
      </c>
      <c r="L5" s="82">
        <v>43862</v>
      </c>
      <c r="M5" s="19">
        <f>FV(F5,1,,-I5,0)</f>
        <v>276269061.01327109</v>
      </c>
      <c r="N5" s="18">
        <f>M5-I5</f>
        <v>3113968.0596710443</v>
      </c>
      <c r="O5" s="77">
        <v>43952</v>
      </c>
      <c r="P5" s="82">
        <v>43953</v>
      </c>
      <c r="Q5" s="19">
        <f>FV(F5,1,,-M5,0)</f>
        <v>279418528.30882239</v>
      </c>
      <c r="R5" s="63">
        <f>Q5-M5</f>
        <v>3149467.2955513</v>
      </c>
      <c r="S5" s="77">
        <v>44045</v>
      </c>
      <c r="T5" s="82">
        <v>44046</v>
      </c>
      <c r="U5" s="54">
        <f>FV(F5,1,,-Q5,0)</f>
        <v>282603899.53154302</v>
      </c>
      <c r="V5" s="19">
        <f>U5-Q5</f>
        <v>3185371.222720623</v>
      </c>
      <c r="W5" s="85">
        <v>44138</v>
      </c>
      <c r="X5" s="82">
        <v>44139</v>
      </c>
      <c r="Y5" s="19">
        <f>FV(F5,1,,-U5,0)</f>
        <v>285825583.98620266</v>
      </c>
      <c r="Z5" s="18">
        <f>Y5-U5</f>
        <v>3221684.4546596408</v>
      </c>
      <c r="AA5" s="88">
        <v>44231</v>
      </c>
      <c r="AB5" s="67"/>
    </row>
    <row r="6" spans="1:28" x14ac:dyDescent="0.25">
      <c r="A6" s="239" t="s">
        <v>12</v>
      </c>
      <c r="B6" s="240"/>
      <c r="C6" s="240"/>
      <c r="D6" s="78">
        <v>43839</v>
      </c>
      <c r="E6" s="43" t="s">
        <v>10</v>
      </c>
      <c r="F6" s="68">
        <v>1.1299999999999999E-2</v>
      </c>
      <c r="G6" s="48">
        <v>87178550</v>
      </c>
      <c r="H6" s="81">
        <v>43747</v>
      </c>
      <c r="I6" s="19">
        <f>FV(F6,1,,-G6,0)</f>
        <v>88163667.61500001</v>
      </c>
      <c r="J6" s="18">
        <f>I6-G6</f>
        <v>985117.61500000954</v>
      </c>
      <c r="K6" s="78">
        <f t="shared" si="0"/>
        <v>43839</v>
      </c>
      <c r="L6" s="83">
        <v>43840</v>
      </c>
      <c r="M6" s="19">
        <f>FV(F6,1,,-I6,0)</f>
        <v>89159917.059049517</v>
      </c>
      <c r="N6" s="18">
        <f>M6-I6</f>
        <v>996249.44404950738</v>
      </c>
      <c r="O6" s="78">
        <v>43931</v>
      </c>
      <c r="P6" s="83">
        <v>43932</v>
      </c>
      <c r="Q6" s="19">
        <f>FV(F6,1,,-M6,0)</f>
        <v>90167424.121816784</v>
      </c>
      <c r="R6" s="19">
        <f>Q6-M6</f>
        <v>1007507.0627672672</v>
      </c>
      <c r="S6" s="78">
        <v>44023</v>
      </c>
      <c r="T6" s="82">
        <v>44024</v>
      </c>
      <c r="U6" s="54">
        <f>FV(F6,1,,-Q6,0)</f>
        <v>91186316.014393315</v>
      </c>
      <c r="V6" s="19">
        <f>U6-Q6</f>
        <v>1018891.8925765306</v>
      </c>
      <c r="W6" s="85">
        <v>44116</v>
      </c>
      <c r="X6" s="82">
        <v>44117</v>
      </c>
      <c r="Y6" s="19">
        <f>FV(F6,1,,-U6,0)</f>
        <v>92216721.385355964</v>
      </c>
      <c r="Z6" s="18">
        <f>Y6-U6</f>
        <v>1030405.3709626496</v>
      </c>
      <c r="AA6" s="88">
        <v>43843</v>
      </c>
      <c r="AB6" s="67"/>
    </row>
    <row r="7" spans="1:28" x14ac:dyDescent="0.25">
      <c r="A7" s="44" t="s">
        <v>30</v>
      </c>
      <c r="B7" s="16"/>
      <c r="C7" s="16"/>
      <c r="D7" s="9"/>
      <c r="E7" s="10"/>
      <c r="F7" s="13"/>
      <c r="G7" s="11">
        <f>SUM(G4:G6)</f>
        <v>522254774</v>
      </c>
      <c r="H7" s="46"/>
      <c r="I7" s="12">
        <f>SUM(I4:I6)</f>
        <v>528150260.56860006</v>
      </c>
      <c r="J7" s="12">
        <f>SUM(J4:J6)</f>
        <v>5895486.5686000884</v>
      </c>
      <c r="K7" s="11"/>
      <c r="L7" s="57"/>
      <c r="M7" s="12">
        <f t="shared" ref="M7:N7" si="1">SUM(M4:M6)</f>
        <v>534112307.72232068</v>
      </c>
      <c r="N7" s="12">
        <f t="shared" si="1"/>
        <v>5962047.1537205577</v>
      </c>
      <c r="O7" s="11"/>
      <c r="P7" s="62"/>
      <c r="Q7" s="20">
        <f t="shared" ref="Q7" si="2">SUM(Q4:Q6)</f>
        <v>540141667.03975427</v>
      </c>
      <c r="R7" s="12">
        <f t="shared" ref="R7" si="3">SUM(R4:R6)</f>
        <v>6029359.3174335957</v>
      </c>
      <c r="S7" s="84"/>
      <c r="T7" s="57"/>
      <c r="U7" s="12">
        <f t="shared" ref="U7" si="4">SUM(U4:U6)</f>
        <v>546239098.58721256</v>
      </c>
      <c r="V7" s="12">
        <f>SUM(V4:V6)</f>
        <v>6097431.5474583358</v>
      </c>
      <c r="W7" s="86"/>
      <c r="X7" s="87"/>
      <c r="Y7" s="12">
        <f t="shared" ref="Y7" si="5">SUM(Y4:Y6)</f>
        <v>552405371.01459301</v>
      </c>
      <c r="Z7" s="12">
        <f t="shared" ref="Z7" si="6">SUM(Z4:Z6)</f>
        <v>6166272.4273804724</v>
      </c>
      <c r="AA7" s="86"/>
      <c r="AB7" s="195"/>
    </row>
    <row r="8" spans="1:28" x14ac:dyDescent="0.25">
      <c r="A8" s="231" t="s">
        <v>13</v>
      </c>
      <c r="B8" s="232"/>
      <c r="C8" s="232"/>
      <c r="D8" s="78">
        <v>43839</v>
      </c>
      <c r="E8" s="43" t="s">
        <v>10</v>
      </c>
      <c r="F8" s="68">
        <v>1.14E-2</v>
      </c>
      <c r="G8" s="48">
        <v>350000000</v>
      </c>
      <c r="H8" s="80">
        <v>43747</v>
      </c>
      <c r="I8" s="19">
        <f>FV(F8,1,,-G8,0)</f>
        <v>353990000</v>
      </c>
      <c r="J8" s="63">
        <f>I8-G8</f>
        <v>3990000</v>
      </c>
      <c r="K8" s="77">
        <f>D8</f>
        <v>43839</v>
      </c>
      <c r="L8" s="83">
        <v>43840</v>
      </c>
      <c r="M8" s="19">
        <f>FV(F8,1,,-I8,0)</f>
        <v>358025486</v>
      </c>
      <c r="N8" s="18">
        <f>M8-I8</f>
        <v>4035486</v>
      </c>
      <c r="O8" s="77">
        <v>43931</v>
      </c>
      <c r="P8" s="83">
        <v>43932</v>
      </c>
      <c r="Q8" s="19">
        <f>FV(F8,1,,-M8,0)</f>
        <v>362106976.54040003</v>
      </c>
      <c r="R8" s="18">
        <f>Q8-M8</f>
        <v>4081490.5404000282</v>
      </c>
      <c r="S8" s="77">
        <v>44023</v>
      </c>
      <c r="T8" s="82">
        <v>44024</v>
      </c>
      <c r="U8" s="54">
        <f>FV(F8,1,,-Q8,0)</f>
        <v>366234996.07296062</v>
      </c>
      <c r="V8" s="19">
        <f>U8-Q8</f>
        <v>4128019.5325605869</v>
      </c>
      <c r="W8" s="85">
        <v>44116</v>
      </c>
      <c r="X8" s="82">
        <v>44117</v>
      </c>
      <c r="Y8" s="19">
        <f>FV(F8,1,,-U8,0)</f>
        <v>370410075.0281924</v>
      </c>
      <c r="Z8" s="18">
        <f>Y8-U8</f>
        <v>4175078.9552317858</v>
      </c>
      <c r="AA8" s="88">
        <v>44209</v>
      </c>
      <c r="AB8" s="67"/>
    </row>
    <row r="9" spans="1:28" x14ac:dyDescent="0.25">
      <c r="A9" s="233" t="s">
        <v>14</v>
      </c>
      <c r="B9" s="234"/>
      <c r="C9" s="234"/>
      <c r="D9" s="78">
        <v>43859</v>
      </c>
      <c r="E9" s="45" t="s">
        <v>10</v>
      </c>
      <c r="F9" s="68">
        <v>1.1299999999999999E-2</v>
      </c>
      <c r="G9" s="48">
        <v>6976760</v>
      </c>
      <c r="H9" s="80">
        <v>43767</v>
      </c>
      <c r="I9" s="19">
        <f>FV(F9,1,,-G9,0)</f>
        <v>7055597.3880000003</v>
      </c>
      <c r="J9" s="19">
        <f>I9-G9</f>
        <v>78837.388000000268</v>
      </c>
      <c r="K9" s="78">
        <f>D9</f>
        <v>43859</v>
      </c>
      <c r="L9" s="82">
        <v>43860</v>
      </c>
      <c r="M9" s="19">
        <f>FV(F9,1,,-I9,0)</f>
        <v>7135325.6384844007</v>
      </c>
      <c r="N9" s="18">
        <f>M9-I9</f>
        <v>79728.250484400429</v>
      </c>
      <c r="O9" s="78">
        <v>43951</v>
      </c>
      <c r="P9" s="82">
        <v>43952</v>
      </c>
      <c r="Q9" s="19">
        <f>FV(F9,1,,-M9,0)</f>
        <v>7215954.8181992751</v>
      </c>
      <c r="R9" s="18">
        <f t="shared" ref="R9" si="7">N9</f>
        <v>79728.250484400429</v>
      </c>
      <c r="S9" s="78">
        <v>44044</v>
      </c>
      <c r="T9" s="82">
        <v>44045</v>
      </c>
      <c r="U9" s="54">
        <f>FV(F9,1,,-Q9,0)</f>
        <v>7297495.1076449277</v>
      </c>
      <c r="V9" s="19">
        <f>U9-Q9</f>
        <v>81540.289445652626</v>
      </c>
      <c r="W9" s="85">
        <v>44137</v>
      </c>
      <c r="X9" s="82">
        <v>44138</v>
      </c>
      <c r="Y9" s="19">
        <f>FV(F9,1,,-U9,0)</f>
        <v>7379956.802361316</v>
      </c>
      <c r="Z9" s="18">
        <f>Y9-U9</f>
        <v>82461.69471638836</v>
      </c>
      <c r="AA9" s="88">
        <v>44230</v>
      </c>
      <c r="AB9" s="67"/>
    </row>
    <row r="10" spans="1:28" x14ac:dyDescent="0.25">
      <c r="A10" s="44" t="s">
        <v>31</v>
      </c>
      <c r="B10" s="69"/>
      <c r="C10" s="69"/>
      <c r="D10" s="10"/>
      <c r="E10" s="10"/>
      <c r="F10" s="10"/>
      <c r="G10" s="70">
        <f>SUM(G8:G9)</f>
        <v>356976760</v>
      </c>
      <c r="H10" s="47"/>
      <c r="I10" s="20">
        <f t="shared" ref="I10:J10" si="8">SUM(I8:I9)</f>
        <v>361045597.38800001</v>
      </c>
      <c r="J10" s="20">
        <f t="shared" si="8"/>
        <v>4068837.3880000003</v>
      </c>
      <c r="K10" s="52"/>
      <c r="L10" s="57"/>
      <c r="M10" s="20">
        <f t="shared" ref="M10" si="9">SUM(M8:M9)</f>
        <v>365160811.63848442</v>
      </c>
      <c r="N10" s="20">
        <f t="shared" ref="N10" si="10">SUM(N8:N9)</f>
        <v>4115214.2504844004</v>
      </c>
      <c r="O10" s="52"/>
      <c r="P10" s="62"/>
      <c r="Q10" s="20">
        <f>SUM(Q8:Q9)</f>
        <v>369322931.35859931</v>
      </c>
      <c r="R10" s="20">
        <f t="shared" ref="R10" si="11">SUM(R8:R9)</f>
        <v>4161218.7908844287</v>
      </c>
      <c r="S10" s="52"/>
      <c r="T10" s="57"/>
      <c r="U10" s="12">
        <f t="shared" ref="U10" si="12">SUM(U8:U9)</f>
        <v>373532491.18060553</v>
      </c>
      <c r="V10" s="20">
        <f t="shared" ref="V10" si="13">SUM(V8:V9)</f>
        <v>4209559.8220062396</v>
      </c>
      <c r="W10" s="59"/>
      <c r="X10" s="57"/>
      <c r="Y10" s="20">
        <f t="shared" ref="Y10" si="14">SUM(Y8:Y9)</f>
        <v>377790031.83055371</v>
      </c>
      <c r="Z10" s="20">
        <f t="shared" ref="Z10" si="15">SUM(Z8:Z9)</f>
        <v>4257540.6499481741</v>
      </c>
      <c r="AA10" s="59"/>
      <c r="AB10" s="67"/>
    </row>
    <row r="11" spans="1:28" ht="15.75" thickBot="1" x14ac:dyDescent="0.3">
      <c r="A11" s="230" t="s">
        <v>15</v>
      </c>
      <c r="B11" s="230"/>
      <c r="C11" s="230"/>
      <c r="D11" s="230"/>
      <c r="E11" s="230"/>
      <c r="F11" s="230"/>
      <c r="G11" s="230"/>
      <c r="H11" s="71"/>
      <c r="I11" s="22">
        <f>SUM(I7,I10)</f>
        <v>889195857.95660007</v>
      </c>
      <c r="J11" s="23">
        <f>SUM(J7,J10)</f>
        <v>9964323.9566000886</v>
      </c>
      <c r="K11" s="72"/>
      <c r="L11" s="73"/>
      <c r="M11" s="22">
        <f>SUM(M7,M10)</f>
        <v>899273119.36080503</v>
      </c>
      <c r="N11" s="23">
        <f>SUM(N7,N10)</f>
        <v>10077261.404204957</v>
      </c>
      <c r="O11" s="72"/>
      <c r="P11" s="73"/>
      <c r="Q11" s="23">
        <f>SUM(Q7,Q10)</f>
        <v>909464598.39835358</v>
      </c>
      <c r="R11" s="23">
        <f>SUM(R7,R10)</f>
        <v>10190578.108318023</v>
      </c>
      <c r="S11" s="74"/>
      <c r="T11" s="75"/>
      <c r="U11" s="76">
        <f>SUM(U7,U10)</f>
        <v>919771589.76781809</v>
      </c>
      <c r="V11" s="23">
        <f>SUM(V7,V10)</f>
        <v>10306991.369464576</v>
      </c>
      <c r="W11" s="74"/>
      <c r="X11" s="75"/>
      <c r="Y11" s="23">
        <f>SUM(Y7,Y10)</f>
        <v>930195402.84514666</v>
      </c>
      <c r="Z11" s="23">
        <f>SUM(Z7,Z10)</f>
        <v>10423813.077328647</v>
      </c>
      <c r="AA11" s="74"/>
    </row>
    <row r="12" spans="1:28" s="27" customFormat="1" ht="16.5" thickTop="1" thickBot="1" x14ac:dyDescent="0.3">
      <c r="A12" s="24"/>
      <c r="B12" s="25"/>
      <c r="C12" s="25"/>
      <c r="D12" s="25"/>
      <c r="E12" s="25"/>
      <c r="F12" s="25"/>
      <c r="G12" s="25"/>
      <c r="H12" s="25"/>
      <c r="I12" s="26"/>
      <c r="J12" s="26"/>
      <c r="K12" s="25"/>
      <c r="L12" s="25"/>
      <c r="M12" s="26"/>
      <c r="N12" s="26"/>
      <c r="O12" s="25"/>
      <c r="P12" s="25"/>
      <c r="Q12" s="26"/>
      <c r="R12" s="26"/>
      <c r="S12" s="25"/>
      <c r="T12" s="25"/>
      <c r="U12" s="26"/>
      <c r="V12" s="26"/>
      <c r="W12" s="25"/>
      <c r="X12" s="25"/>
      <c r="Y12" s="26"/>
      <c r="Z12" s="26"/>
      <c r="AA12" s="25"/>
    </row>
    <row r="13" spans="1:28" s="27" customFormat="1" x14ac:dyDescent="0.25">
      <c r="A13" s="228" t="s">
        <v>16</v>
      </c>
      <c r="B13" s="30" t="s">
        <v>17</v>
      </c>
      <c r="C13" s="28" t="s">
        <v>18</v>
      </c>
      <c r="D13" s="30" t="s">
        <v>19</v>
      </c>
      <c r="E13" s="28" t="s">
        <v>38</v>
      </c>
      <c r="F13" s="30" t="s">
        <v>20</v>
      </c>
      <c r="G13" s="25"/>
      <c r="H13" s="25"/>
      <c r="I13" s="26"/>
      <c r="J13" s="26"/>
      <c r="K13" s="25"/>
      <c r="L13" s="25"/>
      <c r="M13" s="26"/>
      <c r="N13" s="26"/>
      <c r="O13" s="25"/>
      <c r="P13" s="25"/>
      <c r="Q13" s="26"/>
      <c r="R13" s="26"/>
      <c r="S13" s="25"/>
      <c r="T13" s="25"/>
      <c r="U13" s="26"/>
      <c r="V13" s="26"/>
      <c r="W13" s="25"/>
      <c r="X13" s="25"/>
      <c r="Y13" s="26"/>
      <c r="Z13" s="26"/>
      <c r="AA13" s="25"/>
    </row>
    <row r="14" spans="1:28" s="27" customFormat="1" x14ac:dyDescent="0.25">
      <c r="A14" s="229"/>
      <c r="B14" s="31">
        <v>3.5999999999999997E-2</v>
      </c>
      <c r="C14" s="29">
        <v>3.4000000000000002E-2</v>
      </c>
      <c r="D14" s="29">
        <v>3.2000000000000001E-2</v>
      </c>
      <c r="E14" s="29">
        <v>3.3000000000000002E-2</v>
      </c>
      <c r="F14" s="29">
        <v>3.3000000000000002E-2</v>
      </c>
      <c r="G14" s="25" t="s">
        <v>39</v>
      </c>
      <c r="H14" s="25"/>
      <c r="I14" s="26"/>
      <c r="J14" s="26"/>
      <c r="K14" s="25"/>
      <c r="L14" s="25"/>
      <c r="M14" s="26"/>
      <c r="N14" s="26"/>
      <c r="O14" s="25"/>
      <c r="P14" s="25"/>
      <c r="Q14" s="26"/>
      <c r="R14" s="26"/>
      <c r="S14" s="25"/>
      <c r="T14" s="25"/>
      <c r="U14" s="26"/>
      <c r="V14" s="26"/>
      <c r="W14" s="25"/>
      <c r="X14" s="25"/>
      <c r="Y14" s="26"/>
      <c r="Z14" s="26"/>
      <c r="AA14" s="25"/>
    </row>
    <row r="15" spans="1:28" s="27" customFormat="1" x14ac:dyDescent="0.25">
      <c r="A15" s="36" t="s">
        <v>21</v>
      </c>
      <c r="B15" s="32">
        <v>4.4999999999999998E-2</v>
      </c>
      <c r="C15" s="33">
        <v>4.4999999999999998E-2</v>
      </c>
      <c r="D15" s="33">
        <v>4.4999999999999998E-2</v>
      </c>
      <c r="E15" s="33">
        <v>4.4999999999999998E-2</v>
      </c>
      <c r="F15" s="33">
        <v>4.4999999999999998E-2</v>
      </c>
      <c r="G15" s="25" t="s">
        <v>40</v>
      </c>
      <c r="H15" s="25"/>
      <c r="I15" s="26"/>
      <c r="J15" s="26"/>
      <c r="K15" s="25"/>
      <c r="L15" s="25"/>
      <c r="M15" s="26"/>
      <c r="N15" s="26"/>
      <c r="O15" s="25"/>
      <c r="P15" s="25"/>
      <c r="Q15" s="26"/>
      <c r="R15" s="26"/>
      <c r="S15" s="25"/>
      <c r="T15" s="25"/>
      <c r="U15" s="26"/>
      <c r="V15" s="26"/>
      <c r="W15" s="25"/>
      <c r="X15" s="25"/>
      <c r="Y15" s="26"/>
      <c r="Z15" s="26"/>
      <c r="AA15" s="25"/>
    </row>
    <row r="16" spans="1:28" s="27" customFormat="1" ht="39" thickBot="1" x14ac:dyDescent="0.3">
      <c r="A16" s="37" t="s">
        <v>22</v>
      </c>
      <c r="B16" s="35">
        <f>((1+0.045)/(1+0.036))-1</f>
        <v>8.6872586872586144E-3</v>
      </c>
      <c r="C16" s="34">
        <f>((1+0.045)/(1+0.034))-1</f>
        <v>1.0638297872340274E-2</v>
      </c>
      <c r="D16" s="34">
        <f>((1+0.045)/(1+0.032))-1</f>
        <v>1.2596899224806002E-2</v>
      </c>
      <c r="E16" s="34">
        <f>((1+0.045)/(1+0.033))-1</f>
        <v>1.1616650532429773E-2</v>
      </c>
      <c r="F16" s="34">
        <f>((1+0.045)/(1+0.033))-1</f>
        <v>1.1616650532429773E-2</v>
      </c>
      <c r="G16" s="25" t="s">
        <v>82</v>
      </c>
      <c r="H16" s="78"/>
      <c r="I16" s="26"/>
      <c r="J16" s="26"/>
      <c r="K16" s="25"/>
      <c r="L16" s="25"/>
      <c r="M16" s="26"/>
      <c r="N16" s="26"/>
      <c r="O16" s="25"/>
      <c r="P16" s="25"/>
      <c r="Q16" s="26"/>
      <c r="R16" s="26"/>
      <c r="S16" s="25"/>
      <c r="T16" s="25"/>
      <c r="U16" s="26"/>
      <c r="V16" s="26"/>
      <c r="W16" s="25"/>
      <c r="X16" s="25"/>
      <c r="Y16" s="26"/>
      <c r="Z16" s="26"/>
      <c r="AA16" s="25"/>
    </row>
    <row r="17" spans="1:29" s="27" customFormat="1" ht="15.75" thickBot="1" x14ac:dyDescent="0.3">
      <c r="A17" s="24"/>
      <c r="B17" s="25"/>
      <c r="C17" s="25"/>
      <c r="D17" s="25"/>
      <c r="E17" s="25"/>
      <c r="F17" s="25"/>
      <c r="G17" s="25"/>
      <c r="H17" s="25"/>
      <c r="I17" s="26"/>
      <c r="J17" s="26"/>
      <c r="K17" s="25"/>
      <c r="L17" s="25"/>
      <c r="M17" s="26"/>
      <c r="N17" s="26"/>
      <c r="O17" s="25"/>
      <c r="P17" s="25"/>
      <c r="Q17" s="26"/>
      <c r="R17" s="26"/>
      <c r="S17" s="25"/>
      <c r="T17" s="25"/>
      <c r="U17" s="26"/>
      <c r="V17" s="26"/>
      <c r="W17" s="25"/>
      <c r="X17" s="25"/>
      <c r="Y17" s="26"/>
      <c r="Z17" s="26"/>
      <c r="AA17" s="25"/>
    </row>
    <row r="18" spans="1:29" ht="19.5" thickBot="1" x14ac:dyDescent="0.35">
      <c r="A18" s="200" t="s">
        <v>23</v>
      </c>
      <c r="B18" s="201"/>
      <c r="C18" s="201"/>
      <c r="D18" s="201"/>
      <c r="E18" s="201"/>
      <c r="F18" s="201"/>
      <c r="G18" s="202"/>
      <c r="H18" s="41"/>
      <c r="I18" s="38"/>
      <c r="J18" s="38"/>
      <c r="K18" s="38"/>
      <c r="L18" s="38"/>
      <c r="M18" s="38"/>
    </row>
    <row r="19" spans="1:29" ht="19.5" customHeight="1" thickBot="1" x14ac:dyDescent="0.35">
      <c r="A19" s="205" t="str">
        <f>'INFORMACIÓN TASAS'!A14:E14</f>
        <v>FONDO RENTA FIJA NACIONAL LARGO PLAZO</v>
      </c>
      <c r="B19" s="206"/>
      <c r="C19" s="206"/>
      <c r="D19" s="206"/>
      <c r="E19" s="206"/>
      <c r="F19" s="39"/>
      <c r="G19" s="39"/>
      <c r="H19" s="225" t="s">
        <v>1</v>
      </c>
      <c r="I19" s="226"/>
      <c r="J19" s="226"/>
      <c r="K19" s="227"/>
      <c r="L19" s="225" t="s">
        <v>32</v>
      </c>
      <c r="M19" s="226"/>
      <c r="N19" s="226"/>
      <c r="O19" s="227"/>
      <c r="P19" s="225" t="s">
        <v>33</v>
      </c>
      <c r="Q19" s="226"/>
      <c r="R19" s="226"/>
      <c r="S19" s="227"/>
      <c r="T19" s="225" t="s">
        <v>34</v>
      </c>
      <c r="U19" s="226"/>
      <c r="V19" s="226"/>
      <c r="W19" s="227"/>
      <c r="X19" s="225" t="s">
        <v>36</v>
      </c>
      <c r="Y19" s="226"/>
      <c r="Z19" s="226"/>
      <c r="AA19" s="227"/>
    </row>
    <row r="20" spans="1:29" ht="26.25" x14ac:dyDescent="0.25">
      <c r="A20" s="1" t="s">
        <v>2</v>
      </c>
      <c r="B20" s="1"/>
      <c r="C20" s="1"/>
      <c r="D20" s="2" t="s">
        <v>3</v>
      </c>
      <c r="E20" s="3" t="s">
        <v>4</v>
      </c>
      <c r="F20" s="2" t="s">
        <v>5</v>
      </c>
      <c r="G20" s="4">
        <v>2019</v>
      </c>
      <c r="H20" s="55" t="s">
        <v>35</v>
      </c>
      <c r="I20" s="21" t="s">
        <v>6</v>
      </c>
      <c r="J20" s="21" t="s">
        <v>7</v>
      </c>
      <c r="K20" s="56" t="s">
        <v>8</v>
      </c>
      <c r="L20" s="55" t="s">
        <v>35</v>
      </c>
      <c r="M20" s="21" t="s">
        <v>6</v>
      </c>
      <c r="N20" s="21" t="s">
        <v>7</v>
      </c>
      <c r="O20" s="56" t="s">
        <v>8</v>
      </c>
      <c r="P20" s="55" t="s">
        <v>35</v>
      </c>
      <c r="Q20" s="21" t="s">
        <v>6</v>
      </c>
      <c r="R20" s="21" t="s">
        <v>7</v>
      </c>
      <c r="S20" s="56" t="s">
        <v>8</v>
      </c>
      <c r="T20" s="55" t="s">
        <v>35</v>
      </c>
      <c r="U20" s="21" t="s">
        <v>6</v>
      </c>
      <c r="V20" s="21" t="s">
        <v>7</v>
      </c>
      <c r="W20" s="56" t="s">
        <v>8</v>
      </c>
      <c r="X20" s="55" t="s">
        <v>35</v>
      </c>
      <c r="Y20" s="21" t="s">
        <v>6</v>
      </c>
      <c r="Z20" s="21" t="s">
        <v>7</v>
      </c>
      <c r="AA20" s="56" t="s">
        <v>8</v>
      </c>
    </row>
    <row r="21" spans="1:29" x14ac:dyDescent="0.25">
      <c r="A21" s="204" t="str">
        <f>'INFORMACIÓN TASAS'!A16:C16</f>
        <v xml:space="preserve">FIDUCIARIA BOGOTÁ        </v>
      </c>
      <c r="B21" s="204"/>
      <c r="C21" s="204"/>
      <c r="D21" s="78">
        <v>43861</v>
      </c>
      <c r="E21" s="5" t="s">
        <v>10</v>
      </c>
      <c r="F21" s="68">
        <f>2.05%</f>
        <v>2.0499999999999997E-2</v>
      </c>
      <c r="G21" s="17">
        <f>G7</f>
        <v>522254774</v>
      </c>
      <c r="H21" s="83">
        <v>43769</v>
      </c>
      <c r="I21" s="19">
        <f>FV(F21,1,,-G21,0)</f>
        <v>532960996.86699998</v>
      </c>
      <c r="J21" s="19">
        <f>I21-G21</f>
        <v>10706222.866999984</v>
      </c>
      <c r="K21" s="93">
        <f>D21</f>
        <v>43861</v>
      </c>
      <c r="L21" s="82">
        <v>43862</v>
      </c>
      <c r="M21" s="19">
        <f>FV(F21,1,,-I21,0)</f>
        <v>543886697.30277348</v>
      </c>
      <c r="N21" s="18">
        <f>M21-I21</f>
        <v>10925700.435773492</v>
      </c>
      <c r="O21" s="77">
        <v>43952</v>
      </c>
      <c r="P21" s="82">
        <v>43953</v>
      </c>
      <c r="Q21" s="19">
        <f>FV(F21,1,,-M21,0)</f>
        <v>555036374.5974803</v>
      </c>
      <c r="R21" s="18">
        <f>Q21-M21</f>
        <v>11149677.294706821</v>
      </c>
      <c r="S21" s="77">
        <v>44045</v>
      </c>
      <c r="T21" s="82">
        <v>44046</v>
      </c>
      <c r="U21" s="19">
        <f>FV(F21,1,,-Q21)</f>
        <v>566414620.27672863</v>
      </c>
      <c r="V21" s="18">
        <f>U21-Q21</f>
        <v>11378245.679248333</v>
      </c>
      <c r="W21" s="85">
        <v>44138</v>
      </c>
      <c r="X21" s="82">
        <v>44139</v>
      </c>
      <c r="Y21" s="19">
        <f>FV(F21,1,,-U21,0)</f>
        <v>578026119.9924016</v>
      </c>
      <c r="Z21" s="18">
        <f>Y21-U21</f>
        <v>11611499.71567297</v>
      </c>
      <c r="AA21" s="88">
        <v>44231</v>
      </c>
      <c r="AC21" s="67"/>
    </row>
    <row r="22" spans="1:29" ht="15.75" thickBot="1" x14ac:dyDescent="0.3">
      <c r="A22" s="7" t="str">
        <f>'INFORMACIÓN TASAS'!A17</f>
        <v>TOTAL FONDO DE RENTA FIJA NACIONAL  LARGO PLAZO</v>
      </c>
      <c r="B22" s="8"/>
      <c r="C22" s="8"/>
      <c r="D22" s="9"/>
      <c r="E22" s="10"/>
      <c r="F22" s="10"/>
      <c r="G22" s="11">
        <f>SUM(G21:G21)</f>
        <v>522254774</v>
      </c>
      <c r="H22" s="90"/>
      <c r="I22" s="64">
        <f>SUM(I21)</f>
        <v>532960996.86699998</v>
      </c>
      <c r="J22" s="65">
        <f>SUM(J21)</f>
        <v>10706222.866999984</v>
      </c>
      <c r="K22" s="66"/>
      <c r="L22" s="90"/>
      <c r="M22" s="91">
        <f>SUM(M21)</f>
        <v>543886697.30277348</v>
      </c>
      <c r="N22" s="12">
        <f>SUM(N21)</f>
        <v>10925700.435773492</v>
      </c>
      <c r="O22" s="58"/>
      <c r="P22" s="90"/>
      <c r="Q22" s="65">
        <f>SUM(Q21)</f>
        <v>555036374.5974803</v>
      </c>
      <c r="R22" s="12">
        <f>SUM(R21)</f>
        <v>11149677.294706821</v>
      </c>
      <c r="S22" s="58"/>
      <c r="T22" s="90"/>
      <c r="U22" s="91">
        <f>SUM(U21)</f>
        <v>566414620.27672863</v>
      </c>
      <c r="V22" s="12">
        <f>SUM(V21)</f>
        <v>11378245.679248333</v>
      </c>
      <c r="W22" s="58"/>
      <c r="X22" s="90"/>
      <c r="Y22" s="11">
        <f>SUM(Y21)</f>
        <v>578026119.9924016</v>
      </c>
      <c r="Z22" s="12">
        <f>SUM(Z21)</f>
        <v>11611499.71567297</v>
      </c>
      <c r="AA22" s="59"/>
    </row>
    <row r="23" spans="1:29" s="27" customFormat="1" ht="19.5" customHeight="1" thickBot="1" x14ac:dyDescent="0.35">
      <c r="A23" s="205" t="str">
        <f>'INFORMACIÓN TASAS'!A18:D18</f>
        <v>FONDO DE ACCIONARIO INTERNACIONAL</v>
      </c>
      <c r="B23" s="206"/>
      <c r="C23" s="206"/>
      <c r="D23" s="206"/>
      <c r="E23" s="39"/>
      <c r="F23" s="39"/>
      <c r="G23" s="39"/>
      <c r="H23" s="225" t="s">
        <v>1</v>
      </c>
      <c r="I23" s="226"/>
      <c r="J23" s="226"/>
      <c r="K23" s="227"/>
      <c r="L23" s="225" t="s">
        <v>32</v>
      </c>
      <c r="M23" s="226"/>
      <c r="N23" s="226"/>
      <c r="O23" s="227"/>
      <c r="P23" s="225" t="s">
        <v>33</v>
      </c>
      <c r="Q23" s="226"/>
      <c r="R23" s="226"/>
      <c r="S23" s="227"/>
      <c r="T23" s="225" t="s">
        <v>34</v>
      </c>
      <c r="U23" s="226"/>
      <c r="V23" s="226"/>
      <c r="W23" s="227"/>
      <c r="X23" s="225" t="s">
        <v>36</v>
      </c>
      <c r="Y23" s="226"/>
      <c r="Z23" s="226"/>
      <c r="AA23" s="227"/>
    </row>
    <row r="24" spans="1:29" ht="26.25" x14ac:dyDescent="0.25">
      <c r="B24" s="6"/>
      <c r="H24" s="55" t="s">
        <v>35</v>
      </c>
      <c r="I24" s="21" t="s">
        <v>6</v>
      </c>
      <c r="J24" s="21" t="s">
        <v>7</v>
      </c>
      <c r="K24" s="56" t="s">
        <v>8</v>
      </c>
      <c r="L24" s="55" t="s">
        <v>35</v>
      </c>
      <c r="M24" s="21" t="s">
        <v>6</v>
      </c>
      <c r="N24" s="21" t="s">
        <v>7</v>
      </c>
      <c r="O24" s="56" t="s">
        <v>8</v>
      </c>
      <c r="P24" s="55" t="s">
        <v>35</v>
      </c>
      <c r="Q24" s="21" t="s">
        <v>6</v>
      </c>
      <c r="R24" s="21" t="s">
        <v>7</v>
      </c>
      <c r="S24" s="56" t="s">
        <v>8</v>
      </c>
      <c r="T24" s="55" t="s">
        <v>35</v>
      </c>
      <c r="U24" s="21" t="s">
        <v>6</v>
      </c>
      <c r="V24" s="21" t="s">
        <v>7</v>
      </c>
      <c r="W24" s="56" t="s">
        <v>8</v>
      </c>
      <c r="X24" s="55" t="s">
        <v>35</v>
      </c>
      <c r="Y24" s="21" t="s">
        <v>6</v>
      </c>
      <c r="Z24" s="21" t="s">
        <v>7</v>
      </c>
      <c r="AA24" s="56" t="s">
        <v>8</v>
      </c>
    </row>
    <row r="25" spans="1:29" x14ac:dyDescent="0.25">
      <c r="A25" s="208" t="str">
        <f>'INFORMACIÓN TASAS'!A20:C20</f>
        <v xml:space="preserve">FIDUCIARIA CORFICOLOMBIANA                </v>
      </c>
      <c r="B25" s="208"/>
      <c r="C25" s="208"/>
      <c r="D25" s="78">
        <v>43859</v>
      </c>
      <c r="E25" s="5" t="s">
        <v>10</v>
      </c>
      <c r="F25" s="68">
        <v>3.39E-2</v>
      </c>
      <c r="G25" s="17">
        <f>G10</f>
        <v>356976760</v>
      </c>
      <c r="H25" s="83">
        <v>43767</v>
      </c>
      <c r="I25" s="19">
        <f>FV(F25,1,,-G25,0)</f>
        <v>369078272.16400003</v>
      </c>
      <c r="J25" s="89">
        <f>I25-G25</f>
        <v>12101512.164000034</v>
      </c>
      <c r="K25" s="77">
        <v>43859</v>
      </c>
      <c r="L25" s="82">
        <v>43860</v>
      </c>
      <c r="M25" s="19">
        <f>FV(F25,1,,-I25,0)</f>
        <v>381590025.59035963</v>
      </c>
      <c r="N25" s="19">
        <f>M25-I25</f>
        <v>12511753.426359594</v>
      </c>
      <c r="O25" s="78">
        <v>43951</v>
      </c>
      <c r="P25" s="82">
        <v>43952</v>
      </c>
      <c r="Q25" s="19">
        <f>FV(F25,1,,-M25,0)</f>
        <v>394525927.45787281</v>
      </c>
      <c r="R25" s="19">
        <f>Q25-M25</f>
        <v>12935901.86751318</v>
      </c>
      <c r="S25" s="78">
        <v>44044</v>
      </c>
      <c r="T25" s="82">
        <v>44045</v>
      </c>
      <c r="U25" s="19">
        <f>FV(F25,1,,-Q25,0)</f>
        <v>407900356.39869469</v>
      </c>
      <c r="V25" s="19">
        <f>U25-Q25</f>
        <v>13374428.940821886</v>
      </c>
      <c r="W25" s="85">
        <v>44137</v>
      </c>
      <c r="X25" s="82">
        <v>44138</v>
      </c>
      <c r="Y25" s="19">
        <f>FV(F25,1,,-U25,0)</f>
        <v>421728178.48061049</v>
      </c>
      <c r="Z25" s="19">
        <f>Y25-U25</f>
        <v>13827822.081915796</v>
      </c>
      <c r="AA25" s="88">
        <v>44230</v>
      </c>
    </row>
    <row r="26" spans="1:29" x14ac:dyDescent="0.25">
      <c r="A26" s="7" t="s">
        <v>26</v>
      </c>
      <c r="B26" s="8"/>
      <c r="C26" s="8"/>
      <c r="D26" s="9"/>
      <c r="E26" s="10"/>
      <c r="F26" s="10"/>
      <c r="G26" s="11">
        <f>SUM(G25:G25)</f>
        <v>356976760</v>
      </c>
      <c r="H26" s="57"/>
      <c r="I26" s="11">
        <f>SUM(I25:I25)</f>
        <v>369078272.16400003</v>
      </c>
      <c r="J26" s="12">
        <f>SUM(J25:J25)</f>
        <v>12101512.164000034</v>
      </c>
      <c r="K26" s="59"/>
      <c r="L26" s="57"/>
      <c r="M26" s="20">
        <f>SUM(M25:M25)</f>
        <v>381590025.59035963</v>
      </c>
      <c r="N26" s="12">
        <f>SUM(N25:N25)</f>
        <v>12511753.426359594</v>
      </c>
      <c r="O26" s="59"/>
      <c r="P26" s="57"/>
      <c r="Q26" s="20">
        <f>SUM(Q25:Q25)</f>
        <v>394525927.45787281</v>
      </c>
      <c r="R26" s="12">
        <f>SUM(R25:R25)</f>
        <v>12935901.86751318</v>
      </c>
      <c r="S26" s="59"/>
      <c r="T26" s="57"/>
      <c r="U26" s="20">
        <f>SUM(U25:U25)</f>
        <v>407900356.39869469</v>
      </c>
      <c r="V26" s="12">
        <f>SUM(V25:V25)</f>
        <v>13374428.940821886</v>
      </c>
      <c r="W26" s="59"/>
      <c r="X26" s="57"/>
      <c r="Y26" s="20">
        <f>SUM(Y25:Y25)</f>
        <v>421728178.48061049</v>
      </c>
      <c r="Z26" s="12">
        <f>SUM(Z25:Z25)</f>
        <v>13827822.081915796</v>
      </c>
      <c r="AA26" s="59"/>
    </row>
    <row r="27" spans="1:29" ht="15.75" thickBot="1" x14ac:dyDescent="0.3">
      <c r="A27" s="224" t="s">
        <v>27</v>
      </c>
      <c r="B27" s="224"/>
      <c r="C27" s="224"/>
      <c r="D27" s="224"/>
      <c r="E27" s="224"/>
      <c r="F27" s="224"/>
      <c r="G27" s="224"/>
      <c r="H27" s="92"/>
      <c r="I27" s="22">
        <f>SUM(I22,I26)</f>
        <v>902039269.03100002</v>
      </c>
      <c r="J27" s="23">
        <f>SUM(J22,J26)</f>
        <v>22807735.031000018</v>
      </c>
      <c r="K27" s="72"/>
      <c r="L27" s="73"/>
      <c r="M27" s="22">
        <f>SUM(M22,M26)</f>
        <v>925476722.89313316</v>
      </c>
      <c r="N27" s="23">
        <f>SUM(N22,N26)</f>
        <v>23437453.862133086</v>
      </c>
      <c r="O27" s="72"/>
      <c r="P27" s="73"/>
      <c r="Q27" s="22">
        <f>SUM(Q22,Q26)</f>
        <v>949562302.05535316</v>
      </c>
      <c r="R27" s="23">
        <f>SUM(R22,R26)</f>
        <v>24085579.162220001</v>
      </c>
      <c r="S27" s="74"/>
      <c r="T27" s="75"/>
      <c r="U27" s="23">
        <f>SUM(U22,U26)</f>
        <v>974314976.67542338</v>
      </c>
      <c r="V27" s="23">
        <f>SUM(V22,V26)</f>
        <v>24752674.620070219</v>
      </c>
      <c r="W27" s="74"/>
      <c r="X27" s="75"/>
      <c r="Y27" s="23">
        <f>SUM(Y22,Y26)</f>
        <v>999754298.47301209</v>
      </c>
      <c r="Z27" s="23">
        <f>SUM(Z22,Z26)</f>
        <v>25439321.797588766</v>
      </c>
      <c r="AA27" s="74"/>
    </row>
    <row r="28" spans="1:29" ht="16.5" thickTop="1" thickBot="1" x14ac:dyDescent="0.3"/>
    <row r="29" spans="1:29" x14ac:dyDescent="0.25">
      <c r="G29" s="67"/>
      <c r="V29" s="209" t="s">
        <v>28</v>
      </c>
      <c r="W29" s="210"/>
      <c r="X29" s="210"/>
      <c r="Y29" s="210"/>
      <c r="Z29" s="210"/>
      <c r="AA29" s="211"/>
    </row>
    <row r="30" spans="1:29" ht="15.75" thickBot="1" x14ac:dyDescent="0.3">
      <c r="V30" s="212"/>
      <c r="W30" s="213"/>
      <c r="X30" s="213"/>
      <c r="Y30" s="213"/>
      <c r="Z30" s="213"/>
      <c r="AA30" s="214"/>
    </row>
    <row r="31" spans="1:29" ht="15" customHeight="1" x14ac:dyDescent="0.25">
      <c r="V31" s="215" t="s">
        <v>37</v>
      </c>
      <c r="W31" s="216"/>
      <c r="X31" s="216"/>
      <c r="Y31" s="216"/>
      <c r="Z31" s="216"/>
      <c r="AA31" s="217"/>
    </row>
    <row r="32" spans="1:29" x14ac:dyDescent="0.25">
      <c r="V32" s="218"/>
      <c r="W32" s="219"/>
      <c r="X32" s="219"/>
      <c r="Y32" s="219"/>
      <c r="Z32" s="219"/>
      <c r="AA32" s="220"/>
    </row>
    <row r="33" spans="18:27" ht="15.75" thickBot="1" x14ac:dyDescent="0.3">
      <c r="V33" s="221">
        <f>Z27-Z11</f>
        <v>15015508.720260119</v>
      </c>
      <c r="W33" s="222"/>
      <c r="X33" s="222"/>
      <c r="Y33" s="222"/>
      <c r="Z33" s="222"/>
      <c r="AA33" s="223"/>
    </row>
    <row r="34" spans="18:27" ht="15.75" thickTop="1" x14ac:dyDescent="0.25"/>
    <row r="36" spans="18:27" x14ac:dyDescent="0.25">
      <c r="R36" s="40"/>
    </row>
  </sheetData>
  <mergeCells count="32">
    <mergeCell ref="X19:AA19"/>
    <mergeCell ref="X23:AA23"/>
    <mergeCell ref="A21:C21"/>
    <mergeCell ref="L23:O23"/>
    <mergeCell ref="P19:S19"/>
    <mergeCell ref="P23:S23"/>
    <mergeCell ref="T19:W19"/>
    <mergeCell ref="T23:W23"/>
    <mergeCell ref="T2:W2"/>
    <mergeCell ref="X2:AA2"/>
    <mergeCell ref="A4:C4"/>
    <mergeCell ref="A5:C5"/>
    <mergeCell ref="A6:C6"/>
    <mergeCell ref="A2:G2"/>
    <mergeCell ref="P2:S2"/>
    <mergeCell ref="A18:G18"/>
    <mergeCell ref="A13:A14"/>
    <mergeCell ref="A11:G11"/>
    <mergeCell ref="L2:O2"/>
    <mergeCell ref="H19:K19"/>
    <mergeCell ref="H2:K2"/>
    <mergeCell ref="L19:O19"/>
    <mergeCell ref="A8:C8"/>
    <mergeCell ref="A9:C9"/>
    <mergeCell ref="A19:E19"/>
    <mergeCell ref="V29:AA30"/>
    <mergeCell ref="V31:AA32"/>
    <mergeCell ref="V33:AA33"/>
    <mergeCell ref="A27:G27"/>
    <mergeCell ref="A23:D23"/>
    <mergeCell ref="H23:K23"/>
    <mergeCell ref="A25:C25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opLeftCell="A40" workbookViewId="0">
      <selection activeCell="C48" sqref="C48"/>
    </sheetView>
  </sheetViews>
  <sheetFormatPr baseColWidth="10" defaultRowHeight="15" x14ac:dyDescent="0.25"/>
  <cols>
    <col min="2" max="2" width="17.140625" customWidth="1"/>
    <col min="3" max="3" width="26.85546875" customWidth="1"/>
    <col min="4" max="4" width="25.140625" customWidth="1"/>
    <col min="5" max="5" width="17.42578125" customWidth="1"/>
  </cols>
  <sheetData>
    <row r="2" spans="3:6" ht="15.75" thickBot="1" x14ac:dyDescent="0.3"/>
    <row r="3" spans="3:6" ht="18.75" thickBot="1" x14ac:dyDescent="0.3">
      <c r="C3" s="243" t="s">
        <v>72</v>
      </c>
      <c r="D3" s="244"/>
    </row>
    <row r="4" spans="3:6" ht="15.75" x14ac:dyDescent="0.25">
      <c r="C4" s="116" t="s">
        <v>67</v>
      </c>
      <c r="D4" s="117" t="s">
        <v>78</v>
      </c>
    </row>
    <row r="5" spans="3:6" x14ac:dyDescent="0.25">
      <c r="C5" s="120" t="s">
        <v>73</v>
      </c>
      <c r="D5" s="118">
        <f>'PROYECCIONES FINANCIERAS'!J11</f>
        <v>9964323.9566000886</v>
      </c>
      <c r="E5" s="111"/>
      <c r="F5" s="111"/>
    </row>
    <row r="6" spans="3:6" x14ac:dyDescent="0.25">
      <c r="C6" s="120" t="s">
        <v>68</v>
      </c>
      <c r="D6" s="118">
        <f>'PROYECCIONES FINANCIERAS'!N11</f>
        <v>10077261.404204957</v>
      </c>
    </row>
    <row r="7" spans="3:6" x14ac:dyDescent="0.25">
      <c r="C7" s="120" t="s">
        <v>71</v>
      </c>
      <c r="D7" s="118">
        <f>'PROYECCIONES FINANCIERAS'!R11</f>
        <v>10190578.108318023</v>
      </c>
    </row>
    <row r="8" spans="3:6" x14ac:dyDescent="0.25">
      <c r="C8" s="120" t="s">
        <v>69</v>
      </c>
      <c r="D8" s="118">
        <f>'PROYECCIONES FINANCIERAS'!V11</f>
        <v>10306991.369464576</v>
      </c>
    </row>
    <row r="9" spans="3:6" ht="15.75" thickBot="1" x14ac:dyDescent="0.3">
      <c r="C9" s="121" t="s">
        <v>70</v>
      </c>
      <c r="D9" s="119">
        <f>'PROYECCIONES FINANCIERAS'!Z11</f>
        <v>10423813.077328647</v>
      </c>
    </row>
    <row r="10" spans="3:6" ht="15.75" x14ac:dyDescent="0.25">
      <c r="C10" s="112"/>
      <c r="D10" s="113"/>
    </row>
    <row r="18" spans="2:5" ht="15.75" thickBot="1" x14ac:dyDescent="0.3"/>
    <row r="19" spans="2:5" ht="18.75" thickBot="1" x14ac:dyDescent="0.3">
      <c r="C19" s="243" t="s">
        <v>23</v>
      </c>
      <c r="D19" s="244"/>
    </row>
    <row r="20" spans="2:5" ht="15.75" x14ac:dyDescent="0.25">
      <c r="C20" s="116" t="s">
        <v>74</v>
      </c>
      <c r="D20" s="117" t="s">
        <v>78</v>
      </c>
    </row>
    <row r="21" spans="2:5" x14ac:dyDescent="0.25">
      <c r="C21" s="128" t="s">
        <v>73</v>
      </c>
      <c r="D21" s="118">
        <f>'PROYECCIONES FINANCIERAS'!J27</f>
        <v>22807735.031000018</v>
      </c>
    </row>
    <row r="22" spans="2:5" x14ac:dyDescent="0.25">
      <c r="C22" s="128" t="s">
        <v>68</v>
      </c>
      <c r="D22" s="118">
        <f>'PROYECCIONES FINANCIERAS'!N27</f>
        <v>23437453.862133086</v>
      </c>
    </row>
    <row r="23" spans="2:5" x14ac:dyDescent="0.25">
      <c r="C23" s="128" t="s">
        <v>71</v>
      </c>
      <c r="D23" s="118">
        <f>'PROYECCIONES FINANCIERAS'!R27</f>
        <v>24085579.162220001</v>
      </c>
    </row>
    <row r="24" spans="2:5" x14ac:dyDescent="0.25">
      <c r="C24" s="128" t="s">
        <v>69</v>
      </c>
      <c r="D24" s="118">
        <f>'PROYECCIONES FINANCIERAS'!V27</f>
        <v>24752674.620070219</v>
      </c>
    </row>
    <row r="25" spans="2:5" ht="15.75" thickBot="1" x14ac:dyDescent="0.3">
      <c r="C25" s="129" t="s">
        <v>70</v>
      </c>
      <c r="D25" s="119">
        <f>'PROYECCIONES FINANCIERAS'!Z27</f>
        <v>25439321.797588766</v>
      </c>
    </row>
    <row r="31" spans="2:5" ht="15.75" thickBot="1" x14ac:dyDescent="0.3"/>
    <row r="32" spans="2:5" ht="40.5" customHeight="1" thickBot="1" x14ac:dyDescent="0.3">
      <c r="B32" s="245" t="s">
        <v>77</v>
      </c>
      <c r="C32" s="246"/>
      <c r="D32" s="247"/>
      <c r="E32" s="115"/>
    </row>
    <row r="33" spans="2:5" ht="30" x14ac:dyDescent="0.25">
      <c r="B33" s="123" t="s">
        <v>74</v>
      </c>
      <c r="C33" s="122" t="s">
        <v>75</v>
      </c>
      <c r="D33" s="108" t="s">
        <v>76</v>
      </c>
      <c r="E33" s="110"/>
    </row>
    <row r="34" spans="2:5" x14ac:dyDescent="0.25">
      <c r="B34" s="130" t="s">
        <v>73</v>
      </c>
      <c r="C34" s="114">
        <f>D5</f>
        <v>9964323.9566000886</v>
      </c>
      <c r="D34" s="118">
        <f>D21</f>
        <v>22807735.031000018</v>
      </c>
    </row>
    <row r="35" spans="2:5" x14ac:dyDescent="0.25">
      <c r="B35" s="130" t="s">
        <v>68</v>
      </c>
      <c r="C35" s="114">
        <f t="shared" ref="C35:C38" si="0">D6</f>
        <v>10077261.404204957</v>
      </c>
      <c r="D35" s="118">
        <f t="shared" ref="D35:D38" si="1">D22</f>
        <v>23437453.862133086</v>
      </c>
    </row>
    <row r="36" spans="2:5" x14ac:dyDescent="0.25">
      <c r="B36" s="130" t="s">
        <v>71</v>
      </c>
      <c r="C36" s="114">
        <f t="shared" si="0"/>
        <v>10190578.108318023</v>
      </c>
      <c r="D36" s="118">
        <f t="shared" si="1"/>
        <v>24085579.162220001</v>
      </c>
    </row>
    <row r="37" spans="2:5" x14ac:dyDescent="0.25">
      <c r="B37" s="130" t="s">
        <v>69</v>
      </c>
      <c r="C37" s="114">
        <f t="shared" si="0"/>
        <v>10306991.369464576</v>
      </c>
      <c r="D37" s="118">
        <f t="shared" si="1"/>
        <v>24752674.620070219</v>
      </c>
    </row>
    <row r="38" spans="2:5" ht="15.75" thickBot="1" x14ac:dyDescent="0.3">
      <c r="B38" s="131" t="s">
        <v>70</v>
      </c>
      <c r="C38" s="124">
        <f t="shared" si="0"/>
        <v>10423813.077328647</v>
      </c>
      <c r="D38" s="119">
        <f t="shared" si="1"/>
        <v>25439321.797588766</v>
      </c>
    </row>
    <row r="45" spans="2:5" ht="15.75" thickBot="1" x14ac:dyDescent="0.3"/>
    <row r="46" spans="2:5" ht="15.75" customHeight="1" thickBot="1" x14ac:dyDescent="0.3">
      <c r="B46" s="245" t="s">
        <v>79</v>
      </c>
      <c r="C46" s="246"/>
      <c r="D46" s="246"/>
      <c r="E46" s="247"/>
    </row>
    <row r="47" spans="2:5" ht="30" x14ac:dyDescent="0.25">
      <c r="B47" s="123" t="s">
        <v>67</v>
      </c>
      <c r="C47" s="122" t="s">
        <v>75</v>
      </c>
      <c r="D47" s="127" t="s">
        <v>76</v>
      </c>
      <c r="E47" s="109" t="s">
        <v>80</v>
      </c>
    </row>
    <row r="48" spans="2:5" ht="15.75" thickBot="1" x14ac:dyDescent="0.3">
      <c r="B48" s="132" t="s">
        <v>70</v>
      </c>
      <c r="C48" s="135">
        <f>C38</f>
        <v>10423813.077328647</v>
      </c>
      <c r="D48" s="135">
        <f>D38</f>
        <v>25439321.797588766</v>
      </c>
      <c r="E48" s="136">
        <f>D48-C48</f>
        <v>15015508.720260119</v>
      </c>
    </row>
    <row r="49" spans="2:4" x14ac:dyDescent="0.25">
      <c r="B49" s="126"/>
      <c r="C49" s="125"/>
      <c r="D49" s="125"/>
    </row>
    <row r="50" spans="2:4" x14ac:dyDescent="0.25">
      <c r="B50" s="126"/>
      <c r="C50" s="125"/>
      <c r="D50" s="125"/>
    </row>
    <row r="51" spans="2:4" x14ac:dyDescent="0.25">
      <c r="B51" s="126"/>
      <c r="C51" s="125"/>
      <c r="D51" s="125"/>
    </row>
    <row r="52" spans="2:4" x14ac:dyDescent="0.25">
      <c r="B52" s="126"/>
      <c r="C52" s="125"/>
      <c r="D52" s="125"/>
    </row>
  </sheetData>
  <mergeCells count="4">
    <mergeCell ref="C3:D3"/>
    <mergeCell ref="C19:D19"/>
    <mergeCell ref="B32:D32"/>
    <mergeCell ref="B46:E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72"/>
  <sheetViews>
    <sheetView workbookViewId="0">
      <selection activeCell="N67" sqref="N67"/>
    </sheetView>
  </sheetViews>
  <sheetFormatPr baseColWidth="10" defaultRowHeight="15" x14ac:dyDescent="0.25"/>
  <cols>
    <col min="8" max="8" width="16.140625" customWidth="1"/>
    <col min="15" max="15" width="15" customWidth="1"/>
    <col min="17" max="17" width="11.7109375" bestFit="1" customWidth="1"/>
  </cols>
  <sheetData>
    <row r="1" spans="4:17" ht="18" x14ac:dyDescent="0.25">
      <c r="D1" s="280" t="s">
        <v>114</v>
      </c>
      <c r="E1" s="280"/>
      <c r="F1" s="280"/>
      <c r="G1" s="280"/>
      <c r="H1" s="280"/>
      <c r="K1" s="280" t="s">
        <v>115</v>
      </c>
      <c r="L1" s="280"/>
      <c r="M1" s="280"/>
      <c r="N1" s="280"/>
      <c r="O1" s="280"/>
    </row>
    <row r="2" spans="4:17" ht="16.5" thickBot="1" x14ac:dyDescent="0.3">
      <c r="D2" s="172"/>
      <c r="E2" s="172"/>
      <c r="F2" s="172"/>
      <c r="G2" s="172"/>
    </row>
    <row r="3" spans="4:17" ht="16.5" customHeight="1" x14ac:dyDescent="0.25">
      <c r="D3" s="266" t="s">
        <v>25</v>
      </c>
      <c r="E3" s="267"/>
      <c r="F3" s="267"/>
      <c r="G3" s="267"/>
      <c r="H3" s="268"/>
      <c r="K3" s="266" t="s">
        <v>50</v>
      </c>
      <c r="L3" s="267"/>
      <c r="M3" s="267"/>
      <c r="N3" s="267"/>
      <c r="O3" s="268"/>
    </row>
    <row r="4" spans="4:17" ht="15.75" thickBot="1" x14ac:dyDescent="0.3">
      <c r="D4" s="263" t="s">
        <v>132</v>
      </c>
      <c r="E4" s="264"/>
      <c r="F4" s="264"/>
      <c r="G4" s="264"/>
      <c r="H4" s="265"/>
      <c r="K4" s="263" t="s">
        <v>108</v>
      </c>
      <c r="L4" s="264"/>
      <c r="M4" s="264"/>
      <c r="N4" s="264"/>
      <c r="O4" s="265"/>
    </row>
    <row r="5" spans="4:17" ht="30.75" customHeight="1" thickBot="1" x14ac:dyDescent="0.3">
      <c r="D5" s="271" t="s">
        <v>98</v>
      </c>
      <c r="E5" s="272"/>
      <c r="F5" s="259" t="s">
        <v>97</v>
      </c>
      <c r="G5" s="260"/>
      <c r="H5" s="178" t="s">
        <v>111</v>
      </c>
      <c r="K5" s="271" t="s">
        <v>109</v>
      </c>
      <c r="L5" s="272"/>
      <c r="M5" s="271" t="s">
        <v>110</v>
      </c>
      <c r="N5" s="272"/>
      <c r="O5" s="178" t="s">
        <v>111</v>
      </c>
    </row>
    <row r="6" spans="4:17" x14ac:dyDescent="0.25">
      <c r="D6" s="261" t="s">
        <v>86</v>
      </c>
      <c r="E6" s="261"/>
      <c r="F6" s="275">
        <v>17998.279979999999</v>
      </c>
      <c r="G6" s="276"/>
      <c r="H6" s="176" t="s">
        <v>99</v>
      </c>
      <c r="K6" s="261" t="s">
        <v>112</v>
      </c>
      <c r="L6" s="261"/>
      <c r="M6" s="249">
        <f>'PROYECCIONES FINANCIERAS'!G8</f>
        <v>350000000</v>
      </c>
      <c r="N6" s="249"/>
      <c r="O6" s="176" t="s">
        <v>99</v>
      </c>
    </row>
    <row r="7" spans="4:17" x14ac:dyDescent="0.25">
      <c r="D7" s="248" t="s">
        <v>87</v>
      </c>
      <c r="E7" s="248"/>
      <c r="F7" s="273">
        <v>18125.432104</v>
      </c>
      <c r="G7" s="274"/>
      <c r="H7" s="175">
        <f>IF(F7&lt;&gt;"",LN(F7/F6),"")</f>
        <v>7.039844013585728E-3</v>
      </c>
      <c r="K7" s="261" t="s">
        <v>116</v>
      </c>
      <c r="L7" s="261"/>
      <c r="M7" s="277">
        <f>'PROYECCIONES FINANCIERAS'!I8</f>
        <v>353990000</v>
      </c>
      <c r="N7" s="277"/>
      <c r="O7" s="183">
        <f>IF(M7&lt;&gt;"",(M7/M6),"")</f>
        <v>1.0114000000000001</v>
      </c>
    </row>
    <row r="8" spans="4:17" x14ac:dyDescent="0.25">
      <c r="D8" s="248" t="s">
        <v>88</v>
      </c>
      <c r="E8" s="248"/>
      <c r="F8" s="273">
        <v>18875.952507999998</v>
      </c>
      <c r="G8" s="274"/>
      <c r="H8" s="175">
        <f t="shared" ref="H8:H17" si="0">IF(F8&lt;&gt;"",LN(F8/F7),"")</f>
        <v>4.0572717184569035E-2</v>
      </c>
      <c r="K8" s="261" t="s">
        <v>113</v>
      </c>
      <c r="L8" s="261"/>
      <c r="M8" s="277">
        <f>'PROYECCIONES FINANCIERAS'!M8</f>
        <v>358025486</v>
      </c>
      <c r="N8" s="277"/>
      <c r="O8" s="183">
        <f t="shared" ref="O8:O11" si="1">IF(M8&lt;&gt;"",(M8/M7),"")</f>
        <v>1.0114000000000001</v>
      </c>
    </row>
    <row r="9" spans="4:17" x14ac:dyDescent="0.25">
      <c r="D9" s="248" t="s">
        <v>89</v>
      </c>
      <c r="E9" s="248"/>
      <c r="F9" s="273">
        <v>19769.122296000001</v>
      </c>
      <c r="G9" s="274"/>
      <c r="H9" s="175">
        <f t="shared" si="0"/>
        <v>4.6232482584043576E-2</v>
      </c>
      <c r="K9" s="261" t="s">
        <v>117</v>
      </c>
      <c r="L9" s="261"/>
      <c r="M9" s="277">
        <f>'PROYECCIONES FINANCIERAS'!Q8</f>
        <v>362106976.54040003</v>
      </c>
      <c r="N9" s="277"/>
      <c r="O9" s="183">
        <f t="shared" si="1"/>
        <v>1.0114000000000001</v>
      </c>
    </row>
    <row r="10" spans="4:17" x14ac:dyDescent="0.25">
      <c r="D10" s="248" t="s">
        <v>90</v>
      </c>
      <c r="E10" s="248"/>
      <c r="F10" s="273">
        <v>19431.317455</v>
      </c>
      <c r="G10" s="274"/>
      <c r="H10" s="175">
        <f t="shared" si="0"/>
        <v>-1.7235174157039564E-2</v>
      </c>
      <c r="K10" s="261" t="s">
        <v>118</v>
      </c>
      <c r="L10" s="261"/>
      <c r="M10" s="277">
        <f>'PROYECCIONES FINANCIERAS'!U8</f>
        <v>366234996.07296062</v>
      </c>
      <c r="N10" s="277"/>
      <c r="O10" s="183">
        <f t="shared" si="1"/>
        <v>1.0114000000000001</v>
      </c>
    </row>
    <row r="11" spans="4:17" x14ac:dyDescent="0.25">
      <c r="D11" s="248" t="s">
        <v>91</v>
      </c>
      <c r="E11" s="248"/>
      <c r="F11" s="273">
        <v>19334.061464999999</v>
      </c>
      <c r="G11" s="274"/>
      <c r="H11" s="175">
        <f t="shared" si="0"/>
        <v>-5.0176831369538764E-3</v>
      </c>
      <c r="K11" s="248" t="s">
        <v>119</v>
      </c>
      <c r="L11" s="248"/>
      <c r="M11" s="277">
        <f>'PROYECCIONES FINANCIERAS'!Y8</f>
        <v>370410075.0281924</v>
      </c>
      <c r="N11" s="277"/>
      <c r="O11" s="183">
        <f t="shared" si="1"/>
        <v>1.0114000000000001</v>
      </c>
    </row>
    <row r="12" spans="4:17" x14ac:dyDescent="0.25">
      <c r="D12" s="248" t="s">
        <v>92</v>
      </c>
      <c r="E12" s="248"/>
      <c r="F12" s="273">
        <v>19944.816288000002</v>
      </c>
      <c r="G12" s="274"/>
      <c r="H12" s="175">
        <f t="shared" si="0"/>
        <v>3.1100891233017871E-2</v>
      </c>
      <c r="K12" s="278"/>
      <c r="L12" s="278"/>
      <c r="M12" s="284"/>
      <c r="N12" s="284"/>
      <c r="O12" s="182"/>
    </row>
    <row r="13" spans="4:17" x14ac:dyDescent="0.25">
      <c r="D13" s="248" t="s">
        <v>93</v>
      </c>
      <c r="E13" s="248"/>
      <c r="F13" s="273">
        <v>20288.019743000001</v>
      </c>
      <c r="G13" s="274"/>
      <c r="H13" s="175">
        <f t="shared" si="0"/>
        <v>1.7061277006280129E-2</v>
      </c>
      <c r="K13" s="269" t="s">
        <v>100</v>
      </c>
      <c r="L13" s="269"/>
      <c r="M13" s="270">
        <f>AVERAGE(M6:N11)</f>
        <v>360127922.27359217</v>
      </c>
      <c r="N13" s="270"/>
      <c r="O13" s="187">
        <f>AVERAGE(O6:O11)</f>
        <v>1.0114000000000001</v>
      </c>
      <c r="Q13" s="186"/>
    </row>
    <row r="14" spans="4:17" x14ac:dyDescent="0.25">
      <c r="D14" s="248" t="s">
        <v>94</v>
      </c>
      <c r="E14" s="248"/>
      <c r="F14" s="273">
        <v>20941.281460999999</v>
      </c>
      <c r="G14" s="274"/>
      <c r="H14" s="175">
        <f t="shared" si="0"/>
        <v>3.169184897915342E-2</v>
      </c>
      <c r="K14" s="278"/>
      <c r="L14" s="278"/>
      <c r="M14" s="284"/>
      <c r="N14" s="284"/>
      <c r="O14" s="182"/>
    </row>
    <row r="15" spans="4:17" x14ac:dyDescent="0.25">
      <c r="D15" s="248" t="s">
        <v>95</v>
      </c>
      <c r="E15" s="248"/>
      <c r="F15" s="273">
        <v>20842.719243</v>
      </c>
      <c r="G15" s="274"/>
      <c r="H15" s="175">
        <f t="shared" si="0"/>
        <v>-4.7177100873939332E-3</v>
      </c>
      <c r="K15" s="278"/>
      <c r="L15" s="278"/>
      <c r="M15" s="284"/>
      <c r="N15" s="284"/>
      <c r="O15" s="182"/>
    </row>
    <row r="16" spans="4:17" ht="15.75" x14ac:dyDescent="0.25">
      <c r="D16" s="250" t="s">
        <v>96</v>
      </c>
      <c r="E16" s="250"/>
      <c r="F16" s="273">
        <v>22117.35109</v>
      </c>
      <c r="G16" s="274"/>
      <c r="H16" s="175">
        <f t="shared" si="0"/>
        <v>5.9357727392064415E-2</v>
      </c>
      <c r="K16" s="281"/>
      <c r="L16" s="281"/>
      <c r="M16" s="281"/>
      <c r="N16" s="281"/>
      <c r="O16" s="281"/>
    </row>
    <row r="17" spans="3:15" x14ac:dyDescent="0.25">
      <c r="D17" s="250" t="s">
        <v>131</v>
      </c>
      <c r="E17" s="250"/>
      <c r="F17" s="277">
        <v>20930.487851999998</v>
      </c>
      <c r="G17" s="277"/>
      <c r="H17" s="175">
        <f t="shared" si="0"/>
        <v>-5.515557274530123E-2</v>
      </c>
      <c r="I17" s="174"/>
      <c r="K17" s="282"/>
      <c r="L17" s="282"/>
      <c r="M17" s="282"/>
      <c r="N17" s="282"/>
      <c r="O17" s="282"/>
    </row>
    <row r="18" spans="3:15" x14ac:dyDescent="0.25">
      <c r="C18" s="38"/>
      <c r="D18" s="193"/>
      <c r="E18" s="193"/>
      <c r="F18" s="190"/>
      <c r="G18" s="190"/>
      <c r="H18" s="182"/>
      <c r="I18" s="182"/>
      <c r="K18" s="191"/>
      <c r="L18" s="191"/>
      <c r="M18" s="191"/>
      <c r="N18" s="191"/>
      <c r="O18" s="191"/>
    </row>
    <row r="19" spans="3:15" x14ac:dyDescent="0.25">
      <c r="D19" s="269" t="s">
        <v>100</v>
      </c>
      <c r="E19" s="269"/>
      <c r="F19" s="270">
        <f>AVERAGE(F6:G17)</f>
        <v>19883.236790416668</v>
      </c>
      <c r="G19" s="270"/>
      <c r="H19" s="181">
        <f>AVERAGE(H6:H17)</f>
        <v>1.3720968024184143E-2</v>
      </c>
      <c r="K19" s="283"/>
      <c r="L19" s="283"/>
      <c r="M19" s="283"/>
      <c r="N19" s="283"/>
      <c r="O19" s="184"/>
    </row>
    <row r="20" spans="3:15" x14ac:dyDescent="0.25">
      <c r="H20" s="173"/>
      <c r="I20" s="173"/>
      <c r="K20" s="278"/>
      <c r="L20" s="278"/>
      <c r="M20" s="279"/>
      <c r="N20" s="279"/>
      <c r="O20" s="185"/>
    </row>
    <row r="21" spans="3:15" ht="15.75" thickBot="1" x14ac:dyDescent="0.3">
      <c r="K21" s="278"/>
      <c r="L21" s="278"/>
      <c r="M21" s="279"/>
      <c r="N21" s="279"/>
      <c r="O21" s="182"/>
    </row>
    <row r="22" spans="3:15" ht="15.75" x14ac:dyDescent="0.25">
      <c r="D22" s="266" t="s">
        <v>24</v>
      </c>
      <c r="E22" s="267"/>
      <c r="F22" s="267"/>
      <c r="G22" s="267"/>
      <c r="H22" s="268"/>
      <c r="K22" s="266" t="s">
        <v>50</v>
      </c>
      <c r="L22" s="267"/>
      <c r="M22" s="267"/>
      <c r="N22" s="267"/>
      <c r="O22" s="268"/>
    </row>
    <row r="23" spans="3:15" ht="15.75" thickBot="1" x14ac:dyDescent="0.3">
      <c r="D23" s="263" t="s">
        <v>85</v>
      </c>
      <c r="E23" s="264"/>
      <c r="F23" s="264"/>
      <c r="G23" s="264"/>
      <c r="H23" s="265"/>
      <c r="K23" s="263" t="s">
        <v>108</v>
      </c>
      <c r="L23" s="264"/>
      <c r="M23" s="264"/>
      <c r="N23" s="264"/>
      <c r="O23" s="265"/>
    </row>
    <row r="24" spans="3:15" ht="32.25" customHeight="1" thickBot="1" x14ac:dyDescent="0.3">
      <c r="D24" s="257" t="s">
        <v>98</v>
      </c>
      <c r="E24" s="258"/>
      <c r="F24" s="259" t="s">
        <v>107</v>
      </c>
      <c r="G24" s="260"/>
      <c r="H24" s="178" t="s">
        <v>106</v>
      </c>
      <c r="K24" s="271" t="s">
        <v>109</v>
      </c>
      <c r="L24" s="272"/>
      <c r="M24" s="271" t="s">
        <v>120</v>
      </c>
      <c r="N24" s="272"/>
      <c r="O24" s="178" t="s">
        <v>121</v>
      </c>
    </row>
    <row r="25" spans="3:15" x14ac:dyDescent="0.25">
      <c r="D25" s="261" t="s">
        <v>86</v>
      </c>
      <c r="E25" s="261"/>
      <c r="F25" s="262">
        <f t="shared" ref="F25:F36" si="2">F6-$F$19</f>
        <v>-1884.9568104166683</v>
      </c>
      <c r="G25" s="262"/>
      <c r="H25" s="176" t="s">
        <v>99</v>
      </c>
      <c r="K25" s="261" t="s">
        <v>112</v>
      </c>
      <c r="L25" s="261"/>
      <c r="M25" s="249">
        <f t="shared" ref="M25:M30" si="3">M6-$M$13</f>
        <v>-10127922.273592174</v>
      </c>
      <c r="N25" s="249"/>
      <c r="O25" s="176" t="s">
        <v>99</v>
      </c>
    </row>
    <row r="26" spans="3:15" x14ac:dyDescent="0.25">
      <c r="D26" s="248" t="s">
        <v>87</v>
      </c>
      <c r="E26" s="248"/>
      <c r="F26" s="262">
        <f t="shared" si="2"/>
        <v>-1757.8046864166681</v>
      </c>
      <c r="G26" s="262"/>
      <c r="H26" s="175">
        <f t="shared" ref="H26:H36" si="4">H7-$H$19</f>
        <v>-6.6811240105984146E-3</v>
      </c>
      <c r="K26" s="261" t="s">
        <v>116</v>
      </c>
      <c r="L26" s="261"/>
      <c r="M26" s="249">
        <f t="shared" si="3"/>
        <v>-6137922.2735921741</v>
      </c>
      <c r="N26" s="249"/>
      <c r="O26" s="175">
        <f>O7-$O$13</f>
        <v>0</v>
      </c>
    </row>
    <row r="27" spans="3:15" x14ac:dyDescent="0.25">
      <c r="D27" s="248" t="s">
        <v>88</v>
      </c>
      <c r="E27" s="248"/>
      <c r="F27" s="262">
        <f t="shared" si="2"/>
        <v>-1007.2842824166692</v>
      </c>
      <c r="G27" s="262"/>
      <c r="H27" s="175">
        <f t="shared" si="4"/>
        <v>2.6851749160384894E-2</v>
      </c>
      <c r="K27" s="261" t="s">
        <v>113</v>
      </c>
      <c r="L27" s="261"/>
      <c r="M27" s="249">
        <f t="shared" si="3"/>
        <v>-2102436.2735921741</v>
      </c>
      <c r="N27" s="249"/>
      <c r="O27" s="175">
        <f>O8-$O$13</f>
        <v>0</v>
      </c>
    </row>
    <row r="28" spans="3:15" x14ac:dyDescent="0.25">
      <c r="D28" s="248" t="s">
        <v>89</v>
      </c>
      <c r="E28" s="248"/>
      <c r="F28" s="262">
        <f t="shared" si="2"/>
        <v>-114.11449441666628</v>
      </c>
      <c r="G28" s="262"/>
      <c r="H28" s="175">
        <f t="shared" si="4"/>
        <v>3.2511514559859435E-2</v>
      </c>
      <c r="K28" s="261" t="s">
        <v>117</v>
      </c>
      <c r="L28" s="261"/>
      <c r="M28" s="249">
        <f t="shared" si="3"/>
        <v>1979054.2668078542</v>
      </c>
      <c r="N28" s="249"/>
      <c r="O28" s="175">
        <f>O9-$O$13</f>
        <v>0</v>
      </c>
    </row>
    <row r="29" spans="3:15" x14ac:dyDescent="0.25">
      <c r="D29" s="248" t="s">
        <v>90</v>
      </c>
      <c r="E29" s="248"/>
      <c r="F29" s="262">
        <f t="shared" si="2"/>
        <v>-451.91933541666731</v>
      </c>
      <c r="G29" s="262"/>
      <c r="H29" s="175">
        <f t="shared" si="4"/>
        <v>-3.0956142181223709E-2</v>
      </c>
      <c r="K29" s="261" t="s">
        <v>118</v>
      </c>
      <c r="L29" s="261"/>
      <c r="M29" s="249">
        <f t="shared" si="3"/>
        <v>6107073.7993684411</v>
      </c>
      <c r="N29" s="249"/>
      <c r="O29" s="175">
        <f>O10-$O$13</f>
        <v>0</v>
      </c>
    </row>
    <row r="30" spans="3:15" x14ac:dyDescent="0.25">
      <c r="D30" s="248" t="s">
        <v>91</v>
      </c>
      <c r="E30" s="248"/>
      <c r="F30" s="262">
        <f t="shared" si="2"/>
        <v>-549.17532541666878</v>
      </c>
      <c r="G30" s="262"/>
      <c r="H30" s="175">
        <f t="shared" si="4"/>
        <v>-1.8738651161138018E-2</v>
      </c>
      <c r="K30" s="248" t="s">
        <v>119</v>
      </c>
      <c r="L30" s="248"/>
      <c r="M30" s="249">
        <f t="shared" si="3"/>
        <v>10282152.754600227</v>
      </c>
      <c r="N30" s="249"/>
      <c r="O30" s="175">
        <f>O11-$O$13</f>
        <v>0</v>
      </c>
    </row>
    <row r="31" spans="3:15" x14ac:dyDescent="0.25">
      <c r="D31" s="248" t="s">
        <v>92</v>
      </c>
      <c r="E31" s="248"/>
      <c r="F31" s="262">
        <f t="shared" si="2"/>
        <v>61.57949758333416</v>
      </c>
      <c r="G31" s="262"/>
      <c r="H31" s="175">
        <f t="shared" si="4"/>
        <v>1.7379923208833727E-2</v>
      </c>
      <c r="M31" s="186"/>
      <c r="N31" s="186"/>
      <c r="O31" s="174"/>
    </row>
    <row r="32" spans="3:15" x14ac:dyDescent="0.25">
      <c r="D32" s="248" t="s">
        <v>93</v>
      </c>
      <c r="E32" s="248"/>
      <c r="F32" s="262">
        <f t="shared" si="2"/>
        <v>404.7829525833331</v>
      </c>
      <c r="G32" s="262"/>
      <c r="H32" s="175">
        <f t="shared" si="4"/>
        <v>3.3403089820959863E-3</v>
      </c>
    </row>
    <row r="33" spans="4:15" x14ac:dyDescent="0.25">
      <c r="D33" s="248" t="s">
        <v>94</v>
      </c>
      <c r="E33" s="248"/>
      <c r="F33" s="262">
        <f t="shared" si="2"/>
        <v>1058.044670583331</v>
      </c>
      <c r="G33" s="262"/>
      <c r="H33" s="175">
        <f t="shared" si="4"/>
        <v>1.7970880954969279E-2</v>
      </c>
    </row>
    <row r="34" spans="4:15" x14ac:dyDescent="0.25">
      <c r="D34" s="248" t="s">
        <v>95</v>
      </c>
      <c r="E34" s="248"/>
      <c r="F34" s="262">
        <f t="shared" si="2"/>
        <v>959.48245258333191</v>
      </c>
      <c r="G34" s="262"/>
      <c r="H34" s="175">
        <f t="shared" si="4"/>
        <v>-1.8438678111578077E-2</v>
      </c>
    </row>
    <row r="35" spans="4:15" x14ac:dyDescent="0.25">
      <c r="D35" s="250" t="s">
        <v>96</v>
      </c>
      <c r="E35" s="250"/>
      <c r="F35" s="262">
        <f t="shared" si="2"/>
        <v>2234.1142995833325</v>
      </c>
      <c r="G35" s="262"/>
      <c r="H35" s="175">
        <f t="shared" si="4"/>
        <v>4.5636759367880274E-2</v>
      </c>
    </row>
    <row r="36" spans="4:15" x14ac:dyDescent="0.25">
      <c r="D36" s="250" t="s">
        <v>131</v>
      </c>
      <c r="E36" s="250"/>
      <c r="F36" s="262">
        <f t="shared" si="2"/>
        <v>1047.2510615833307</v>
      </c>
      <c r="G36" s="262"/>
      <c r="H36" s="175">
        <f t="shared" si="4"/>
        <v>-6.8876540769485378E-2</v>
      </c>
    </row>
    <row r="37" spans="4:15" ht="15.75" thickBot="1" x14ac:dyDescent="0.3"/>
    <row r="38" spans="4:15" ht="15.75" x14ac:dyDescent="0.25">
      <c r="D38" s="266" t="s">
        <v>24</v>
      </c>
      <c r="E38" s="267"/>
      <c r="F38" s="267"/>
      <c r="G38" s="267"/>
      <c r="H38" s="268"/>
      <c r="K38" s="266" t="s">
        <v>50</v>
      </c>
      <c r="L38" s="267"/>
      <c r="M38" s="267"/>
      <c r="N38" s="267"/>
      <c r="O38" s="268"/>
    </row>
    <row r="39" spans="4:15" ht="15.75" thickBot="1" x14ac:dyDescent="0.3">
      <c r="D39" s="263" t="s">
        <v>85</v>
      </c>
      <c r="E39" s="264"/>
      <c r="F39" s="264"/>
      <c r="G39" s="264"/>
      <c r="H39" s="265"/>
      <c r="K39" s="263" t="s">
        <v>108</v>
      </c>
      <c r="L39" s="264"/>
      <c r="M39" s="264"/>
      <c r="N39" s="264"/>
      <c r="O39" s="265"/>
    </row>
    <row r="40" spans="4:15" ht="30.75" customHeight="1" thickBot="1" x14ac:dyDescent="0.3">
      <c r="D40" s="257" t="s">
        <v>98</v>
      </c>
      <c r="E40" s="258"/>
      <c r="F40" s="259" t="s">
        <v>101</v>
      </c>
      <c r="G40" s="260"/>
      <c r="H40" s="178" t="s">
        <v>102</v>
      </c>
      <c r="K40" s="271" t="s">
        <v>109</v>
      </c>
      <c r="L40" s="272"/>
      <c r="M40" s="271" t="s">
        <v>122</v>
      </c>
      <c r="N40" s="272"/>
      <c r="O40" s="178" t="s">
        <v>102</v>
      </c>
    </row>
    <row r="41" spans="4:15" x14ac:dyDescent="0.25">
      <c r="D41" s="261" t="s">
        <v>86</v>
      </c>
      <c r="E41" s="261"/>
      <c r="F41" s="249">
        <f>(F25)^2</f>
        <v>3553062.1771361795</v>
      </c>
      <c r="G41" s="249"/>
      <c r="H41" s="176" t="s">
        <v>99</v>
      </c>
      <c r="K41" s="261" t="s">
        <v>112</v>
      </c>
      <c r="L41" s="261"/>
      <c r="M41" s="249">
        <f>(M25)^2</f>
        <v>102574809579924.47</v>
      </c>
      <c r="N41" s="249"/>
      <c r="O41" s="176" t="s">
        <v>99</v>
      </c>
    </row>
    <row r="42" spans="4:15" x14ac:dyDescent="0.25">
      <c r="D42" s="248" t="s">
        <v>87</v>
      </c>
      <c r="E42" s="248"/>
      <c r="F42" s="249">
        <f t="shared" ref="F42:F52" si="5">(F26)^2</f>
        <v>3089877.3155884012</v>
      </c>
      <c r="G42" s="249"/>
      <c r="H42" s="177">
        <f>(H26)^2</f>
        <v>4.4637418044994644E-5</v>
      </c>
      <c r="K42" s="261" t="s">
        <v>116</v>
      </c>
      <c r="L42" s="261"/>
      <c r="M42" s="249">
        <f t="shared" ref="M42:M46" si="6">(M26)^2</f>
        <v>37674089836658.922</v>
      </c>
      <c r="N42" s="249"/>
      <c r="O42" s="175">
        <f>(O26)^2</f>
        <v>0</v>
      </c>
    </row>
    <row r="43" spans="4:15" x14ac:dyDescent="0.25">
      <c r="D43" s="248" t="s">
        <v>88</v>
      </c>
      <c r="E43" s="248"/>
      <c r="F43" s="249">
        <f t="shared" si="5"/>
        <v>1014621.6256036641</v>
      </c>
      <c r="G43" s="249"/>
      <c r="H43" s="177">
        <f t="shared" ref="H43:H52" si="7">(H27)^2</f>
        <v>7.2101643297223087E-4</v>
      </c>
      <c r="K43" s="261" t="s">
        <v>113</v>
      </c>
      <c r="L43" s="261"/>
      <c r="M43" s="249">
        <f t="shared" si="6"/>
        <v>4420238284516.1465</v>
      </c>
      <c r="N43" s="249"/>
      <c r="O43" s="175">
        <f t="shared" ref="O43:O46" si="8">(O27)^2</f>
        <v>0</v>
      </c>
    </row>
    <row r="44" spans="4:15" x14ac:dyDescent="0.25">
      <c r="D44" s="248" t="s">
        <v>89</v>
      </c>
      <c r="E44" s="248"/>
      <c r="F44" s="249">
        <f t="shared" si="5"/>
        <v>13022.117835971358</v>
      </c>
      <c r="G44" s="249"/>
      <c r="H44" s="177">
        <f t="shared" si="7"/>
        <v>1.056998578975952E-3</v>
      </c>
      <c r="K44" s="261" t="s">
        <v>117</v>
      </c>
      <c r="L44" s="261"/>
      <c r="M44" s="249">
        <f t="shared" si="6"/>
        <v>3916655790970.373</v>
      </c>
      <c r="N44" s="249"/>
      <c r="O44" s="175">
        <f t="shared" si="8"/>
        <v>0</v>
      </c>
    </row>
    <row r="45" spans="4:15" x14ac:dyDescent="0.25">
      <c r="D45" s="248" t="s">
        <v>90</v>
      </c>
      <c r="E45" s="248"/>
      <c r="F45" s="249">
        <f t="shared" si="5"/>
        <v>204231.08572344226</v>
      </c>
      <c r="G45" s="249"/>
      <c r="H45" s="177">
        <f t="shared" si="7"/>
        <v>9.5828273874413777E-4</v>
      </c>
      <c r="K45" s="261" t="s">
        <v>118</v>
      </c>
      <c r="L45" s="261"/>
      <c r="M45" s="249">
        <f t="shared" si="6"/>
        <v>37296350390932.484</v>
      </c>
      <c r="N45" s="249"/>
      <c r="O45" s="175">
        <f t="shared" si="8"/>
        <v>0</v>
      </c>
    </row>
    <row r="46" spans="4:15" x14ac:dyDescent="0.25">
      <c r="D46" s="248" t="s">
        <v>91</v>
      </c>
      <c r="E46" s="248"/>
      <c r="F46" s="249">
        <f t="shared" si="5"/>
        <v>301593.53804650408</v>
      </c>
      <c r="G46" s="249"/>
      <c r="H46" s="177">
        <f t="shared" si="7"/>
        <v>3.5113704733881918E-4</v>
      </c>
      <c r="K46" s="248" t="s">
        <v>119</v>
      </c>
      <c r="L46" s="248"/>
      <c r="M46" s="249">
        <f t="shared" si="6"/>
        <v>105722665268933.03</v>
      </c>
      <c r="N46" s="249"/>
      <c r="O46" s="175">
        <f t="shared" si="8"/>
        <v>0</v>
      </c>
    </row>
    <row r="47" spans="4:15" x14ac:dyDescent="0.25">
      <c r="D47" s="248" t="s">
        <v>92</v>
      </c>
      <c r="E47" s="248"/>
      <c r="F47" s="249">
        <f t="shared" si="5"/>
        <v>3792.0345226158574</v>
      </c>
      <c r="G47" s="249"/>
      <c r="H47" s="177">
        <f t="shared" si="7"/>
        <v>3.0206173074495723E-4</v>
      </c>
    </row>
    <row r="48" spans="4:15" x14ac:dyDescent="0.25">
      <c r="D48" s="248" t="s">
        <v>93</v>
      </c>
      <c r="E48" s="248"/>
      <c r="F48" s="249">
        <f t="shared" si="5"/>
        <v>163849.23870208088</v>
      </c>
      <c r="G48" s="249"/>
      <c r="H48" s="177">
        <f t="shared" si="7"/>
        <v>1.1157664095871124E-5</v>
      </c>
    </row>
    <row r="49" spans="4:15" x14ac:dyDescent="0.25">
      <c r="D49" s="248" t="s">
        <v>94</v>
      </c>
      <c r="E49" s="248"/>
      <c r="F49" s="249">
        <f t="shared" si="5"/>
        <v>1119458.5249497895</v>
      </c>
      <c r="G49" s="249"/>
      <c r="H49" s="177">
        <f t="shared" si="7"/>
        <v>3.2295256229767754E-4</v>
      </c>
    </row>
    <row r="50" spans="4:15" x14ac:dyDescent="0.25">
      <c r="D50" s="248" t="s">
        <v>95</v>
      </c>
      <c r="E50" s="248"/>
      <c r="F50" s="249">
        <f t="shared" si="5"/>
        <v>920606.57681532577</v>
      </c>
      <c r="G50" s="249"/>
      <c r="H50" s="177">
        <f t="shared" si="7"/>
        <v>3.3998485050238845E-4</v>
      </c>
      <c r="K50" s="251" t="s">
        <v>103</v>
      </c>
      <c r="L50" s="251"/>
      <c r="M50" s="252">
        <f>SUM(M41:N46)</f>
        <v>291604809151935.38</v>
      </c>
      <c r="N50" s="252"/>
      <c r="O50" s="188">
        <f>SUM(O41:O46)</f>
        <v>0</v>
      </c>
    </row>
    <row r="51" spans="4:15" x14ac:dyDescent="0.25">
      <c r="D51" s="250" t="s">
        <v>96</v>
      </c>
      <c r="E51" s="250"/>
      <c r="F51" s="249">
        <f t="shared" si="5"/>
        <v>4991266.7036027238</v>
      </c>
      <c r="G51" s="249"/>
      <c r="H51" s="177">
        <f t="shared" si="7"/>
        <v>2.0827138056018078E-3</v>
      </c>
      <c r="K51" s="251" t="s">
        <v>104</v>
      </c>
      <c r="L51" s="251"/>
      <c r="M51" s="253">
        <f>(M50/5)</f>
        <v>58320961830387.078</v>
      </c>
      <c r="N51" s="254"/>
      <c r="O51" s="188">
        <f>(O50/10)</f>
        <v>0</v>
      </c>
    </row>
    <row r="52" spans="4:15" x14ac:dyDescent="0.25">
      <c r="D52" s="250" t="s">
        <v>131</v>
      </c>
      <c r="E52" s="250"/>
      <c r="F52" s="249">
        <f t="shared" si="5"/>
        <v>1096734.7859874133</v>
      </c>
      <c r="G52" s="249"/>
      <c r="H52" s="177">
        <f t="shared" si="7"/>
        <v>4.7439778683705811E-3</v>
      </c>
    </row>
    <row r="53" spans="4:15" ht="15.75" x14ac:dyDescent="0.25">
      <c r="D53" s="251" t="s">
        <v>103</v>
      </c>
      <c r="E53" s="251"/>
      <c r="F53" s="252">
        <f>SUM(F41:G52)</f>
        <v>16472115.724514112</v>
      </c>
      <c r="G53" s="252"/>
      <c r="H53" s="179">
        <f>SUM(H41:H52)</f>
        <v>1.0934920697689417E-2</v>
      </c>
      <c r="K53" s="255" t="s">
        <v>105</v>
      </c>
      <c r="L53" s="255"/>
      <c r="M53" s="256">
        <f>SQRT(M51)</f>
        <v>7636816.2103318339</v>
      </c>
      <c r="N53" s="256"/>
      <c r="O53" s="194">
        <f>(SQRT(O51))/100</f>
        <v>0</v>
      </c>
    </row>
    <row r="54" spans="4:15" x14ac:dyDescent="0.25">
      <c r="D54" s="251" t="s">
        <v>104</v>
      </c>
      <c r="E54" s="251"/>
      <c r="F54" s="253">
        <f>(F53/10)</f>
        <v>1647211.5724514113</v>
      </c>
      <c r="G54" s="254"/>
      <c r="H54" s="179">
        <f>(H53/10)</f>
        <v>1.0934920697689417E-3</v>
      </c>
    </row>
    <row r="56" spans="4:15" ht="15" customHeight="1" x14ac:dyDescent="0.25">
      <c r="D56" s="255" t="s">
        <v>105</v>
      </c>
      <c r="E56" s="255"/>
      <c r="F56" s="256">
        <f>SQRT(F54)</f>
        <v>1283.4374049603709</v>
      </c>
      <c r="G56" s="256"/>
      <c r="H56" s="194">
        <f>(SQRT(H54))/100</f>
        <v>3.3067991619826895E-4</v>
      </c>
    </row>
    <row r="57" spans="4:15" ht="15.75" thickBot="1" x14ac:dyDescent="0.3">
      <c r="D57" s="180"/>
      <c r="E57" s="180"/>
    </row>
    <row r="58" spans="4:15" ht="15" customHeight="1" x14ac:dyDescent="0.25">
      <c r="J58" s="297" t="s">
        <v>126</v>
      </c>
      <c r="K58" s="298"/>
      <c r="L58" s="298"/>
      <c r="M58" s="299"/>
      <c r="O58" s="285" t="s">
        <v>124</v>
      </c>
    </row>
    <row r="59" spans="4:15" ht="15.75" thickBot="1" x14ac:dyDescent="0.3">
      <c r="J59" s="300"/>
      <c r="K59" s="301"/>
      <c r="L59" s="301"/>
      <c r="M59" s="302"/>
      <c r="O59" s="286"/>
    </row>
    <row r="60" spans="4:15" ht="15" customHeight="1" x14ac:dyDescent="0.25">
      <c r="D60" s="297" t="s">
        <v>123</v>
      </c>
      <c r="E60" s="298"/>
      <c r="F60" s="299"/>
      <c r="H60" s="285" t="s">
        <v>124</v>
      </c>
      <c r="I60" s="110"/>
      <c r="J60" s="300"/>
      <c r="K60" s="301"/>
      <c r="L60" s="301"/>
      <c r="M60" s="302"/>
      <c r="O60" s="286"/>
    </row>
    <row r="61" spans="4:15" ht="15.75" thickBot="1" x14ac:dyDescent="0.3">
      <c r="D61" s="300"/>
      <c r="E61" s="301"/>
      <c r="F61" s="302"/>
      <c r="H61" s="286"/>
      <c r="I61" s="110"/>
      <c r="J61" s="300"/>
      <c r="K61" s="301"/>
      <c r="L61" s="301"/>
      <c r="M61" s="302"/>
      <c r="O61" s="287"/>
    </row>
    <row r="62" spans="4:15" x14ac:dyDescent="0.25">
      <c r="D62" s="300"/>
      <c r="E62" s="301"/>
      <c r="F62" s="302"/>
      <c r="H62" s="286"/>
      <c r="I62" s="110"/>
      <c r="J62" s="300"/>
      <c r="K62" s="301"/>
      <c r="L62" s="301"/>
      <c r="M62" s="302"/>
    </row>
    <row r="63" spans="4:15" ht="15.75" thickBot="1" x14ac:dyDescent="0.3">
      <c r="D63" s="300"/>
      <c r="E63" s="301"/>
      <c r="F63" s="302"/>
      <c r="H63" s="287"/>
      <c r="I63" s="110"/>
      <c r="J63" s="300"/>
      <c r="K63" s="301"/>
      <c r="L63" s="301"/>
      <c r="M63" s="302"/>
    </row>
    <row r="64" spans="4:15" x14ac:dyDescent="0.25">
      <c r="D64" s="300"/>
      <c r="E64" s="301"/>
      <c r="F64" s="302"/>
      <c r="J64" s="300"/>
      <c r="K64" s="301"/>
      <c r="L64" s="301"/>
      <c r="M64" s="302"/>
    </row>
    <row r="65" spans="4:13" ht="15.75" thickBot="1" x14ac:dyDescent="0.3">
      <c r="D65" s="300"/>
      <c r="E65" s="301"/>
      <c r="F65" s="302"/>
      <c r="J65" s="303"/>
      <c r="K65" s="304"/>
      <c r="L65" s="304"/>
      <c r="M65" s="305"/>
    </row>
    <row r="66" spans="4:13" ht="15.75" customHeight="1" thickBot="1" x14ac:dyDescent="0.3">
      <c r="D66" s="303"/>
      <c r="E66" s="304"/>
      <c r="F66" s="305"/>
    </row>
    <row r="67" spans="4:13" ht="15.75" thickBot="1" x14ac:dyDescent="0.3"/>
    <row r="68" spans="4:13" ht="15" customHeight="1" x14ac:dyDescent="0.25">
      <c r="H68" s="288" t="s">
        <v>125</v>
      </c>
      <c r="I68" s="289"/>
      <c r="J68" s="289"/>
      <c r="K68" s="290"/>
    </row>
    <row r="69" spans="4:13" ht="15" customHeight="1" x14ac:dyDescent="0.25">
      <c r="H69" s="291"/>
      <c r="I69" s="292"/>
      <c r="J69" s="292"/>
      <c r="K69" s="293"/>
    </row>
    <row r="70" spans="4:13" x14ac:dyDescent="0.25">
      <c r="H70" s="291"/>
      <c r="I70" s="292"/>
      <c r="J70" s="292"/>
      <c r="K70" s="293"/>
    </row>
    <row r="71" spans="4:13" x14ac:dyDescent="0.25">
      <c r="H71" s="291"/>
      <c r="I71" s="292"/>
      <c r="J71" s="292"/>
      <c r="K71" s="293"/>
    </row>
    <row r="72" spans="4:13" ht="15.75" thickBot="1" x14ac:dyDescent="0.3">
      <c r="H72" s="294"/>
      <c r="I72" s="295"/>
      <c r="J72" s="295"/>
      <c r="K72" s="296"/>
    </row>
  </sheetData>
  <mergeCells count="169">
    <mergeCell ref="D17:E17"/>
    <mergeCell ref="F17:G17"/>
    <mergeCell ref="D36:E36"/>
    <mergeCell ref="F36:G36"/>
    <mergeCell ref="D52:E52"/>
    <mergeCell ref="F52:G52"/>
    <mergeCell ref="O58:O61"/>
    <mergeCell ref="H68:K72"/>
    <mergeCell ref="D60:F66"/>
    <mergeCell ref="H60:H63"/>
    <mergeCell ref="K51:L51"/>
    <mergeCell ref="M51:N51"/>
    <mergeCell ref="K53:L53"/>
    <mergeCell ref="M53:N53"/>
    <mergeCell ref="J58:M65"/>
    <mergeCell ref="K45:L45"/>
    <mergeCell ref="M45:N45"/>
    <mergeCell ref="K46:L46"/>
    <mergeCell ref="M46:N46"/>
    <mergeCell ref="K50:L50"/>
    <mergeCell ref="M50:N50"/>
    <mergeCell ref="K42:L42"/>
    <mergeCell ref="M42:N42"/>
    <mergeCell ref="K43:L43"/>
    <mergeCell ref="M43:N43"/>
    <mergeCell ref="K44:L44"/>
    <mergeCell ref="M44:N44"/>
    <mergeCell ref="K39:O39"/>
    <mergeCell ref="K40:L40"/>
    <mergeCell ref="M40:N40"/>
    <mergeCell ref="K41:L41"/>
    <mergeCell ref="M41:N41"/>
    <mergeCell ref="K29:L29"/>
    <mergeCell ref="M29:N29"/>
    <mergeCell ref="K30:L30"/>
    <mergeCell ref="M30:N30"/>
    <mergeCell ref="K38:O38"/>
    <mergeCell ref="K26:L26"/>
    <mergeCell ref="M26:N26"/>
    <mergeCell ref="K27:L27"/>
    <mergeCell ref="M27:N27"/>
    <mergeCell ref="K28:L28"/>
    <mergeCell ref="M28:N28"/>
    <mergeCell ref="K24:L24"/>
    <mergeCell ref="M24:N24"/>
    <mergeCell ref="K25:L25"/>
    <mergeCell ref="M25:N25"/>
    <mergeCell ref="K23:O23"/>
    <mergeCell ref="K20:L20"/>
    <mergeCell ref="M20:N20"/>
    <mergeCell ref="K21:L21"/>
    <mergeCell ref="M21:N21"/>
    <mergeCell ref="K22:O22"/>
    <mergeCell ref="D1:H1"/>
    <mergeCell ref="K1:O1"/>
    <mergeCell ref="K16:O16"/>
    <mergeCell ref="K17:O17"/>
    <mergeCell ref="K19:L19"/>
    <mergeCell ref="M19:N19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7"/>
    <mergeCell ref="M7:N7"/>
    <mergeCell ref="K8:L8"/>
    <mergeCell ref="M8:N8"/>
    <mergeCell ref="K9:L9"/>
    <mergeCell ref="M9:N9"/>
    <mergeCell ref="K3:O3"/>
    <mergeCell ref="K4:O4"/>
    <mergeCell ref="K5:L5"/>
    <mergeCell ref="M5:N5"/>
    <mergeCell ref="K6:L6"/>
    <mergeCell ref="M6:N6"/>
    <mergeCell ref="D16:E16"/>
    <mergeCell ref="F6:G6"/>
    <mergeCell ref="F7:G7"/>
    <mergeCell ref="F8:G8"/>
    <mergeCell ref="F9:G9"/>
    <mergeCell ref="F10:G10"/>
    <mergeCell ref="F11:G11"/>
    <mergeCell ref="D7:E7"/>
    <mergeCell ref="D8:E8"/>
    <mergeCell ref="D9:E9"/>
    <mergeCell ref="D10:E10"/>
    <mergeCell ref="D11:E11"/>
    <mergeCell ref="D12:E12"/>
    <mergeCell ref="D6:E6"/>
    <mergeCell ref="F16:G16"/>
    <mergeCell ref="D3:H3"/>
    <mergeCell ref="D4:H4"/>
    <mergeCell ref="D13:E13"/>
    <mergeCell ref="D14:E14"/>
    <mergeCell ref="D15:E15"/>
    <mergeCell ref="D5:E5"/>
    <mergeCell ref="F5:G5"/>
    <mergeCell ref="F12:G12"/>
    <mergeCell ref="F13:G13"/>
    <mergeCell ref="F14:G14"/>
    <mergeCell ref="F15:G15"/>
    <mergeCell ref="D19:E19"/>
    <mergeCell ref="F19:G19"/>
    <mergeCell ref="D22:H22"/>
    <mergeCell ref="D23:H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9:H39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8:H38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3:E53"/>
    <mergeCell ref="F53:G53"/>
    <mergeCell ref="D54:E54"/>
    <mergeCell ref="F54:G54"/>
    <mergeCell ref="D56:E56"/>
    <mergeCell ref="F56:G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COMPARATIVO</vt:lpstr>
      <vt:lpstr>INFORMACIÓN TASAS</vt:lpstr>
      <vt:lpstr>PROYECCIONES FINANCIERAS</vt:lpstr>
      <vt:lpstr>ANÁLISIS COMPARATIVO</vt:lpstr>
      <vt:lpstr>ANÁLISIS DE RIESGO ANUAL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Idis Duarte</dc:creator>
  <cp:keywords/>
  <dc:description/>
  <cp:lastModifiedBy>ASTRID GOMEZ PINEDA</cp:lastModifiedBy>
  <cp:revision/>
  <dcterms:created xsi:type="dcterms:W3CDTF">2019-11-10T17:37:56Z</dcterms:created>
  <dcterms:modified xsi:type="dcterms:W3CDTF">2021-07-08T21:43:36Z</dcterms:modified>
  <cp:category/>
  <cp:contentStatus/>
</cp:coreProperties>
</file>