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gomez\OneDrive\BIBLIOTECA\2021\Proyectos de grado\Administracion de empresas\"/>
    </mc:Choice>
  </mc:AlternateContent>
  <bookViews>
    <workbookView xWindow="0" yWindow="0" windowWidth="28800" windowHeight="12000" tabRatio="918" firstSheet="2" activeTab="12"/>
  </bookViews>
  <sheets>
    <sheet name="MAQUINARIA Y EQUIPO" sheetId="27" r:id="rId1"/>
    <sheet name="MATERIA PRIMA " sheetId="29" r:id="rId2"/>
    <sheet name="Amort" sheetId="22" r:id="rId3"/>
    <sheet name="PRESUPUESTOS" sheetId="2" r:id="rId4"/>
    <sheet name="Nomina" sheetId="23" r:id="rId5"/>
    <sheet name="GyP" sheetId="11" r:id="rId6"/>
    <sheet name="Bal. Inicial" sheetId="21" r:id="rId7"/>
    <sheet name="BALANCE" sheetId="15" r:id="rId8"/>
    <sheet name="iNVERSION" sheetId="20" r:id="rId9"/>
    <sheet name="FLUJO-CAJA CON" sheetId="5" r:id="rId10"/>
    <sheet name="Indicadores" sheetId="26" r:id="rId11"/>
    <sheet name="Punto_Equilibrio" sheetId="16" r:id="rId12"/>
    <sheet name="van y Tir" sheetId="25" r:id="rId13"/>
  </sheets>
  <externalReferences>
    <externalReference r:id="rId14"/>
  </externalReferences>
  <definedNames>
    <definedName name="pago">PRESUPUESTOS!#REF!</definedName>
    <definedName name="tir">'FLUJO-CAJA CON'!$B$40</definedName>
    <definedName name="van">'FLUJO-CAJA CON'!$B$41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5" l="1"/>
  <c r="B6" i="25"/>
  <c r="I6" i="2"/>
  <c r="I4" i="2"/>
  <c r="B21" i="5"/>
  <c r="B20" i="5"/>
  <c r="J4" i="2" l="1"/>
  <c r="I5" i="2" l="1"/>
  <c r="I7" i="2"/>
  <c r="I8" i="2"/>
  <c r="G5" i="2"/>
  <c r="J28" i="23"/>
  <c r="D34" i="16" l="1"/>
  <c r="G28" i="23" l="1"/>
  <c r="F20" i="11"/>
  <c r="K28" i="23"/>
  <c r="I28" i="23"/>
  <c r="E14" i="11"/>
  <c r="E2" i="22"/>
  <c r="E9" i="20"/>
  <c r="F8" i="15"/>
  <c r="G8" i="15"/>
  <c r="H8" i="15" s="1"/>
  <c r="I8" i="15" s="1"/>
  <c r="J8" i="15" s="1"/>
  <c r="K8" i="15" s="1"/>
  <c r="G17" i="15"/>
  <c r="H17" i="15"/>
  <c r="I17" i="15" s="1"/>
  <c r="J17" i="15" s="1"/>
  <c r="K17" i="15" s="1"/>
  <c r="F19" i="29" l="1"/>
  <c r="F18" i="29"/>
  <c r="G4" i="29" l="1"/>
  <c r="H4" i="29"/>
  <c r="E6" i="29"/>
  <c r="E5" i="29"/>
  <c r="H28" i="23"/>
  <c r="D26" i="5"/>
  <c r="E20" i="16" l="1"/>
  <c r="F15" i="16" s="1"/>
  <c r="E25" i="16" s="1"/>
  <c r="G15" i="15" l="1"/>
  <c r="E10" i="21"/>
  <c r="G10" i="15"/>
  <c r="L20" i="21"/>
  <c r="D5" i="23"/>
  <c r="C8" i="23"/>
  <c r="C16" i="23"/>
  <c r="F6" i="29"/>
  <c r="G6" i="2"/>
  <c r="G7" i="2" s="1"/>
  <c r="G8" i="2" s="1"/>
  <c r="F4" i="2"/>
  <c r="C2" i="22"/>
  <c r="H4" i="2" l="1"/>
  <c r="G13" i="2" s="1"/>
  <c r="M4" i="29"/>
  <c r="N4" i="29"/>
  <c r="K4" i="29"/>
  <c r="L4" i="29" s="1"/>
  <c r="H31" i="29"/>
  <c r="K8" i="29" s="1"/>
  <c r="L8" i="29" s="1"/>
  <c r="H28" i="29"/>
  <c r="J9" i="29"/>
  <c r="I9" i="29"/>
  <c r="I8" i="29"/>
  <c r="J8" i="29" s="1"/>
  <c r="H24" i="29"/>
  <c r="H23" i="29"/>
  <c r="H35" i="29" s="1"/>
  <c r="M8" i="29" s="1"/>
  <c r="N8" i="29" s="1"/>
  <c r="E21" i="29"/>
  <c r="E22" i="29" s="1"/>
  <c r="I4" i="29"/>
  <c r="J4" i="29" s="1"/>
  <c r="G5" i="29"/>
  <c r="H5" i="29"/>
  <c r="G13" i="29"/>
  <c r="H13" i="29" s="1"/>
  <c r="M23" i="29"/>
  <c r="M24" i="29" s="1"/>
  <c r="E13" i="29"/>
  <c r="F13" i="29" s="1"/>
  <c r="G12" i="29"/>
  <c r="H12" i="29" s="1"/>
  <c r="L23" i="29"/>
  <c r="L28" i="29" s="1"/>
  <c r="I12" i="29" s="1"/>
  <c r="J12" i="29" s="1"/>
  <c r="G11" i="29"/>
  <c r="H11" i="29" s="1"/>
  <c r="K23" i="29"/>
  <c r="K24" i="29" s="1"/>
  <c r="E11" i="29"/>
  <c r="F11" i="29" s="1"/>
  <c r="G10" i="29"/>
  <c r="H10" i="29" s="1"/>
  <c r="J23" i="29"/>
  <c r="J31" i="29" s="1"/>
  <c r="K10" i="29" s="1"/>
  <c r="L10" i="29" s="1"/>
  <c r="E10" i="29"/>
  <c r="F10" i="29" s="1"/>
  <c r="J24" i="29"/>
  <c r="B18" i="29"/>
  <c r="G9" i="29"/>
  <c r="H9" i="29" s="1"/>
  <c r="I23" i="29"/>
  <c r="I24" i="29" s="1"/>
  <c r="E9" i="29"/>
  <c r="F9" i="29" s="1"/>
  <c r="G8" i="29"/>
  <c r="H8" i="29" s="1"/>
  <c r="E8" i="29"/>
  <c r="F8" i="29" s="1"/>
  <c r="G7" i="29"/>
  <c r="H7" i="29" s="1"/>
  <c r="G21" i="29"/>
  <c r="F21" i="29"/>
  <c r="F22" i="29" s="1"/>
  <c r="F23" i="29" s="1"/>
  <c r="F24" i="29" s="1"/>
  <c r="E7" i="29"/>
  <c r="F7" i="29" s="1"/>
  <c r="G6" i="29"/>
  <c r="H6" i="29" s="1"/>
  <c r="F5" i="29"/>
  <c r="E12" i="29"/>
  <c r="F12" i="29" s="1"/>
  <c r="E4" i="29"/>
  <c r="E30" i="27"/>
  <c r="E31" i="27" s="1"/>
  <c r="E29" i="27"/>
  <c r="E20" i="27"/>
  <c r="E19" i="27"/>
  <c r="E10" i="27"/>
  <c r="E9" i="27"/>
  <c r="E8" i="27"/>
  <c r="E7" i="27"/>
  <c r="E6" i="27"/>
  <c r="E5" i="27"/>
  <c r="E4" i="27"/>
  <c r="G15" i="2" l="1"/>
  <c r="G14" i="2"/>
  <c r="G7" i="15"/>
  <c r="F27" i="29"/>
  <c r="F28" i="29" s="1"/>
  <c r="I6" i="29" s="1"/>
  <c r="J6" i="29" s="1"/>
  <c r="K28" i="29"/>
  <c r="I11" i="29" s="1"/>
  <c r="J11" i="29" s="1"/>
  <c r="L31" i="29"/>
  <c r="K12" i="29" s="1"/>
  <c r="L12" i="29" s="1"/>
  <c r="L35" i="29"/>
  <c r="M12" i="29" s="1"/>
  <c r="N12" i="29" s="1"/>
  <c r="E21" i="27"/>
  <c r="L24" i="29"/>
  <c r="M28" i="29"/>
  <c r="I13" i="29" s="1"/>
  <c r="J13" i="29" s="1"/>
  <c r="F34" i="29"/>
  <c r="F35" i="29" s="1"/>
  <c r="M35" i="29"/>
  <c r="J35" i="29"/>
  <c r="M10" i="29" s="1"/>
  <c r="N10" i="29" s="1"/>
  <c r="E34" i="29"/>
  <c r="E30" i="29"/>
  <c r="E31" i="29" s="1"/>
  <c r="K5" i="29" s="1"/>
  <c r="L5" i="29" s="1"/>
  <c r="E27" i="29"/>
  <c r="E28" i="29" s="1"/>
  <c r="I5" i="29" s="1"/>
  <c r="J5" i="29" s="1"/>
  <c r="E23" i="29"/>
  <c r="E24" i="29" s="1"/>
  <c r="M13" i="29"/>
  <c r="N13" i="29" s="1"/>
  <c r="K31" i="29"/>
  <c r="K11" i="29" s="1"/>
  <c r="L11" i="29" s="1"/>
  <c r="E11" i="27"/>
  <c r="I28" i="29"/>
  <c r="I31" i="29"/>
  <c r="K9" i="29" s="1"/>
  <c r="L9" i="29" s="1"/>
  <c r="K35" i="29"/>
  <c r="M11" i="29" s="1"/>
  <c r="N11" i="29" s="1"/>
  <c r="J28" i="29"/>
  <c r="I10" i="29" s="1"/>
  <c r="J10" i="29" s="1"/>
  <c r="M31" i="29"/>
  <c r="K13" i="29" s="1"/>
  <c r="L13" i="29" s="1"/>
  <c r="F30" i="29"/>
  <c r="F31" i="29" s="1"/>
  <c r="K6" i="29" s="1"/>
  <c r="L6" i="29" s="1"/>
  <c r="I35" i="29"/>
  <c r="M6" i="29"/>
  <c r="N6" i="29" s="1"/>
  <c r="G14" i="29"/>
  <c r="G16" i="29" s="1"/>
  <c r="H14" i="29"/>
  <c r="G22" i="29"/>
  <c r="E14" i="29"/>
  <c r="F4" i="29"/>
  <c r="F14" i="29" s="1"/>
  <c r="E22" i="27"/>
  <c r="E23" i="27" s="1"/>
  <c r="E12" i="27"/>
  <c r="E13" i="27" s="1"/>
  <c r="E32" i="27"/>
  <c r="G35" i="27" s="1"/>
  <c r="E7" i="20" s="1"/>
  <c r="M9" i="29" l="1"/>
  <c r="N9" i="29" s="1"/>
  <c r="G23" i="29"/>
  <c r="G24" i="29" s="1"/>
  <c r="G27" i="29"/>
  <c r="G28" i="29" s="1"/>
  <c r="I7" i="29" s="1"/>
  <c r="G30" i="29"/>
  <c r="G31" i="29" s="1"/>
  <c r="K7" i="29" s="1"/>
  <c r="L7" i="29" s="1"/>
  <c r="L14" i="29" s="1"/>
  <c r="G34" i="29"/>
  <c r="G35" i="29" s="1"/>
  <c r="M7" i="29" s="1"/>
  <c r="N7" i="29" s="1"/>
  <c r="E35" i="27"/>
  <c r="F35" i="27" s="1"/>
  <c r="E6" i="20" s="1"/>
  <c r="E35" i="29"/>
  <c r="M5" i="29" s="1"/>
  <c r="M14" i="29" s="1"/>
  <c r="M16" i="29" s="1"/>
  <c r="E16" i="29"/>
  <c r="O4" i="2" s="1"/>
  <c r="O5" i="2" l="1"/>
  <c r="O6" i="2" s="1"/>
  <c r="O7" i="2" s="1"/>
  <c r="O8" i="2" s="1"/>
  <c r="N5" i="29"/>
  <c r="N14" i="29" s="1"/>
  <c r="K14" i="29"/>
  <c r="K16" i="29" s="1"/>
  <c r="J7" i="29"/>
  <c r="J14" i="29" s="1"/>
  <c r="I14" i="29"/>
  <c r="I16" i="29" s="1"/>
  <c r="E15" i="21"/>
  <c r="E10" i="20"/>
  <c r="E35" i="20" s="1"/>
  <c r="H10" i="15" l="1"/>
  <c r="I10" i="15"/>
  <c r="K20" i="16"/>
  <c r="L20" i="16" s="1"/>
  <c r="D33" i="16"/>
  <c r="L41" i="16" s="1"/>
  <c r="K19" i="16"/>
  <c r="J10" i="15" l="1"/>
  <c r="D36" i="16"/>
  <c r="F39" i="16" s="1"/>
  <c r="D35" i="16"/>
  <c r="E42" i="16" s="1"/>
  <c r="L43" i="16"/>
  <c r="K43" i="16"/>
  <c r="G43" i="16"/>
  <c r="H43" i="16"/>
  <c r="J43" i="16"/>
  <c r="I43" i="16"/>
  <c r="E43" i="16"/>
  <c r="L48" i="16"/>
  <c r="E41" i="16"/>
  <c r="I41" i="16"/>
  <c r="L19" i="16"/>
  <c r="J41" i="16"/>
  <c r="H41" i="16"/>
  <c r="G41" i="16"/>
  <c r="K41" i="16"/>
  <c r="K10" i="15" l="1"/>
  <c r="K48" i="16"/>
  <c r="F42" i="16"/>
  <c r="E49" i="16"/>
  <c r="H48" i="16"/>
  <c r="E48" i="16"/>
  <c r="E44" i="16"/>
  <c r="E50" i="16" s="1"/>
  <c r="J48" i="16"/>
  <c r="G48" i="16"/>
  <c r="I48" i="16"/>
  <c r="F43" i="16"/>
  <c r="F41" i="16"/>
  <c r="F48" i="16" l="1"/>
  <c r="F44" i="16"/>
  <c r="F50" i="16" s="1"/>
  <c r="G42" i="16"/>
  <c r="H42" i="16"/>
  <c r="F49" i="16"/>
  <c r="H49" i="16" l="1"/>
  <c r="I42" i="16"/>
  <c r="H44" i="16"/>
  <c r="H50" i="16" s="1"/>
  <c r="G49" i="16"/>
  <c r="G44" i="16"/>
  <c r="G50" i="16" s="1"/>
  <c r="J42" i="16" l="1"/>
  <c r="I49" i="16"/>
  <c r="I44" i="16"/>
  <c r="I50" i="16" s="1"/>
  <c r="K42" i="16" l="1"/>
  <c r="J49" i="16"/>
  <c r="J44" i="16"/>
  <c r="J50" i="16" s="1"/>
  <c r="F25" i="15"/>
  <c r="D6" i="2"/>
  <c r="D7" i="2" s="1"/>
  <c r="D8" i="2" s="1"/>
  <c r="N8" i="2" s="1"/>
  <c r="E5" i="23"/>
  <c r="D7" i="23"/>
  <c r="I12" i="21"/>
  <c r="E11" i="21"/>
  <c r="E31" i="20"/>
  <c r="H25" i="2" l="1"/>
  <c r="H27" i="2" s="1"/>
  <c r="E7" i="23"/>
  <c r="F9" i="15"/>
  <c r="L42" i="16"/>
  <c r="K49" i="16"/>
  <c r="K44" i="16"/>
  <c r="K50" i="16" s="1"/>
  <c r="B14" i="15"/>
  <c r="B13" i="15"/>
  <c r="N5" i="2"/>
  <c r="N6" i="2"/>
  <c r="P6" i="2" s="1"/>
  <c r="N7" i="2"/>
  <c r="N4" i="2"/>
  <c r="F14" i="11"/>
  <c r="A11" i="11"/>
  <c r="A12" i="11"/>
  <c r="A13" i="11"/>
  <c r="A14" i="11"/>
  <c r="A10" i="11"/>
  <c r="G30" i="23"/>
  <c r="B16" i="11" s="1"/>
  <c r="G31" i="23"/>
  <c r="H31" i="23" s="1"/>
  <c r="G29" i="23"/>
  <c r="B15" i="11" s="1"/>
  <c r="F30" i="23"/>
  <c r="A16" i="11" s="1"/>
  <c r="F31" i="23"/>
  <c r="A17" i="11" s="1"/>
  <c r="F29" i="23"/>
  <c r="A15" i="11" s="1"/>
  <c r="E16" i="21"/>
  <c r="F14" i="15" s="1"/>
  <c r="G14" i="15" s="1"/>
  <c r="H14" i="15" s="1"/>
  <c r="E18" i="21"/>
  <c r="F17" i="15" s="1"/>
  <c r="C16" i="21"/>
  <c r="C15" i="21"/>
  <c r="F5" i="2"/>
  <c r="H5" i="2" s="1"/>
  <c r="J5" i="2" s="1"/>
  <c r="H13" i="2" s="1"/>
  <c r="F6" i="2"/>
  <c r="H6" i="2" s="1"/>
  <c r="J6" i="2" s="1"/>
  <c r="I13" i="2" s="1"/>
  <c r="F7" i="2"/>
  <c r="H7" i="2" s="1"/>
  <c r="J7" i="2" s="1"/>
  <c r="J13" i="2" s="1"/>
  <c r="F8" i="2"/>
  <c r="H8" i="2" s="1"/>
  <c r="J8" i="2" s="1"/>
  <c r="K13" i="2" s="1"/>
  <c r="H15" i="2" l="1"/>
  <c r="H14" i="2"/>
  <c r="J15" i="2"/>
  <c r="J14" i="2"/>
  <c r="K15" i="2"/>
  <c r="K14" i="2"/>
  <c r="I15" i="2"/>
  <c r="I14" i="2"/>
  <c r="F6" i="26"/>
  <c r="F11" i="5"/>
  <c r="G6" i="26"/>
  <c r="G11" i="5"/>
  <c r="P4" i="2"/>
  <c r="Q4" i="2" s="1"/>
  <c r="G19" i="2" s="1"/>
  <c r="G21" i="2" s="1"/>
  <c r="Q6" i="2"/>
  <c r="I19" i="2" s="1"/>
  <c r="I25" i="2"/>
  <c r="I27" i="2" s="1"/>
  <c r="C5" i="11"/>
  <c r="D6" i="26"/>
  <c r="M13" i="2"/>
  <c r="C6" i="26"/>
  <c r="D5" i="11"/>
  <c r="E6" i="26"/>
  <c r="F13" i="15"/>
  <c r="E19" i="21"/>
  <c r="L49" i="16"/>
  <c r="L44" i="16"/>
  <c r="L50" i="16" s="1"/>
  <c r="P5" i="2"/>
  <c r="H29" i="23"/>
  <c r="C15" i="11" s="1"/>
  <c r="C17" i="11"/>
  <c r="I31" i="23"/>
  <c r="H30" i="23"/>
  <c r="B17" i="11"/>
  <c r="I14" i="15"/>
  <c r="J14" i="15" s="1"/>
  <c r="F5" i="11"/>
  <c r="E5" i="11"/>
  <c r="E11" i="5"/>
  <c r="B5" i="11"/>
  <c r="D11" i="5"/>
  <c r="J28" i="2" l="1"/>
  <c r="I21" i="2"/>
  <c r="F22" i="5" s="1"/>
  <c r="H28" i="2"/>
  <c r="H26" i="2"/>
  <c r="J26" i="2"/>
  <c r="I20" i="2"/>
  <c r="E21" i="5" s="1"/>
  <c r="Q5" i="2"/>
  <c r="H19" i="2" s="1"/>
  <c r="B6" i="11"/>
  <c r="G9" i="15"/>
  <c r="G13" i="15"/>
  <c r="H13" i="15" s="1"/>
  <c r="I13" i="15" s="1"/>
  <c r="J13" i="15" s="1"/>
  <c r="K13" i="15" s="1"/>
  <c r="F18" i="15"/>
  <c r="D22" i="5"/>
  <c r="G20" i="2"/>
  <c r="C21" i="5" s="1"/>
  <c r="K7" i="15"/>
  <c r="I29" i="23"/>
  <c r="G12" i="5"/>
  <c r="J7" i="15"/>
  <c r="K14" i="15"/>
  <c r="J31" i="23"/>
  <c r="D17" i="11"/>
  <c r="I30" i="23"/>
  <c r="C16" i="11"/>
  <c r="E12" i="5"/>
  <c r="H7" i="15"/>
  <c r="D12" i="5"/>
  <c r="F12" i="5"/>
  <c r="I7" i="15"/>
  <c r="C11" i="5"/>
  <c r="P8" i="2"/>
  <c r="Q8" i="2" s="1"/>
  <c r="K19" i="2" s="1"/>
  <c r="K21" i="2" s="1"/>
  <c r="P7" i="2"/>
  <c r="B14" i="11"/>
  <c r="E19" i="20"/>
  <c r="I28" i="2" l="1"/>
  <c r="H21" i="2"/>
  <c r="H22" i="15" s="1"/>
  <c r="L26" i="2"/>
  <c r="L28" i="2"/>
  <c r="I22" i="15"/>
  <c r="Q7" i="2"/>
  <c r="J19" i="2" s="1"/>
  <c r="I26" i="2"/>
  <c r="H20" i="2"/>
  <c r="D21" i="5" s="1"/>
  <c r="G22" i="15"/>
  <c r="D15" i="11"/>
  <c r="J29" i="23"/>
  <c r="K31" i="23"/>
  <c r="F17" i="11" s="1"/>
  <c r="E17" i="11"/>
  <c r="J30" i="23"/>
  <c r="D16" i="11"/>
  <c r="K22" i="15"/>
  <c r="K20" i="2"/>
  <c r="G21" i="5" s="1"/>
  <c r="C5" i="5"/>
  <c r="D5" i="5" s="1"/>
  <c r="E5" i="5" s="1"/>
  <c r="F5" i="5" s="1"/>
  <c r="G5" i="5" s="1"/>
  <c r="K28" i="2" l="1"/>
  <c r="J21" i="2"/>
  <c r="G22" i="5" s="1"/>
  <c r="K26" i="2"/>
  <c r="J20" i="2"/>
  <c r="F21" i="5" s="1"/>
  <c r="E22" i="5"/>
  <c r="C6" i="11"/>
  <c r="H9" i="15"/>
  <c r="J25" i="2"/>
  <c r="J27" i="2" s="1"/>
  <c r="K29" i="23"/>
  <c r="F15" i="11" s="1"/>
  <c r="E15" i="11"/>
  <c r="K30" i="23"/>
  <c r="F16" i="11" s="1"/>
  <c r="E16" i="11"/>
  <c r="J22" i="15"/>
  <c r="D6" i="11" l="1"/>
  <c r="I9" i="15"/>
  <c r="K25" i="2"/>
  <c r="K27" i="2" s="1"/>
  <c r="H15" i="23"/>
  <c r="I15" i="23"/>
  <c r="D4" i="23"/>
  <c r="E4" i="23" l="1"/>
  <c r="D8" i="23"/>
  <c r="D10" i="23" s="1"/>
  <c r="E6" i="11"/>
  <c r="J9" i="15"/>
  <c r="L25" i="2"/>
  <c r="L27" i="2" s="1"/>
  <c r="C14" i="11"/>
  <c r="H27" i="23"/>
  <c r="C13" i="11" s="1"/>
  <c r="E8" i="23"/>
  <c r="F6" i="11" l="1"/>
  <c r="K9" i="15"/>
  <c r="I27" i="23"/>
  <c r="D13" i="11" s="1"/>
  <c r="D14" i="11"/>
  <c r="D13" i="23"/>
  <c r="E13" i="23" s="1"/>
  <c r="D11" i="23"/>
  <c r="E11" i="23" s="1"/>
  <c r="D14" i="23"/>
  <c r="E14" i="23" s="1"/>
  <c r="D12" i="23"/>
  <c r="E12" i="23" s="1"/>
  <c r="J27" i="23" l="1"/>
  <c r="E10" i="23"/>
  <c r="E16" i="23" s="1"/>
  <c r="G24" i="23" s="1"/>
  <c r="D16" i="23"/>
  <c r="D20" i="23" s="1"/>
  <c r="E22" i="20"/>
  <c r="G27" i="23"/>
  <c r="E27" i="20"/>
  <c r="G25" i="23" s="1"/>
  <c r="G12" i="15"/>
  <c r="H12" i="15"/>
  <c r="I12" i="15"/>
  <c r="G26" i="23" l="1"/>
  <c r="B12" i="11" s="1"/>
  <c r="E20" i="23"/>
  <c r="E22" i="23" s="1"/>
  <c r="B10" i="11"/>
  <c r="E33" i="20"/>
  <c r="G18" i="15"/>
  <c r="B13" i="11"/>
  <c r="K27" i="23"/>
  <c r="F13" i="11" s="1"/>
  <c r="E13" i="11"/>
  <c r="B11" i="11"/>
  <c r="B28" i="5"/>
  <c r="B18" i="11" l="1"/>
  <c r="C23" i="5" s="1"/>
  <c r="H26" i="23"/>
  <c r="C12" i="11" s="1"/>
  <c r="H15" i="15"/>
  <c r="I15" i="15" s="1"/>
  <c r="J15" i="15" s="1"/>
  <c r="K15" i="15" s="1"/>
  <c r="G32" i="23"/>
  <c r="H25" i="23"/>
  <c r="C11" i="11" s="1"/>
  <c r="H24" i="23"/>
  <c r="C10" i="11" s="1"/>
  <c r="I26" i="23"/>
  <c r="D12" i="11" s="1"/>
  <c r="I18" i="15" l="1"/>
  <c r="H18" i="15"/>
  <c r="K18" i="15"/>
  <c r="J18" i="15"/>
  <c r="I25" i="23"/>
  <c r="D11" i="11" s="1"/>
  <c r="I24" i="23"/>
  <c r="H32" i="23"/>
  <c r="J26" i="23"/>
  <c r="E12" i="11" s="1"/>
  <c r="J25" i="23" l="1"/>
  <c r="E11" i="11" s="1"/>
  <c r="I32" i="23"/>
  <c r="D10" i="11"/>
  <c r="J24" i="23"/>
  <c r="K24" i="23" s="1"/>
  <c r="F10" i="11" s="1"/>
  <c r="K26" i="23"/>
  <c r="F12" i="11" s="1"/>
  <c r="K25" i="23" l="1"/>
  <c r="F11" i="11" s="1"/>
  <c r="J32" i="23"/>
  <c r="E10" i="11"/>
  <c r="K32" i="23" l="1"/>
  <c r="C15" i="5"/>
  <c r="B7" i="11" l="1"/>
  <c r="D15" i="5"/>
  <c r="E15" i="5" l="1"/>
  <c r="F15" i="5"/>
  <c r="G15" i="5" l="1"/>
  <c r="C7" i="11"/>
  <c r="D7" i="11" l="1"/>
  <c r="E7" i="11" l="1"/>
  <c r="F7" i="11" l="1"/>
  <c r="C18" i="11" l="1"/>
  <c r="D23" i="5" s="1"/>
  <c r="B19" i="11" l="1"/>
  <c r="D18" i="11"/>
  <c r="E23" i="5" s="1"/>
  <c r="C19" i="11"/>
  <c r="E18" i="11" l="1"/>
  <c r="F23" i="5" s="1"/>
  <c r="F18" i="11"/>
  <c r="G23" i="5" s="1"/>
  <c r="D19" i="11"/>
  <c r="F19" i="11" l="1"/>
  <c r="E19" i="11"/>
  <c r="F23" i="15" l="1"/>
  <c r="F26" i="15" s="1"/>
  <c r="C1" i="22"/>
  <c r="B13" i="5"/>
  <c r="C57" i="22" l="1"/>
  <c r="C48" i="22"/>
  <c r="D38" i="22"/>
  <c r="D11" i="22"/>
  <c r="B28" i="22"/>
  <c r="C60" i="22"/>
  <c r="C30" i="22"/>
  <c r="D60" i="22"/>
  <c r="B56" i="22"/>
  <c r="B53" i="22"/>
  <c r="C39" i="22"/>
  <c r="B22" i="22"/>
  <c r="C27" i="22"/>
  <c r="D53" i="22"/>
  <c r="B42" i="22"/>
  <c r="D14" i="22"/>
  <c r="D15" i="22"/>
  <c r="C16" i="22"/>
  <c r="D16" i="22"/>
  <c r="B64" i="22"/>
  <c r="B41" i="22"/>
  <c r="C12" i="22"/>
  <c r="B54" i="22"/>
  <c r="D31" i="22"/>
  <c r="C49" i="22"/>
  <c r="D51" i="22"/>
  <c r="B58" i="22"/>
  <c r="C15" i="22"/>
  <c r="C10" i="22"/>
  <c r="B63" i="22"/>
  <c r="B66" i="22"/>
  <c r="D40" i="22"/>
  <c r="B36" i="22"/>
  <c r="C14" i="22"/>
  <c r="B27" i="22"/>
  <c r="D52" i="22"/>
  <c r="C63" i="22"/>
  <c r="D23" i="22"/>
  <c r="D28" i="22"/>
  <c r="B39" i="22"/>
  <c r="C29" i="22"/>
  <c r="C21" i="22"/>
  <c r="D32" i="22"/>
  <c r="D19" i="22"/>
  <c r="D42" i="22"/>
  <c r="B67" i="22"/>
  <c r="B26" i="22"/>
  <c r="B23" i="22"/>
  <c r="C38" i="22"/>
  <c r="B24" i="22"/>
  <c r="D58" i="22"/>
  <c r="D35" i="22"/>
  <c r="D45" i="22"/>
  <c r="B19" i="22"/>
  <c r="B65" i="22"/>
  <c r="C26" i="22"/>
  <c r="C11" i="22"/>
  <c r="C52" i="22"/>
  <c r="C45" i="22"/>
  <c r="C35" i="22"/>
  <c r="C22" i="22"/>
  <c r="D34" i="22"/>
  <c r="B33" i="22"/>
  <c r="D64" i="22"/>
  <c r="B60" i="22"/>
  <c r="C28" i="22"/>
  <c r="D46" i="22"/>
  <c r="D48" i="22"/>
  <c r="B34" i="22"/>
  <c r="C54" i="22"/>
  <c r="B21" i="22"/>
  <c r="B46" i="22"/>
  <c r="D41" i="22"/>
  <c r="C33" i="22"/>
  <c r="D47" i="22"/>
  <c r="B43" i="22"/>
  <c r="B49" i="22"/>
  <c r="B29" i="22"/>
  <c r="D12" i="22"/>
  <c r="D33" i="22"/>
  <c r="D61" i="22"/>
  <c r="C47" i="22"/>
  <c r="D65" i="22"/>
  <c r="D22" i="22"/>
  <c r="B8" i="22"/>
  <c r="D20" i="22"/>
  <c r="B11" i="22"/>
  <c r="D56" i="22"/>
  <c r="B59" i="22"/>
  <c r="C58" i="22"/>
  <c r="C9" i="22"/>
  <c r="D55" i="22"/>
  <c r="C25" i="22"/>
  <c r="D24" i="22"/>
  <c r="C40" i="22"/>
  <c r="C53" i="22"/>
  <c r="C51" i="22"/>
  <c r="B52" i="22"/>
  <c r="B37" i="22"/>
  <c r="C18" i="22"/>
  <c r="D26" i="22"/>
  <c r="D13" i="22"/>
  <c r="B62" i="22"/>
  <c r="B40" i="22"/>
  <c r="C59" i="22"/>
  <c r="C67" i="22"/>
  <c r="D49" i="22"/>
  <c r="D50" i="22"/>
  <c r="C34" i="22"/>
  <c r="C13" i="22"/>
  <c r="D57" i="22"/>
  <c r="C50" i="22"/>
  <c r="D18" i="22"/>
  <c r="D27" i="22"/>
  <c r="B55" i="22"/>
  <c r="C36" i="22"/>
  <c r="B18" i="22"/>
  <c r="B57" i="22"/>
  <c r="D17" i="22"/>
  <c r="D21" i="22"/>
  <c r="B45" i="22"/>
  <c r="C62" i="22"/>
  <c r="C41" i="22"/>
  <c r="B44" i="22"/>
  <c r="B20" i="22"/>
  <c r="C66" i="22"/>
  <c r="C19" i="22"/>
  <c r="D59" i="22"/>
  <c r="D29" i="22"/>
  <c r="B10" i="22"/>
  <c r="B15" i="22"/>
  <c r="C42" i="22"/>
  <c r="B50" i="22"/>
  <c r="B35" i="22"/>
  <c r="C31" i="22"/>
  <c r="D9" i="22"/>
  <c r="B31" i="22"/>
  <c r="B25" i="22"/>
  <c r="D39" i="22"/>
  <c r="D43" i="22"/>
  <c r="D44" i="22"/>
  <c r="C8" i="22"/>
  <c r="C20" i="22"/>
  <c r="C56" i="22"/>
  <c r="C37" i="22"/>
  <c r="D25" i="22"/>
  <c r="C61" i="22"/>
  <c r="C55" i="22"/>
  <c r="C46" i="22"/>
  <c r="B51" i="22"/>
  <c r="B48" i="22"/>
  <c r="D63" i="22"/>
  <c r="B61" i="22"/>
  <c r="D36" i="22"/>
  <c r="E7" i="22"/>
  <c r="B9" i="22"/>
  <c r="D66" i="22"/>
  <c r="C17" i="22"/>
  <c r="D67" i="22"/>
  <c r="B13" i="22"/>
  <c r="C24" i="22"/>
  <c r="C23" i="22"/>
  <c r="B32" i="22"/>
  <c r="B16" i="22"/>
  <c r="B14" i="22"/>
  <c r="B47" i="22"/>
  <c r="B12" i="22"/>
  <c r="D8" i="22"/>
  <c r="C32" i="22"/>
  <c r="C44" i="22"/>
  <c r="B30" i="22"/>
  <c r="D30" i="22"/>
  <c r="B38" i="22"/>
  <c r="B17" i="22"/>
  <c r="C65" i="22"/>
  <c r="C64" i="22"/>
  <c r="D10" i="22"/>
  <c r="C43" i="22"/>
  <c r="D62" i="22"/>
  <c r="D54" i="22"/>
  <c r="D37" i="22"/>
  <c r="I12" i="22" l="1"/>
  <c r="E8" i="22"/>
  <c r="E9" i="22" s="1"/>
  <c r="E10" i="22" s="1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E33" i="22" s="1"/>
  <c r="E34" i="22" s="1"/>
  <c r="E35" i="22" s="1"/>
  <c r="E36" i="22" s="1"/>
  <c r="E37" i="22" s="1"/>
  <c r="E38" i="22" s="1"/>
  <c r="E39" i="22" s="1"/>
  <c r="E40" i="22" s="1"/>
  <c r="E41" i="22" s="1"/>
  <c r="E42" i="22" s="1"/>
  <c r="E43" i="22" s="1"/>
  <c r="E44" i="22" s="1"/>
  <c r="E45" i="22" s="1"/>
  <c r="E46" i="22" s="1"/>
  <c r="E47" i="22" s="1"/>
  <c r="E48" i="22" s="1"/>
  <c r="E49" i="22" s="1"/>
  <c r="E50" i="22" s="1"/>
  <c r="E51" i="22" s="1"/>
  <c r="E52" i="22" s="1"/>
  <c r="E53" i="22" s="1"/>
  <c r="E54" i="22" s="1"/>
  <c r="E55" i="22" s="1"/>
  <c r="E56" i="22" s="1"/>
  <c r="E57" i="22" s="1"/>
  <c r="E58" i="22" s="1"/>
  <c r="E59" i="22" s="1"/>
  <c r="E60" i="22" s="1"/>
  <c r="E61" i="22" s="1"/>
  <c r="E62" i="22" s="1"/>
  <c r="E63" i="22" s="1"/>
  <c r="E64" i="22" s="1"/>
  <c r="E65" i="22" s="1"/>
  <c r="E66" i="22" s="1"/>
  <c r="E67" i="22" s="1"/>
  <c r="L7" i="22"/>
  <c r="J9" i="22"/>
  <c r="C20" i="11" s="1"/>
  <c r="I11" i="22"/>
  <c r="K10" i="22"/>
  <c r="E25" i="5" s="1"/>
  <c r="D68" i="22"/>
  <c r="K8" i="22"/>
  <c r="I9" i="22"/>
  <c r="K12" i="22"/>
  <c r="G25" i="5" s="1"/>
  <c r="J11" i="22"/>
  <c r="E20" i="11" s="1"/>
  <c r="C68" i="22"/>
  <c r="J8" i="22"/>
  <c r="I10" i="22"/>
  <c r="K9" i="22"/>
  <c r="D25" i="5" s="1"/>
  <c r="J12" i="22"/>
  <c r="J10" i="22"/>
  <c r="D20" i="11" s="1"/>
  <c r="K11" i="22"/>
  <c r="F25" i="5" s="1"/>
  <c r="I8" i="22"/>
  <c r="L8" i="22" l="1"/>
  <c r="G23" i="15" s="1"/>
  <c r="E24" i="5"/>
  <c r="D21" i="11"/>
  <c r="J13" i="22"/>
  <c r="B20" i="11"/>
  <c r="G24" i="5"/>
  <c r="F21" i="11"/>
  <c r="F22" i="11" s="1"/>
  <c r="E21" i="11"/>
  <c r="E22" i="11" s="1"/>
  <c r="F24" i="5"/>
  <c r="C25" i="5"/>
  <c r="K13" i="22"/>
  <c r="D24" i="5"/>
  <c r="C21" i="11"/>
  <c r="L9" i="22"/>
  <c r="E23" i="11" l="1"/>
  <c r="F7" i="26" s="1"/>
  <c r="D23" i="11"/>
  <c r="E7" i="26" s="1"/>
  <c r="K24" i="15"/>
  <c r="H23" i="15"/>
  <c r="L10" i="22"/>
  <c r="C23" i="11"/>
  <c r="D7" i="26" s="1"/>
  <c r="B21" i="11"/>
  <c r="C24" i="5"/>
  <c r="C28" i="5" s="1"/>
  <c r="C5" i="25" s="1"/>
  <c r="H31" i="15" l="1"/>
  <c r="J31" i="15"/>
  <c r="I23" i="15"/>
  <c r="L11" i="22"/>
  <c r="I31" i="15"/>
  <c r="I24" i="15"/>
  <c r="F26" i="5"/>
  <c r="F28" i="5" s="1"/>
  <c r="F23" i="11"/>
  <c r="E26" i="5"/>
  <c r="E28" i="5" s="1"/>
  <c r="H24" i="15"/>
  <c r="H26" i="15" s="1"/>
  <c r="J24" i="15"/>
  <c r="G26" i="5"/>
  <c r="G28" i="5" s="1"/>
  <c r="I26" i="15" l="1"/>
  <c r="E20" i="26" s="1"/>
  <c r="B23" i="11"/>
  <c r="C7" i="26" s="1"/>
  <c r="G24" i="15"/>
  <c r="D9" i="26"/>
  <c r="D20" i="26"/>
  <c r="G7" i="26"/>
  <c r="E5" i="25"/>
  <c r="G5" i="25"/>
  <c r="F5" i="25"/>
  <c r="D28" i="5"/>
  <c r="K31" i="15"/>
  <c r="J23" i="15"/>
  <c r="J26" i="15" s="1"/>
  <c r="L12" i="22"/>
  <c r="K23" i="15" s="1"/>
  <c r="K26" i="15" s="1"/>
  <c r="E9" i="26" l="1"/>
  <c r="G31" i="15"/>
  <c r="H30" i="15" s="1"/>
  <c r="I30" i="15" s="1"/>
  <c r="G9" i="26"/>
  <c r="G20" i="26"/>
  <c r="F20" i="26"/>
  <c r="F9" i="26"/>
  <c r="G26" i="15"/>
  <c r="D5" i="25"/>
  <c r="C9" i="26" l="1"/>
  <c r="C20" i="26"/>
  <c r="J30" i="15"/>
  <c r="K30" i="15" l="1"/>
  <c r="I19" i="21" l="1"/>
  <c r="F29" i="15" s="1"/>
  <c r="G29" i="15" l="1"/>
  <c r="G32" i="15" s="1"/>
  <c r="I22" i="21"/>
  <c r="B14" i="5"/>
  <c r="B15" i="5" s="1"/>
  <c r="E9" i="21" l="1"/>
  <c r="B29" i="5"/>
  <c r="C7" i="5" s="1"/>
  <c r="H29" i="15"/>
  <c r="H32" i="15" s="1"/>
  <c r="F32" i="15"/>
  <c r="F34" i="15" s="1"/>
  <c r="I29" i="15"/>
  <c r="C4" i="25"/>
  <c r="C6" i="25" s="1"/>
  <c r="C16" i="5"/>
  <c r="C29" i="5" s="1"/>
  <c r="G6" i="15" s="1"/>
  <c r="G34" i="15"/>
  <c r="C19" i="26" s="1"/>
  <c r="C10" i="26"/>
  <c r="C12" i="26" s="1"/>
  <c r="F6" i="15" l="1"/>
  <c r="F11" i="15" s="1"/>
  <c r="F19" i="15" s="1"/>
  <c r="F37" i="15" s="1"/>
  <c r="E12" i="21"/>
  <c r="E22" i="21" s="1"/>
  <c r="K17" i="21" s="1"/>
  <c r="L17" i="21" s="1"/>
  <c r="D7" i="5"/>
  <c r="G11" i="15"/>
  <c r="G19" i="15" s="1"/>
  <c r="C8" i="26" s="1"/>
  <c r="H34" i="15"/>
  <c r="D19" i="26" s="1"/>
  <c r="D10" i="26"/>
  <c r="D12" i="26" s="1"/>
  <c r="I32" i="15"/>
  <c r="J29" i="15"/>
  <c r="I34" i="15" l="1"/>
  <c r="E19" i="26" s="1"/>
  <c r="E10" i="26"/>
  <c r="E12" i="26" s="1"/>
  <c r="C17" i="26"/>
  <c r="G37" i="15"/>
  <c r="C16" i="26"/>
  <c r="J32" i="15"/>
  <c r="K29" i="15"/>
  <c r="K32" i="15" s="1"/>
  <c r="D4" i="25"/>
  <c r="D6" i="25" s="1"/>
  <c r="D16" i="5"/>
  <c r="D29" i="5" s="1"/>
  <c r="H6" i="15" s="1"/>
  <c r="J34" i="15" l="1"/>
  <c r="F19" i="26" s="1"/>
  <c r="F10" i="26"/>
  <c r="F12" i="26" s="1"/>
  <c r="C18" i="26"/>
  <c r="C13" i="26"/>
  <c r="E7" i="5"/>
  <c r="H11" i="15"/>
  <c r="G10" i="26"/>
  <c r="G12" i="26" s="1"/>
  <c r="K34" i="15"/>
  <c r="G19" i="26" s="1"/>
  <c r="E4" i="25" l="1"/>
  <c r="E6" i="25" s="1"/>
  <c r="E16" i="5"/>
  <c r="E29" i="5" s="1"/>
  <c r="D16" i="26"/>
  <c r="H19" i="15"/>
  <c r="D17" i="26"/>
  <c r="H37" i="15" l="1"/>
  <c r="D18" i="26"/>
  <c r="D8" i="26"/>
  <c r="D13" i="26" s="1"/>
  <c r="I6" i="15"/>
  <c r="I11" i="15" s="1"/>
  <c r="F7" i="5"/>
  <c r="E17" i="26" l="1"/>
  <c r="I19" i="15"/>
  <c r="I37" i="15" s="1"/>
  <c r="E16" i="26"/>
  <c r="F4" i="25"/>
  <c r="F6" i="25" s="1"/>
  <c r="F16" i="5"/>
  <c r="F29" i="5" s="1"/>
  <c r="E18" i="26" l="1"/>
  <c r="E8" i="26"/>
  <c r="E13" i="26" s="1"/>
  <c r="J6" i="15"/>
  <c r="J11" i="15" s="1"/>
  <c r="G7" i="5"/>
  <c r="F16" i="26" l="1"/>
  <c r="F17" i="26"/>
  <c r="J19" i="15"/>
  <c r="J37" i="15" s="1"/>
  <c r="G16" i="5"/>
  <c r="G29" i="5" s="1"/>
  <c r="K6" i="15" s="1"/>
  <c r="K11" i="15" s="1"/>
  <c r="G4" i="25"/>
  <c r="G6" i="25" s="1"/>
  <c r="B8" i="25" l="1"/>
  <c r="B9" i="25"/>
  <c r="G16" i="26"/>
  <c r="K19" i="15"/>
  <c r="G17" i="26"/>
  <c r="F18" i="26"/>
  <c r="F8" i="26"/>
  <c r="F13" i="26" s="1"/>
  <c r="K37" i="15" l="1"/>
  <c r="G8" i="26"/>
  <c r="G13" i="26" s="1"/>
  <c r="G18" i="26"/>
</calcChain>
</file>

<file path=xl/comments1.xml><?xml version="1.0" encoding="utf-8"?>
<comments xmlns="http://schemas.openxmlformats.org/spreadsheetml/2006/main">
  <authors>
    <author>Bermeo Soto Juan Carlos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Esta definido como la cantidad de unidades físicas o monetarias requeridas en la producción, comercialización, sin que la empresa presente utilidades o pérdidas: Es decir, las ventas igualan el nivel de los costoos totales; en resumen , el el punto donde la utilidad operacional es igual a cero.
</t>
        </r>
      </text>
    </comment>
  </commentList>
</comments>
</file>

<file path=xl/sharedStrings.xml><?xml version="1.0" encoding="utf-8"?>
<sst xmlns="http://schemas.openxmlformats.org/spreadsheetml/2006/main" count="382" uniqueCount="295">
  <si>
    <t>Año</t>
  </si>
  <si>
    <t>Ventas</t>
  </si>
  <si>
    <t>Cuota</t>
  </si>
  <si>
    <t>Intereses</t>
  </si>
  <si>
    <t>Ingresos</t>
  </si>
  <si>
    <t>Costo de venta</t>
  </si>
  <si>
    <t>Utilidad Bruta</t>
  </si>
  <si>
    <t>Gastos</t>
  </si>
  <si>
    <t>Utilidad operacional</t>
  </si>
  <si>
    <t>Gastos financieros</t>
  </si>
  <si>
    <t>utilidad Antes Impuestos</t>
  </si>
  <si>
    <t>Provisión Impuestos</t>
  </si>
  <si>
    <t>Utilidad neta</t>
  </si>
  <si>
    <t>Capital</t>
  </si>
  <si>
    <t xml:space="preserve">BALANCE </t>
  </si>
  <si>
    <t xml:space="preserve">INICIAL </t>
  </si>
  <si>
    <t xml:space="preserve">ACTIVOS </t>
  </si>
  <si>
    <t xml:space="preserve">ACTIVOS CORRIENTES </t>
  </si>
  <si>
    <t>EFECTIVO</t>
  </si>
  <si>
    <t xml:space="preserve">TOTAL ACTIVOS CORRIENTES </t>
  </si>
  <si>
    <t xml:space="preserve">ACTIVOS FIJOS </t>
  </si>
  <si>
    <t>TOTAL ACTIVOS</t>
  </si>
  <si>
    <t>PASIVOS</t>
  </si>
  <si>
    <t>PROVEEDORES</t>
  </si>
  <si>
    <t>OBLIGACIONES FINANCIEROS</t>
  </si>
  <si>
    <t xml:space="preserve">PROVISION IMPUESTO RENTA </t>
  </si>
  <si>
    <t xml:space="preserve">TOTAL PASIVOS </t>
  </si>
  <si>
    <t>PATRIMONIO</t>
  </si>
  <si>
    <t>CAPITAL SOCIAL</t>
  </si>
  <si>
    <t>UTILIDADES ACUMULADAS</t>
  </si>
  <si>
    <t>UTILIDAD DEL PERIODO</t>
  </si>
  <si>
    <t>TOTAL PATRIMONIO</t>
  </si>
  <si>
    <t>TOTAL PASIVO Y PATRIMONIO</t>
  </si>
  <si>
    <t>Años</t>
  </si>
  <si>
    <t>Aspectos legales</t>
  </si>
  <si>
    <t>Camara de comercio</t>
  </si>
  <si>
    <t>Minuta de Constitucion</t>
  </si>
  <si>
    <t>Gastos operacionales</t>
  </si>
  <si>
    <t>Arriendos</t>
  </si>
  <si>
    <t>Servicios</t>
  </si>
  <si>
    <t>Agua</t>
  </si>
  <si>
    <t>Luz</t>
  </si>
  <si>
    <t>Plan movil</t>
  </si>
  <si>
    <t xml:space="preserve">CUADRO DE INVERSION </t>
  </si>
  <si>
    <t>CUADRO DE GASTOS DE INVERSION</t>
  </si>
  <si>
    <t>Total Gastos</t>
  </si>
  <si>
    <t>BALANCE INICIAL</t>
  </si>
  <si>
    <t>Bomberos</t>
  </si>
  <si>
    <t>Industria y Comercio</t>
  </si>
  <si>
    <t>Disponibes</t>
  </si>
  <si>
    <t>Caja</t>
  </si>
  <si>
    <t>Total Activos Disponbles</t>
  </si>
  <si>
    <t>Total Activos Fijos</t>
  </si>
  <si>
    <t>ACTIVOS</t>
  </si>
  <si>
    <t>Largo Plazo</t>
  </si>
  <si>
    <t>Total Pasivos largo Plazo</t>
  </si>
  <si>
    <t>Credito</t>
  </si>
  <si>
    <t>No,</t>
  </si>
  <si>
    <t>saldo</t>
  </si>
  <si>
    <t>Aportes de los Socios</t>
  </si>
  <si>
    <t>TOTAL PASIVOS + PAT,</t>
  </si>
  <si>
    <t>CARGO</t>
  </si>
  <si>
    <t>N°. TRABAJADORES</t>
  </si>
  <si>
    <t>REMUNERACION MENSUAL</t>
  </si>
  <si>
    <t>COSTO NOMINA MENSUAL</t>
  </si>
  <si>
    <t>COSTO NOMINA ANUAL</t>
  </si>
  <si>
    <t>AUXILIO DE TRANSP</t>
  </si>
  <si>
    <t>Sub-total</t>
  </si>
  <si>
    <t>CONCEPTO</t>
  </si>
  <si>
    <t>%</t>
  </si>
  <si>
    <t>Prima</t>
  </si>
  <si>
    <t>Cesantias</t>
  </si>
  <si>
    <t>CARGA</t>
  </si>
  <si>
    <t>Vacaciones</t>
  </si>
  <si>
    <t>PRESTACIONAL</t>
  </si>
  <si>
    <t>EPS, AFP, Arl.</t>
  </si>
  <si>
    <t>TOTAL CARGA PRESTACIONAL</t>
  </si>
  <si>
    <t>DOTACIONES</t>
  </si>
  <si>
    <t xml:space="preserve">TOTAL GASTO </t>
  </si>
  <si>
    <t>Empleado</t>
  </si>
  <si>
    <t>Empleador</t>
  </si>
  <si>
    <t>Total Aportes</t>
  </si>
  <si>
    <t>EPS</t>
  </si>
  <si>
    <t>PENSION</t>
  </si>
  <si>
    <t>ARL</t>
  </si>
  <si>
    <t>Aportes Seguridad</t>
  </si>
  <si>
    <t>Proyeccion Gsatos a los 5 años de Estudio</t>
  </si>
  <si>
    <t>Salarios y prestaciones</t>
  </si>
  <si>
    <t>Sevicios Publicos</t>
  </si>
  <si>
    <t>Año 1</t>
  </si>
  <si>
    <t>Año 2</t>
  </si>
  <si>
    <t>Año 3</t>
  </si>
  <si>
    <t>Año 4</t>
  </si>
  <si>
    <t>Año 5</t>
  </si>
  <si>
    <t>Total gastos</t>
  </si>
  <si>
    <t xml:space="preserve">Estado de Resultados - Proyectado </t>
  </si>
  <si>
    <t>FLUJO DE FONDOS</t>
  </si>
  <si>
    <t>Pagos</t>
  </si>
  <si>
    <t>Flujo de caja del proyecto</t>
  </si>
  <si>
    <t>VAN =</t>
  </si>
  <si>
    <t>TIR  =</t>
  </si>
  <si>
    <t>CUENTAS POR COBRAR</t>
  </si>
  <si>
    <t>TOTAL ACTIVOS FIJOS</t>
  </si>
  <si>
    <t xml:space="preserve">FLUJO DE CAJA PROYECTADO </t>
  </si>
  <si>
    <t xml:space="preserve">    Saldo Inicial de Caja</t>
  </si>
  <si>
    <t>FUENTES DE INGRESOS</t>
  </si>
  <si>
    <t>Crédito Bancario</t>
  </si>
  <si>
    <t xml:space="preserve">  Total Ingresos</t>
  </si>
  <si>
    <t xml:space="preserve">    Total Fuente de Ingresos</t>
  </si>
  <si>
    <t>USO DEL CRÉDITO</t>
  </si>
  <si>
    <t>Intereses Bancarios</t>
  </si>
  <si>
    <t>Amortización Préstamo</t>
  </si>
  <si>
    <t xml:space="preserve">  Total Egresos Operativos</t>
  </si>
  <si>
    <t xml:space="preserve">    Saldo Final de Caja</t>
  </si>
  <si>
    <t xml:space="preserve"> </t>
  </si>
  <si>
    <t>Aportes de Los Socios</t>
  </si>
  <si>
    <t>Inversión - Activos</t>
  </si>
  <si>
    <t>Recaudos de cartera</t>
  </si>
  <si>
    <t>Contado</t>
  </si>
  <si>
    <t>Total Ingresos</t>
  </si>
  <si>
    <t xml:space="preserve">Compra -Inventarios </t>
  </si>
  <si>
    <t>Pago Proveedores</t>
  </si>
  <si>
    <t xml:space="preserve">Gastos </t>
  </si>
  <si>
    <t>Impuesto de renta</t>
  </si>
  <si>
    <t>Año 0</t>
  </si>
  <si>
    <t>,</t>
  </si>
  <si>
    <t>Tasa Efectiva</t>
  </si>
  <si>
    <t>Numero de cuotas</t>
  </si>
  <si>
    <t>RESUMEN TABLA DE AMORTIZACION ANUAL</t>
  </si>
  <si>
    <t>Obigaciones Financieras</t>
  </si>
  <si>
    <t>PRESUPUESTO GASTO DE PERSONAL OPERATIVO</t>
  </si>
  <si>
    <t>Gastos Legales</t>
  </si>
  <si>
    <t>Activos Fijos</t>
  </si>
  <si>
    <t>Contrato conador porPrestacion de Servicios</t>
  </si>
  <si>
    <t>Homorarios</t>
  </si>
  <si>
    <t>Balance Al Inicio</t>
  </si>
  <si>
    <t xml:space="preserve">Total de Ventas Anuales </t>
  </si>
  <si>
    <t>Utilidad Neta</t>
  </si>
  <si>
    <t>Total Activos</t>
  </si>
  <si>
    <t>Total Pasivos</t>
  </si>
  <si>
    <t>Total Patrimonio</t>
  </si>
  <si>
    <t>RATIOS DE RENTABILIDAD</t>
  </si>
  <si>
    <t>Detalle</t>
  </si>
  <si>
    <t>Costos Fijos</t>
  </si>
  <si>
    <t>Punto de Equilibrio</t>
  </si>
  <si>
    <t>SEÑOR POLLO</t>
  </si>
  <si>
    <t>Total Inversion</t>
  </si>
  <si>
    <t>Estrategias de Promocion</t>
  </si>
  <si>
    <t>Estrategias de Publicidad</t>
  </si>
  <si>
    <t>Estrategias de Distribucion</t>
  </si>
  <si>
    <t xml:space="preserve">Adecuaciones </t>
  </si>
  <si>
    <t>Maquinaria y Equipo</t>
  </si>
  <si>
    <t>Equipos de Computo y Comunicaicones</t>
  </si>
  <si>
    <t>Señor Pollo</t>
  </si>
  <si>
    <t>Venta de Pollos Por Libras</t>
  </si>
  <si>
    <t>Total</t>
  </si>
  <si>
    <t>Veces Año</t>
  </si>
  <si>
    <t xml:space="preserve">INGRESOs OPERACIONALES </t>
  </si>
  <si>
    <t>Costos de produccion</t>
  </si>
  <si>
    <t>Total Por Los 500</t>
  </si>
  <si>
    <t>Total Anual</t>
  </si>
  <si>
    <t>Costo de Pollos</t>
  </si>
  <si>
    <t>Adecuacuones</t>
  </si>
  <si>
    <t>Total patrominio</t>
  </si>
  <si>
    <t>Compras</t>
  </si>
  <si>
    <t>CALCULO VAN- TIR- SEÑOR POLLO</t>
  </si>
  <si>
    <t>Adecuaciones</t>
  </si>
  <si>
    <t>Total Gastos de Estrategias</t>
  </si>
  <si>
    <t>Total  Gastos iniciacles mas inversion</t>
  </si>
  <si>
    <t>Semovienres</t>
  </si>
  <si>
    <t>Semovientes</t>
  </si>
  <si>
    <t>Prestamos a Socios</t>
  </si>
  <si>
    <t>Semoveinres</t>
  </si>
  <si>
    <t>Invenatario de Concentrado</t>
  </si>
  <si>
    <t>Inventario Inicial</t>
  </si>
  <si>
    <t>Mas Compras</t>
  </si>
  <si>
    <t>Menos Inv final</t>
  </si>
  <si>
    <t>Costo de ventas</t>
  </si>
  <si>
    <t xml:space="preserve">                                                                                                                                                               </t>
  </si>
  <si>
    <t>PUNTO DE EQUILIBRIO</t>
  </si>
  <si>
    <t>P. E.</t>
  </si>
  <si>
    <t>C. F.</t>
  </si>
  <si>
    <t>Puv</t>
  </si>
  <si>
    <t>Precio Unitario de Ventas</t>
  </si>
  <si>
    <t>Cuv</t>
  </si>
  <si>
    <t>Costo Unitario de Variable</t>
  </si>
  <si>
    <t>Unidades a vender</t>
  </si>
  <si>
    <t xml:space="preserve">Se deben de producir 50,000 unidades, en donde los costos de producción son iguales a las ventas(ingresos). </t>
  </si>
  <si>
    <t>Por lo tanto, su utilidad oeracional operacional será de $0 y asi se evidencia que no hay utilidad ni pérdida en el ejercicio.</t>
  </si>
  <si>
    <t>Tabla para el cálculo del punto de equilibrio</t>
  </si>
  <si>
    <t>Precio unitario de venta</t>
  </si>
  <si>
    <t>Costo variable</t>
  </si>
  <si>
    <t>Costos fijos</t>
  </si>
  <si>
    <t>Punto de equilibrio</t>
  </si>
  <si>
    <t>Capacidad instalada</t>
  </si>
  <si>
    <t>Unidades a producir</t>
  </si>
  <si>
    <t>ventas</t>
  </si>
  <si>
    <t>-Costos fijos</t>
  </si>
  <si>
    <t>-Costos variables</t>
  </si>
  <si>
    <t>=Utilidad</t>
  </si>
  <si>
    <t>Costos totales</t>
  </si>
  <si>
    <t>Utilidad</t>
  </si>
  <si>
    <t>Ceuntas Por Cobrar accionistas</t>
  </si>
  <si>
    <t>Indicadores Financieros y de Rotacion</t>
  </si>
  <si>
    <t>Indicador</t>
  </si>
  <si>
    <t>Liquidiez</t>
  </si>
  <si>
    <t>Liquidez corriente</t>
  </si>
  <si>
    <t>Prueba acida</t>
  </si>
  <si>
    <t>Solvencia</t>
  </si>
  <si>
    <t>Endeudamiento del Activo</t>
  </si>
  <si>
    <t>Endeudamiento del Patrimonio</t>
  </si>
  <si>
    <t>Endudamiento del Activo Fijo</t>
  </si>
  <si>
    <t>Roe</t>
  </si>
  <si>
    <t>Roa</t>
  </si>
  <si>
    <t>Concertado</t>
  </si>
  <si>
    <t xml:space="preserve">MAQUINARIA Y EQUIPO </t>
  </si>
  <si>
    <t>TIPO DE INMUEBLE O ENSERES</t>
  </si>
  <si>
    <t xml:space="preserve">CANTIDAD </t>
  </si>
  <si>
    <t>VALOR UNITARIO</t>
  </si>
  <si>
    <t>VALOR TOTAL</t>
  </si>
  <si>
    <t xml:space="preserve">BASCULA ELECTRONICA </t>
  </si>
  <si>
    <t xml:space="preserve">OLLAS </t>
  </si>
  <si>
    <t>CUCHILLOS</t>
  </si>
  <si>
    <t>REFRIGERADOR</t>
  </si>
  <si>
    <t xml:space="preserve">BEBEDEROS </t>
  </si>
  <si>
    <t xml:space="preserve">COMEDEROS </t>
  </si>
  <si>
    <t>MESON INDUSTRIAL</t>
  </si>
  <si>
    <t>SUBTOTAL</t>
  </si>
  <si>
    <t>IMPREVISTOS ( 10%)</t>
  </si>
  <si>
    <t>TOTAL</t>
  </si>
  <si>
    <t xml:space="preserve">EQUIPOS DE OFICINA  </t>
  </si>
  <si>
    <t xml:space="preserve">COMPUTADOR </t>
  </si>
  <si>
    <t>CAJA REGISTRADORA</t>
  </si>
  <si>
    <t>IMPREVISTOS (10%)</t>
  </si>
  <si>
    <t>LINEA TELEFONICA</t>
  </si>
  <si>
    <t>TIPO DE LINEA</t>
  </si>
  <si>
    <t xml:space="preserve">Nº LINEAS </t>
  </si>
  <si>
    <t>VALOR COSTO TOTAL</t>
  </si>
  <si>
    <t>POSPAGO</t>
  </si>
  <si>
    <t xml:space="preserve">TOTAL </t>
  </si>
  <si>
    <t>UNIDAD DE MEDIDA</t>
  </si>
  <si>
    <t xml:space="preserve">pollos </t>
  </si>
  <si>
    <t xml:space="preserve">unidades </t>
  </si>
  <si>
    <t xml:space="preserve">purina inciacion </t>
  </si>
  <si>
    <t>bultos</t>
  </si>
  <si>
    <t xml:space="preserve">purina levante </t>
  </si>
  <si>
    <t>maiz partido</t>
  </si>
  <si>
    <t xml:space="preserve">bore </t>
  </si>
  <si>
    <t>Bultos</t>
  </si>
  <si>
    <t xml:space="preserve">sabila </t>
  </si>
  <si>
    <t xml:space="preserve">limon </t>
  </si>
  <si>
    <t>ajos</t>
  </si>
  <si>
    <t xml:space="preserve">kilos </t>
  </si>
  <si>
    <t xml:space="preserve">matarraton </t>
  </si>
  <si>
    <t xml:space="preserve">residuos organicos </t>
  </si>
  <si>
    <t>AÑO 2</t>
  </si>
  <si>
    <t>AÑO 3</t>
  </si>
  <si>
    <t>AÑO 4</t>
  </si>
  <si>
    <t xml:space="preserve">VALOR (500) MENSUAL </t>
  </si>
  <si>
    <t xml:space="preserve">VALOR (500) ANUAL  </t>
  </si>
  <si>
    <t xml:space="preserve">INICIACION </t>
  </si>
  <si>
    <t xml:space="preserve">LEVANTE </t>
  </si>
  <si>
    <t xml:space="preserve">MAIZ </t>
  </si>
  <si>
    <t>BORE</t>
  </si>
  <si>
    <t xml:space="preserve">SABILA </t>
  </si>
  <si>
    <t>LIMON</t>
  </si>
  <si>
    <t xml:space="preserve">libras </t>
  </si>
  <si>
    <t>AJOS</t>
  </si>
  <si>
    <t>MATARATON</t>
  </si>
  <si>
    <t>RESIDUOS</t>
  </si>
  <si>
    <t>VALOR MENSUAL(612)</t>
  </si>
  <si>
    <t>VALOR ANUAL (612)</t>
  </si>
  <si>
    <t>VALOR MENSUAL(734)</t>
  </si>
  <si>
    <t>VALOR ANUAL (734)</t>
  </si>
  <si>
    <t>VALOR MENSUAL(881)</t>
  </si>
  <si>
    <t>VALOR ANUAL (1058)</t>
  </si>
  <si>
    <t>VALOR MENSUAL(1058)</t>
  </si>
  <si>
    <t>VALOR ANUAL (881))</t>
  </si>
  <si>
    <t xml:space="preserve">AÑO 1 </t>
  </si>
  <si>
    <t xml:space="preserve">AÑO 5 </t>
  </si>
  <si>
    <t xml:space="preserve">Materia prima </t>
  </si>
  <si>
    <t>karen Yuliet</t>
  </si>
  <si>
    <t xml:space="preserve">Andres felipe </t>
  </si>
  <si>
    <t>Jose orlando</t>
  </si>
  <si>
    <t>Administrador</t>
  </si>
  <si>
    <t>Operarios -distribuidor</t>
  </si>
  <si>
    <t>inventario</t>
  </si>
  <si>
    <t>precio x und</t>
  </si>
  <si>
    <t>Unid x lote</t>
  </si>
  <si>
    <t>Libra x und</t>
  </si>
  <si>
    <t>V/Total x lote</t>
  </si>
  <si>
    <t>costo x unidad</t>
  </si>
  <si>
    <t>AÑO 1</t>
  </si>
  <si>
    <t>AÑO 5</t>
  </si>
  <si>
    <t>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</si>
</sst>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&quot;$&quot;#,##0.00;[Red]\-&quot;$&quot;#,##0.00"/>
    <numFmt numFmtId="165" formatCode="_-* #,##0.00\ _€_-;\-* #,##0.00\ _€_-;_-* &quot;-&quot;??\ _€_-;_-@_-"/>
    <numFmt numFmtId="166" formatCode="&quot;$&quot;\ #,##0_);[Red]\(&quot;$&quot;\ #,##0\)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_(&quot;$&quot;\ * #,##0_);_(&quot;$&quot;\ * \(#,##0\);_(&quot;$&quot;\ * &quot;-&quot;??_);_(@_)"/>
    <numFmt numFmtId="171" formatCode="_ &quot;$&quot;\ * #,##0_ ;_ &quot;$&quot;\ * \-#,##0_ ;_ &quot;$&quot;\ * &quot;-&quot;_ ;_ @_ "/>
    <numFmt numFmtId="172" formatCode="_ &quot;$&quot;\ * #,##0.00_ ;_ &quot;$&quot;\ * \-#,##0.00_ ;_ &quot;$&quot;\ * &quot;-&quot;_ ;_ @_ "/>
    <numFmt numFmtId="173" formatCode="_(&quot;$&quot;* #,##0_);_(&quot;$&quot;* \(#,##0\);_(&quot;$&quot;* &quot;-&quot;_);_(@_)"/>
    <numFmt numFmtId="174" formatCode="0.0%"/>
    <numFmt numFmtId="175" formatCode="0.000%"/>
    <numFmt numFmtId="176" formatCode="&quot;$&quot;#,##0"/>
    <numFmt numFmtId="177" formatCode="_(* #,##0_);_(* \(#,##0\);_(* &quot;-&quot;??_);_(@_)"/>
    <numFmt numFmtId="178" formatCode="_-* #,##0_-;\-* #,##0_-;_-* &quot;-&quot;??_-;_-@_-"/>
    <numFmt numFmtId="179" formatCode="&quot;$&quot;\ #,##0.00"/>
    <numFmt numFmtId="180" formatCode="0.0"/>
    <numFmt numFmtId="181" formatCode="_(&quot;$&quot;\ * #,##0.00_);_(&quot;$&quot;\ * \(#,##0.00\);_(&quot;$&quot;\ * &quot;-&quot;_);_(@_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i/>
      <u/>
      <sz val="10"/>
      <color theme="1"/>
      <name val="Century Gothic"/>
      <family val="2"/>
    </font>
    <font>
      <b/>
      <sz val="12"/>
      <name val="Tahoma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0"/>
      <name val="Courier New"/>
      <family val="3"/>
    </font>
    <font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8" tint="0.79998168889431442"/>
      <name val="Arial"/>
      <family val="2"/>
    </font>
    <font>
      <b/>
      <sz val="10"/>
      <name val="Courier New"/>
      <family val="3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</borders>
  <cellStyleXfs count="13">
    <xf numFmtId="0" fontId="0" fillId="0" borderId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" fillId="0" borderId="0"/>
    <xf numFmtId="0" fontId="6" fillId="0" borderId="0"/>
  </cellStyleXfs>
  <cellXfs count="357">
    <xf numFmtId="0" fontId="0" fillId="0" borderId="0" xfId="0"/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167" fontId="0" fillId="0" borderId="0" xfId="4" applyFont="1"/>
    <xf numFmtId="0" fontId="0" fillId="0" borderId="6" xfId="0" applyBorder="1"/>
    <xf numFmtId="167" fontId="0" fillId="0" borderId="6" xfId="4" applyFont="1" applyBorder="1"/>
    <xf numFmtId="0" fontId="7" fillId="0" borderId="6" xfId="0" applyFont="1" applyBorder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7" fillId="0" borderId="6" xfId="4" applyFont="1" applyBorder="1"/>
    <xf numFmtId="167" fontId="7" fillId="7" borderId="6" xfId="4" applyFont="1" applyFill="1" applyBorder="1"/>
    <xf numFmtId="0" fontId="0" fillId="7" borderId="6" xfId="0" applyFont="1" applyFill="1" applyBorder="1"/>
    <xf numFmtId="0" fontId="7" fillId="7" borderId="6" xfId="0" applyFont="1" applyFill="1" applyBorder="1"/>
    <xf numFmtId="10" fontId="0" fillId="0" borderId="6" xfId="6" applyNumberFormat="1" applyFont="1" applyBorder="1"/>
    <xf numFmtId="10" fontId="0" fillId="0" borderId="0" xfId="6" applyNumberFormat="1" applyFont="1"/>
    <xf numFmtId="41" fontId="0" fillId="0" borderId="6" xfId="7" applyFont="1" applyBorder="1"/>
    <xf numFmtId="171" fontId="0" fillId="0" borderId="6" xfId="0" applyNumberFormat="1" applyBorder="1"/>
    <xf numFmtId="164" fontId="0" fillId="0" borderId="6" xfId="0" applyNumberFormat="1" applyBorder="1"/>
    <xf numFmtId="171" fontId="0" fillId="8" borderId="6" xfId="0" applyNumberFormat="1" applyFill="1" applyBorder="1"/>
    <xf numFmtId="164" fontId="0" fillId="0" borderId="0" xfId="0" applyNumberFormat="1"/>
    <xf numFmtId="0" fontId="0" fillId="0" borderId="12" xfId="0" applyBorder="1"/>
    <xf numFmtId="0" fontId="0" fillId="0" borderId="0" xfId="0" applyBorder="1"/>
    <xf numFmtId="167" fontId="0" fillId="0" borderId="13" xfId="4" applyFont="1" applyBorder="1"/>
    <xf numFmtId="167" fontId="0" fillId="0" borderId="0" xfId="4" applyFont="1" applyBorder="1"/>
    <xf numFmtId="0" fontId="7" fillId="0" borderId="12" xfId="0" applyFont="1" applyBorder="1"/>
    <xf numFmtId="167" fontId="7" fillId="0" borderId="0" xfId="4" applyFont="1" applyBorder="1"/>
    <xf numFmtId="0" fontId="0" fillId="0" borderId="14" xfId="0" applyBorder="1"/>
    <xf numFmtId="0" fontId="0" fillId="0" borderId="15" xfId="0" applyBorder="1"/>
    <xf numFmtId="167" fontId="0" fillId="0" borderId="16" xfId="4" applyFont="1" applyBorder="1"/>
    <xf numFmtId="0" fontId="7" fillId="0" borderId="0" xfId="0" applyFont="1" applyBorder="1"/>
    <xf numFmtId="172" fontId="0" fillId="0" borderId="6" xfId="0" applyNumberFormat="1" applyBorder="1"/>
    <xf numFmtId="0" fontId="9" fillId="0" borderId="0" xfId="0" applyFont="1"/>
    <xf numFmtId="9" fontId="4" fillId="0" borderId="0" xfId="6" applyFont="1" applyProtection="1">
      <protection hidden="1"/>
    </xf>
    <xf numFmtId="0" fontId="11" fillId="10" borderId="6" xfId="0" applyFont="1" applyFill="1" applyBorder="1" applyAlignment="1">
      <alignment horizontal="center" vertical="center" wrapText="1"/>
    </xf>
    <xf numFmtId="173" fontId="11" fillId="10" borderId="6" xfId="0" applyNumberFormat="1" applyFont="1" applyFill="1" applyBorder="1" applyAlignment="1">
      <alignment horizontal="center" vertical="center" wrapText="1"/>
    </xf>
    <xf numFmtId="0" fontId="12" fillId="0" borderId="27" xfId="0" applyFont="1" applyBorder="1"/>
    <xf numFmtId="37" fontId="12" fillId="0" borderId="6" xfId="0" applyNumberFormat="1" applyFont="1" applyBorder="1" applyAlignment="1">
      <alignment horizontal="center"/>
    </xf>
    <xf numFmtId="173" fontId="12" fillId="0" borderId="27" xfId="0" applyNumberFormat="1" applyFont="1" applyBorder="1"/>
    <xf numFmtId="0" fontId="12" fillId="0" borderId="28" xfId="0" applyFont="1" applyBorder="1"/>
    <xf numFmtId="0" fontId="12" fillId="0" borderId="6" xfId="0" applyFont="1" applyBorder="1"/>
    <xf numFmtId="173" fontId="11" fillId="10" borderId="27" xfId="0" applyNumberFormat="1" applyFont="1" applyFill="1" applyBorder="1"/>
    <xf numFmtId="37" fontId="12" fillId="0" borderId="27" xfId="0" applyNumberFormat="1" applyFont="1" applyBorder="1" applyAlignment="1">
      <alignment horizontal="center"/>
    </xf>
    <xf numFmtId="173" fontId="12" fillId="0" borderId="27" xfId="0" applyNumberFormat="1" applyFont="1" applyBorder="1" applyAlignment="1">
      <alignment horizontal="center"/>
    </xf>
    <xf numFmtId="10" fontId="12" fillId="0" borderId="27" xfId="0" applyNumberFormat="1" applyFont="1" applyBorder="1" applyAlignment="1">
      <alignment horizontal="center"/>
    </xf>
    <xf numFmtId="173" fontId="12" fillId="0" borderId="6" xfId="0" applyNumberFormat="1" applyFont="1" applyBorder="1"/>
    <xf numFmtId="173" fontId="12" fillId="0" borderId="28" xfId="0" applyNumberFormat="1" applyFont="1" applyBorder="1"/>
    <xf numFmtId="10" fontId="12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8" xfId="0" applyFont="1" applyBorder="1"/>
    <xf numFmtId="173" fontId="12" fillId="0" borderId="9" xfId="0" applyNumberFormat="1" applyFont="1" applyBorder="1"/>
    <xf numFmtId="10" fontId="12" fillId="0" borderId="7" xfId="0" applyNumberFormat="1" applyFont="1" applyBorder="1" applyAlignment="1">
      <alignment horizontal="center"/>
    </xf>
    <xf numFmtId="173" fontId="11" fillId="10" borderId="6" xfId="0" applyNumberFormat="1" applyFont="1" applyFill="1" applyBorder="1"/>
    <xf numFmtId="173" fontId="12" fillId="0" borderId="7" xfId="0" applyNumberFormat="1" applyFont="1" applyBorder="1"/>
    <xf numFmtId="0" fontId="12" fillId="0" borderId="0" xfId="0" applyFont="1"/>
    <xf numFmtId="173" fontId="12" fillId="0" borderId="0" xfId="0" applyNumberFormat="1" applyFont="1"/>
    <xf numFmtId="9" fontId="0" fillId="0" borderId="6" xfId="6" applyFont="1" applyBorder="1"/>
    <xf numFmtId="174" fontId="0" fillId="0" borderId="6" xfId="6" applyNumberFormat="1" applyFont="1" applyBorder="1"/>
    <xf numFmtId="175" fontId="0" fillId="0" borderId="6" xfId="6" applyNumberFormat="1" applyFont="1" applyBorder="1"/>
    <xf numFmtId="174" fontId="0" fillId="0" borderId="6" xfId="0" applyNumberFormat="1" applyBorder="1"/>
    <xf numFmtId="0" fontId="0" fillId="9" borderId="6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 wrapText="1"/>
    </xf>
    <xf numFmtId="0" fontId="0" fillId="0" borderId="27" xfId="0" applyBorder="1"/>
    <xf numFmtId="0" fontId="14" fillId="0" borderId="2" xfId="0" applyFont="1" applyBorder="1" applyProtection="1">
      <protection hidden="1"/>
    </xf>
    <xf numFmtId="170" fontId="15" fillId="0" borderId="2" xfId="3" applyNumberFormat="1" applyFont="1" applyBorder="1" applyProtection="1">
      <protection hidden="1"/>
    </xf>
    <xf numFmtId="0" fontId="14" fillId="0" borderId="4" xfId="0" applyFont="1" applyBorder="1" applyProtection="1">
      <protection hidden="1"/>
    </xf>
    <xf numFmtId="170" fontId="14" fillId="0" borderId="4" xfId="0" applyNumberFormat="1" applyFont="1" applyBorder="1" applyProtection="1">
      <protection hidden="1"/>
    </xf>
    <xf numFmtId="0" fontId="14" fillId="0" borderId="1" xfId="0" applyFont="1" applyBorder="1" applyProtection="1">
      <protection hidden="1"/>
    </xf>
    <xf numFmtId="166" fontId="14" fillId="0" borderId="1" xfId="0" applyNumberFormat="1" applyFont="1" applyBorder="1" applyProtection="1">
      <protection hidden="1"/>
    </xf>
    <xf numFmtId="170" fontId="14" fillId="0" borderId="1" xfId="3" applyNumberFormat="1" applyFont="1" applyBorder="1" applyProtection="1">
      <protection hidden="1"/>
    </xf>
    <xf numFmtId="0" fontId="16" fillId="0" borderId="1" xfId="0" applyFont="1" applyBorder="1" applyProtection="1">
      <protection hidden="1"/>
    </xf>
    <xf numFmtId="170" fontId="16" fillId="0" borderId="1" xfId="3" applyNumberFormat="1" applyFont="1" applyBorder="1" applyProtection="1">
      <protection hidden="1"/>
    </xf>
    <xf numFmtId="0" fontId="5" fillId="0" borderId="0" xfId="0" applyFont="1" applyBorder="1"/>
    <xf numFmtId="176" fontId="5" fillId="0" borderId="0" xfId="0" applyNumberFormat="1" applyFont="1" applyBorder="1"/>
    <xf numFmtId="0" fontId="4" fillId="0" borderId="0" xfId="0" applyFont="1"/>
    <xf numFmtId="0" fontId="4" fillId="11" borderId="6" xfId="0" applyFont="1" applyFill="1" applyBorder="1"/>
    <xf numFmtId="176" fontId="4" fillId="11" borderId="6" xfId="0" applyNumberFormat="1" applyFont="1" applyFill="1" applyBorder="1"/>
    <xf numFmtId="167" fontId="4" fillId="0" borderId="6" xfId="4" applyFont="1" applyBorder="1" applyProtection="1">
      <protection hidden="1"/>
    </xf>
    <xf numFmtId="167" fontId="0" fillId="0" borderId="6" xfId="4" applyFont="1" applyBorder="1" applyAlignment="1" applyProtection="1">
      <alignment horizontal="center" vertical="center"/>
      <protection hidden="1"/>
    </xf>
    <xf numFmtId="167" fontId="4" fillId="0" borderId="6" xfId="4" applyFont="1" applyBorder="1" applyAlignment="1" applyProtection="1">
      <alignment horizontal="center"/>
      <protection hidden="1"/>
    </xf>
    <xf numFmtId="167" fontId="5" fillId="3" borderId="6" xfId="4" applyFont="1" applyFill="1" applyBorder="1" applyAlignment="1" applyProtection="1">
      <alignment horizontal="center"/>
      <protection hidden="1"/>
    </xf>
    <xf numFmtId="167" fontId="5" fillId="4" borderId="6" xfId="4" applyFont="1" applyFill="1" applyBorder="1" applyAlignment="1" applyProtection="1">
      <alignment horizontal="center"/>
      <protection hidden="1"/>
    </xf>
    <xf numFmtId="167" fontId="5" fillId="3" borderId="6" xfId="4" applyFont="1" applyFill="1" applyBorder="1" applyAlignment="1" applyProtection="1">
      <protection hidden="1"/>
    </xf>
    <xf numFmtId="0" fontId="19" fillId="2" borderId="0" xfId="0" applyFont="1" applyFill="1"/>
    <xf numFmtId="0" fontId="20" fillId="2" borderId="0" xfId="0" applyFont="1" applyFill="1"/>
    <xf numFmtId="169" fontId="20" fillId="2" borderId="0" xfId="1" applyFont="1" applyFill="1"/>
    <xf numFmtId="0" fontId="18" fillId="2" borderId="6" xfId="0" applyFont="1" applyFill="1" applyBorder="1"/>
    <xf numFmtId="167" fontId="20" fillId="2" borderId="6" xfId="4" applyFont="1" applyFill="1" applyBorder="1"/>
    <xf numFmtId="167" fontId="20" fillId="2" borderId="0" xfId="4" applyFont="1" applyFill="1"/>
    <xf numFmtId="0" fontId="18" fillId="2" borderId="0" xfId="0" applyFont="1" applyFill="1"/>
    <xf numFmtId="0" fontId="20" fillId="2" borderId="6" xfId="0" applyFont="1" applyFill="1" applyBorder="1"/>
    <xf numFmtId="167" fontId="21" fillId="2" borderId="0" xfId="4" applyFont="1" applyFill="1"/>
    <xf numFmtId="167" fontId="19" fillId="2" borderId="0" xfId="4" applyFont="1" applyFill="1"/>
    <xf numFmtId="167" fontId="22" fillId="2" borderId="0" xfId="4" applyFont="1" applyFill="1"/>
    <xf numFmtId="0" fontId="20" fillId="2" borderId="0" xfId="0" applyFont="1" applyFill="1" applyAlignment="1">
      <alignment horizontal="left"/>
    </xf>
    <xf numFmtId="40" fontId="18" fillId="2" borderId="0" xfId="0" applyNumberFormat="1" applyFont="1" applyFill="1"/>
    <xf numFmtId="169" fontId="20" fillId="2" borderId="0" xfId="0" applyNumberFormat="1" applyFont="1" applyFill="1"/>
    <xf numFmtId="40" fontId="19" fillId="2" borderId="0" xfId="0" applyNumberFormat="1" applyFont="1" applyFill="1"/>
    <xf numFmtId="169" fontId="22" fillId="2" borderId="0" xfId="1" applyFont="1" applyFill="1"/>
    <xf numFmtId="167" fontId="20" fillId="5" borderId="6" xfId="4" applyFont="1" applyFill="1" applyBorder="1"/>
    <xf numFmtId="167" fontId="0" fillId="0" borderId="0" xfId="0" applyNumberFormat="1" applyProtection="1">
      <protection hidden="1"/>
    </xf>
    <xf numFmtId="9" fontId="20" fillId="2" borderId="0" xfId="6" applyFont="1" applyFill="1"/>
    <xf numFmtId="176" fontId="0" fillId="0" borderId="0" xfId="0" applyNumberFormat="1"/>
    <xf numFmtId="9" fontId="5" fillId="0" borderId="0" xfId="6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5" fillId="4" borderId="6" xfId="0" applyFont="1" applyFill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protection hidden="1"/>
    </xf>
    <xf numFmtId="0" fontId="5" fillId="4" borderId="40" xfId="0" applyFont="1" applyFill="1" applyBorder="1" applyAlignment="1" applyProtection="1">
      <protection hidden="1"/>
    </xf>
    <xf numFmtId="0" fontId="5" fillId="4" borderId="41" xfId="0" applyFont="1" applyFill="1" applyBorder="1" applyAlignment="1" applyProtection="1">
      <protection hidden="1"/>
    </xf>
    <xf numFmtId="168" fontId="0" fillId="0" borderId="6" xfId="3" applyFont="1" applyBorder="1"/>
    <xf numFmtId="167" fontId="0" fillId="0" borderId="0" xfId="0" applyNumberFormat="1"/>
    <xf numFmtId="170" fontId="4" fillId="0" borderId="0" xfId="6" applyNumberFormat="1" applyFont="1" applyProtection="1">
      <protection hidden="1"/>
    </xf>
    <xf numFmtId="170" fontId="4" fillId="0" borderId="0" xfId="0" applyNumberFormat="1" applyFont="1" applyProtection="1">
      <protection hidden="1"/>
    </xf>
    <xf numFmtId="167" fontId="4" fillId="0" borderId="0" xfId="0" applyNumberFormat="1" applyFont="1" applyProtection="1">
      <protection hidden="1"/>
    </xf>
    <xf numFmtId="0" fontId="5" fillId="0" borderId="7" xfId="0" applyFont="1" applyFill="1" applyBorder="1" applyAlignment="1" applyProtection="1">
      <alignment horizontal="left"/>
      <protection hidden="1"/>
    </xf>
    <xf numFmtId="0" fontId="5" fillId="0" borderId="6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>
      <alignment horizontal="center"/>
    </xf>
    <xf numFmtId="167" fontId="9" fillId="5" borderId="0" xfId="4" applyFont="1" applyFill="1" applyBorder="1" applyAlignment="1">
      <alignment horizontal="center"/>
    </xf>
    <xf numFmtId="167" fontId="9" fillId="5" borderId="0" xfId="4" applyFont="1" applyFill="1" applyBorder="1"/>
    <xf numFmtId="167" fontId="8" fillId="5" borderId="0" xfId="4" applyFont="1" applyFill="1" applyBorder="1"/>
    <xf numFmtId="0" fontId="9" fillId="5" borderId="0" xfId="0" applyFont="1" applyFill="1" applyBorder="1"/>
    <xf numFmtId="167" fontId="9" fillId="5" borderId="0" xfId="4" applyNumberFormat="1" applyFont="1" applyFill="1" applyBorder="1"/>
    <xf numFmtId="167" fontId="9" fillId="5" borderId="0" xfId="0" applyNumberFormat="1" applyFont="1" applyFill="1" applyBorder="1"/>
    <xf numFmtId="0" fontId="8" fillId="5" borderId="6" xfId="0" applyFont="1" applyFill="1" applyBorder="1" applyAlignment="1">
      <alignment horizontal="center" vertical="center" wrapText="1"/>
    </xf>
    <xf numFmtId="167" fontId="9" fillId="5" borderId="6" xfId="4" applyFont="1" applyFill="1" applyBorder="1"/>
    <xf numFmtId="0" fontId="8" fillId="5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/>
    </xf>
    <xf numFmtId="170" fontId="8" fillId="5" borderId="6" xfId="3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177" fontId="8" fillId="5" borderId="6" xfId="1" applyNumberFormat="1" applyFont="1" applyFill="1" applyBorder="1" applyAlignment="1">
      <alignment horizontal="center" vertical="center" wrapText="1"/>
    </xf>
    <xf numFmtId="168" fontId="9" fillId="0" borderId="6" xfId="3" applyFont="1" applyBorder="1"/>
    <xf numFmtId="170" fontId="8" fillId="5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70" fontId="0" fillId="0" borderId="0" xfId="3" applyNumberFormat="1" applyFont="1" applyBorder="1"/>
    <xf numFmtId="0" fontId="7" fillId="0" borderId="0" xfId="0" applyFont="1" applyFill="1" applyBorder="1"/>
    <xf numFmtId="167" fontId="7" fillId="0" borderId="13" xfId="4" applyFont="1" applyBorder="1"/>
    <xf numFmtId="170" fontId="9" fillId="0" borderId="6" xfId="0" applyNumberFormat="1" applyFont="1" applyBorder="1"/>
    <xf numFmtId="0" fontId="16" fillId="12" borderId="6" xfId="0" applyFont="1" applyFill="1" applyBorder="1" applyProtection="1">
      <protection hidden="1"/>
    </xf>
    <xf numFmtId="170" fontId="16" fillId="12" borderId="6" xfId="0" applyNumberFormat="1" applyFont="1" applyFill="1" applyBorder="1" applyProtection="1">
      <protection hidden="1"/>
    </xf>
    <xf numFmtId="167" fontId="16" fillId="12" borderId="6" xfId="4" applyFont="1" applyFill="1" applyBorder="1" applyProtection="1">
      <protection hidden="1"/>
    </xf>
    <xf numFmtId="167" fontId="9" fillId="12" borderId="6" xfId="4" applyFont="1" applyFill="1" applyBorder="1" applyAlignment="1">
      <alignment horizontal="center"/>
    </xf>
    <xf numFmtId="167" fontId="7" fillId="12" borderId="19" xfId="0" applyNumberFormat="1" applyFont="1" applyFill="1" applyBorder="1"/>
    <xf numFmtId="0" fontId="7" fillId="12" borderId="17" xfId="0" applyFont="1" applyFill="1" applyBorder="1"/>
    <xf numFmtId="0" fontId="7" fillId="12" borderId="18" xfId="0" applyFont="1" applyFill="1" applyBorder="1"/>
    <xf numFmtId="167" fontId="7" fillId="12" borderId="19" xfId="4" applyFont="1" applyFill="1" applyBorder="1"/>
    <xf numFmtId="0" fontId="0" fillId="12" borderId="6" xfId="0" applyFont="1" applyFill="1" applyBorder="1"/>
    <xf numFmtId="0" fontId="0" fillId="12" borderId="6" xfId="0" applyFill="1" applyBorder="1"/>
    <xf numFmtId="173" fontId="0" fillId="12" borderId="6" xfId="0" applyNumberFormat="1" applyFont="1" applyFill="1" applyBorder="1"/>
    <xf numFmtId="167" fontId="6" fillId="12" borderId="6" xfId="4" applyFont="1" applyFill="1" applyBorder="1"/>
    <xf numFmtId="167" fontId="0" fillId="12" borderId="6" xfId="4" applyFont="1" applyFill="1" applyBorder="1"/>
    <xf numFmtId="173" fontId="7" fillId="12" borderId="6" xfId="0" applyNumberFormat="1" applyFont="1" applyFill="1" applyBorder="1"/>
    <xf numFmtId="0" fontId="18" fillId="12" borderId="6" xfId="0" applyFont="1" applyFill="1" applyBorder="1" applyAlignment="1">
      <alignment horizontal="center" wrapText="1"/>
    </xf>
    <xf numFmtId="167" fontId="18" fillId="12" borderId="6" xfId="4" applyFont="1" applyFill="1" applyBorder="1" applyAlignment="1">
      <alignment horizontal="center" vertical="center"/>
    </xf>
    <xf numFmtId="0" fontId="18" fillId="12" borderId="6" xfId="0" applyFont="1" applyFill="1" applyBorder="1"/>
    <xf numFmtId="167" fontId="18" fillId="12" borderId="6" xfId="4" applyFont="1" applyFill="1" applyBorder="1"/>
    <xf numFmtId="0" fontId="18" fillId="12" borderId="6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176" fontId="5" fillId="12" borderId="6" xfId="0" applyNumberFormat="1" applyFont="1" applyFill="1" applyBorder="1" applyAlignment="1">
      <alignment horizontal="center"/>
    </xf>
    <xf numFmtId="0" fontId="5" fillId="12" borderId="6" xfId="0" applyFont="1" applyFill="1" applyBorder="1"/>
    <xf numFmtId="42" fontId="5" fillId="12" borderId="6" xfId="0" applyNumberFormat="1" applyFont="1" applyFill="1" applyBorder="1"/>
    <xf numFmtId="9" fontId="5" fillId="12" borderId="6" xfId="6" applyFont="1" applyFill="1" applyBorder="1"/>
    <xf numFmtId="176" fontId="5" fillId="12" borderId="6" xfId="0" applyNumberFormat="1" applyFont="1" applyFill="1" applyBorder="1"/>
    <xf numFmtId="0" fontId="7" fillId="12" borderId="27" xfId="0" applyFont="1" applyFill="1" applyBorder="1" applyAlignment="1">
      <alignment horizontal="center" vertical="center"/>
    </xf>
    <xf numFmtId="10" fontId="7" fillId="12" borderId="6" xfId="6" applyNumberFormat="1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167" fontId="7" fillId="13" borderId="6" xfId="4" applyFont="1" applyFill="1" applyBorder="1"/>
    <xf numFmtId="0" fontId="7" fillId="13" borderId="6" xfId="0" applyFont="1" applyFill="1" applyBorder="1" applyAlignment="1">
      <alignment horizontal="center"/>
    </xf>
    <xf numFmtId="170" fontId="7" fillId="6" borderId="6" xfId="3" applyNumberFormat="1" applyFont="1" applyFill="1" applyBorder="1" applyAlignment="1">
      <alignment horizontal="center"/>
    </xf>
    <xf numFmtId="170" fontId="7" fillId="6" borderId="6" xfId="4" applyNumberFormat="1" applyFont="1" applyFill="1" applyBorder="1"/>
    <xf numFmtId="10" fontId="7" fillId="12" borderId="19" xfId="6" applyNumberFormat="1" applyFont="1" applyFill="1" applyBorder="1"/>
    <xf numFmtId="167" fontId="7" fillId="12" borderId="19" xfId="4" applyFont="1" applyFill="1" applyBorder="1" applyAlignment="1">
      <alignment horizontal="center" vertical="center"/>
    </xf>
    <xf numFmtId="173" fontId="0" fillId="0" borderId="0" xfId="0" applyNumberFormat="1"/>
    <xf numFmtId="0" fontId="9" fillId="0" borderId="42" xfId="0" applyFont="1" applyBorder="1"/>
    <xf numFmtId="167" fontId="9" fillId="0" borderId="43" xfId="0" applyNumberFormat="1" applyFont="1" applyBorder="1"/>
    <xf numFmtId="167" fontId="9" fillId="0" borderId="44" xfId="0" applyNumberFormat="1" applyFont="1" applyBorder="1"/>
    <xf numFmtId="0" fontId="9" fillId="0" borderId="45" xfId="0" applyFont="1" applyBorder="1"/>
    <xf numFmtId="167" fontId="9" fillId="0" borderId="46" xfId="4" applyFont="1" applyBorder="1"/>
    <xf numFmtId="0" fontId="9" fillId="0" borderId="47" xfId="0" applyFont="1" applyBorder="1"/>
    <xf numFmtId="167" fontId="9" fillId="0" borderId="48" xfId="4" applyFont="1" applyBorder="1"/>
    <xf numFmtId="177" fontId="4" fillId="0" borderId="6" xfId="1" applyNumberFormat="1" applyFont="1" applyBorder="1" applyAlignment="1" applyProtection="1">
      <alignment horizontal="center"/>
      <protection hidden="1"/>
    </xf>
    <xf numFmtId="0" fontId="23" fillId="0" borderId="0" xfId="8"/>
    <xf numFmtId="0" fontId="23" fillId="14" borderId="0" xfId="8" applyFill="1"/>
    <xf numFmtId="0" fontId="9" fillId="14" borderId="0" xfId="8" applyFont="1" applyFill="1" applyAlignment="1">
      <alignment horizontal="center"/>
    </xf>
    <xf numFmtId="0" fontId="25" fillId="14" borderId="0" xfId="8" applyFont="1" applyFill="1"/>
    <xf numFmtId="0" fontId="25" fillId="14" borderId="0" xfId="8" applyFont="1" applyFill="1" applyAlignment="1">
      <alignment horizontal="center" vertical="center"/>
    </xf>
    <xf numFmtId="0" fontId="26" fillId="14" borderId="0" xfId="8" applyFont="1" applyFill="1"/>
    <xf numFmtId="178" fontId="26" fillId="14" borderId="0" xfId="9" applyNumberFormat="1" applyFont="1" applyFill="1"/>
    <xf numFmtId="43" fontId="26" fillId="14" borderId="0" xfId="9" applyFont="1" applyFill="1"/>
    <xf numFmtId="3" fontId="27" fillId="15" borderId="6" xfId="0" applyNumberFormat="1" applyFont="1" applyFill="1" applyBorder="1" applyAlignment="1">
      <alignment horizontal="center"/>
    </xf>
    <xf numFmtId="179" fontId="25" fillId="14" borderId="0" xfId="8" applyNumberFormat="1" applyFont="1" applyFill="1"/>
    <xf numFmtId="1" fontId="23" fillId="0" borderId="0" xfId="8" applyNumberFormat="1"/>
    <xf numFmtId="10" fontId="25" fillId="14" borderId="0" xfId="10" applyNumberFormat="1" applyFont="1" applyFill="1"/>
    <xf numFmtId="176" fontId="23" fillId="0" borderId="0" xfId="8" applyNumberFormat="1"/>
    <xf numFmtId="179" fontId="28" fillId="14" borderId="0" xfId="8" applyNumberFormat="1" applyFont="1" applyFill="1"/>
    <xf numFmtId="4" fontId="25" fillId="14" borderId="0" xfId="8" applyNumberFormat="1" applyFont="1" applyFill="1"/>
    <xf numFmtId="3" fontId="25" fillId="14" borderId="0" xfId="8" applyNumberFormat="1" applyFont="1" applyFill="1"/>
    <xf numFmtId="0" fontId="23" fillId="0" borderId="37" xfId="8" applyBorder="1"/>
    <xf numFmtId="0" fontId="23" fillId="0" borderId="38" xfId="8" applyBorder="1"/>
    <xf numFmtId="0" fontId="23" fillId="0" borderId="14" xfId="8" applyBorder="1"/>
    <xf numFmtId="0" fontId="23" fillId="0" borderId="15" xfId="8" applyBorder="1"/>
    <xf numFmtId="0" fontId="23" fillId="0" borderId="16" xfId="8" applyBorder="1"/>
    <xf numFmtId="0" fontId="29" fillId="0" borderId="0" xfId="8" applyFont="1"/>
    <xf numFmtId="178" fontId="0" fillId="0" borderId="0" xfId="9" applyNumberFormat="1" applyFont="1"/>
    <xf numFmtId="3" fontId="23" fillId="0" borderId="0" xfId="8" applyNumberFormat="1"/>
    <xf numFmtId="43" fontId="0" fillId="0" borderId="0" xfId="9" applyFont="1"/>
    <xf numFmtId="43" fontId="23" fillId="0" borderId="0" xfId="8" applyNumberFormat="1"/>
    <xf numFmtId="178" fontId="23" fillId="0" borderId="0" xfId="8" applyNumberFormat="1"/>
    <xf numFmtId="0" fontId="23" fillId="0" borderId="0" xfId="8" quotePrefix="1"/>
    <xf numFmtId="178" fontId="23" fillId="16" borderId="0" xfId="8" applyNumberFormat="1" applyFill="1"/>
    <xf numFmtId="0" fontId="5" fillId="12" borderId="0" xfId="0" applyFont="1" applyFill="1" applyBorder="1"/>
    <xf numFmtId="9" fontId="5" fillId="12" borderId="0" xfId="6" applyFont="1" applyFill="1" applyBorder="1"/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168" fontId="0" fillId="0" borderId="6" xfId="5" applyFont="1" applyBorder="1"/>
    <xf numFmtId="0" fontId="0" fillId="0" borderId="49" xfId="0" applyBorder="1"/>
    <xf numFmtId="0" fontId="0" fillId="0" borderId="50" xfId="0" applyBorder="1"/>
    <xf numFmtId="9" fontId="0" fillId="0" borderId="50" xfId="6" applyFont="1" applyBorder="1" applyAlignment="1">
      <alignment horizontal="center" vertical="center"/>
    </xf>
    <xf numFmtId="169" fontId="0" fillId="0" borderId="49" xfId="2" applyFont="1" applyBorder="1" applyAlignment="1">
      <alignment horizontal="center" vertical="center"/>
    </xf>
    <xf numFmtId="169" fontId="0" fillId="0" borderId="50" xfId="2" applyFont="1" applyBorder="1" applyAlignment="1">
      <alignment horizontal="center" vertical="center"/>
    </xf>
    <xf numFmtId="0" fontId="0" fillId="0" borderId="6" xfId="0" applyFill="1" applyBorder="1"/>
    <xf numFmtId="9" fontId="0" fillId="0" borderId="6" xfId="6" applyFont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/>
    </xf>
    <xf numFmtId="168" fontId="9" fillId="0" borderId="0" xfId="3" applyFont="1"/>
    <xf numFmtId="0" fontId="6" fillId="0" borderId="0" xfId="11"/>
    <xf numFmtId="0" fontId="7" fillId="0" borderId="6" xfId="11" applyFont="1" applyBorder="1" applyAlignment="1">
      <alignment horizontal="center"/>
    </xf>
    <xf numFmtId="0" fontId="6" fillId="0" borderId="6" xfId="11" applyBorder="1" applyAlignment="1">
      <alignment horizontal="center"/>
    </xf>
    <xf numFmtId="167" fontId="6" fillId="0" borderId="6" xfId="4" applyFont="1" applyBorder="1" applyAlignment="1">
      <alignment horizontal="center"/>
    </xf>
    <xf numFmtId="42" fontId="6" fillId="0" borderId="6" xfId="4" applyNumberFormat="1" applyFont="1" applyBorder="1" applyAlignment="1">
      <alignment horizontal="center"/>
    </xf>
    <xf numFmtId="0" fontId="6" fillId="0" borderId="6" xfId="11" applyFont="1" applyBorder="1" applyAlignment="1">
      <alignment horizontal="center"/>
    </xf>
    <xf numFmtId="42" fontId="7" fillId="0" borderId="6" xfId="4" applyNumberFormat="1" applyFont="1" applyBorder="1" applyAlignment="1">
      <alignment horizontal="center"/>
    </xf>
    <xf numFmtId="167" fontId="7" fillId="0" borderId="6" xfId="4" applyFont="1" applyBorder="1" applyAlignment="1">
      <alignment horizontal="center"/>
    </xf>
    <xf numFmtId="0" fontId="6" fillId="0" borderId="6" xfId="11" applyBorder="1"/>
    <xf numFmtId="0" fontId="7" fillId="0" borderId="0" xfId="11" applyFont="1"/>
    <xf numFmtId="42" fontId="7" fillId="0" borderId="0" xfId="11" applyNumberFormat="1" applyFont="1"/>
    <xf numFmtId="42" fontId="6" fillId="0" borderId="0" xfId="11" applyNumberFormat="1"/>
    <xf numFmtId="176" fontId="7" fillId="16" borderId="6" xfId="12" applyNumberFormat="1" applyFont="1" applyFill="1" applyBorder="1"/>
    <xf numFmtId="176" fontId="6" fillId="0" borderId="6" xfId="12" applyNumberFormat="1" applyBorder="1"/>
    <xf numFmtId="176" fontId="6" fillId="0" borderId="6" xfId="12" applyNumberFormat="1" applyFont="1" applyBorder="1"/>
    <xf numFmtId="176" fontId="7" fillId="16" borderId="6" xfId="12" applyNumberFormat="1" applyFont="1" applyFill="1" applyBorder="1" applyAlignment="1">
      <alignment horizontal="center"/>
    </xf>
    <xf numFmtId="167" fontId="6" fillId="0" borderId="6" xfId="4" applyFont="1" applyBorder="1"/>
    <xf numFmtId="167" fontId="6" fillId="0" borderId="0" xfId="4" applyFont="1" applyBorder="1"/>
    <xf numFmtId="1" fontId="0" fillId="0" borderId="0" xfId="0" applyNumberFormat="1"/>
    <xf numFmtId="180" fontId="0" fillId="0" borderId="0" xfId="0" applyNumberFormat="1"/>
    <xf numFmtId="2" fontId="0" fillId="0" borderId="0" xfId="0" applyNumberFormat="1"/>
    <xf numFmtId="176" fontId="0" fillId="0" borderId="6" xfId="12" applyNumberFormat="1" applyFont="1" applyBorder="1"/>
    <xf numFmtId="176" fontId="7" fillId="16" borderId="8" xfId="12" applyNumberFormat="1" applyFont="1" applyFill="1" applyBorder="1" applyAlignment="1">
      <alignment horizontal="center"/>
    </xf>
    <xf numFmtId="167" fontId="0" fillId="0" borderId="8" xfId="4" applyFont="1" applyBorder="1"/>
    <xf numFmtId="176" fontId="0" fillId="8" borderId="0" xfId="0" applyNumberFormat="1" applyFill="1" applyBorder="1"/>
    <xf numFmtId="176" fontId="7" fillId="0" borderId="0" xfId="12" applyNumberFormat="1" applyFont="1" applyFill="1" applyBorder="1" applyAlignment="1">
      <alignment horizontal="center"/>
    </xf>
    <xf numFmtId="167" fontId="0" fillId="0" borderId="0" xfId="4" applyFont="1" applyFill="1" applyBorder="1"/>
    <xf numFmtId="176" fontId="0" fillId="0" borderId="0" xfId="0" applyNumberFormat="1" applyFill="1" applyBorder="1"/>
    <xf numFmtId="0" fontId="0" fillId="0" borderId="11" xfId="0" applyBorder="1" applyAlignment="1"/>
    <xf numFmtId="0" fontId="0" fillId="0" borderId="0" xfId="4" applyNumberFormat="1" applyFont="1"/>
    <xf numFmtId="0" fontId="6" fillId="0" borderId="0" xfId="4" applyNumberFormat="1" applyFont="1" applyBorder="1"/>
    <xf numFmtId="0" fontId="0" fillId="0" borderId="0" xfId="0" applyNumberFormat="1"/>
    <xf numFmtId="167" fontId="7" fillId="0" borderId="0" xfId="0" applyNumberFormat="1" applyFont="1" applyBorder="1"/>
    <xf numFmtId="181" fontId="0" fillId="0" borderId="0" xfId="4" applyNumberFormat="1" applyFont="1"/>
    <xf numFmtId="1" fontId="8" fillId="5" borderId="8" xfId="0" applyNumberFormat="1" applyFont="1" applyFill="1" applyBorder="1" applyAlignment="1">
      <alignment horizontal="center" vertical="center"/>
    </xf>
    <xf numFmtId="168" fontId="0" fillId="0" borderId="0" xfId="3" applyFont="1"/>
    <xf numFmtId="170" fontId="0" fillId="0" borderId="0" xfId="3" applyNumberFormat="1" applyFont="1"/>
    <xf numFmtId="165" fontId="9" fillId="0" borderId="0" xfId="0" applyNumberFormat="1" applyFont="1"/>
    <xf numFmtId="180" fontId="8" fillId="5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0" fontId="7" fillId="0" borderId="8" xfId="11" applyFont="1" applyBorder="1" applyAlignment="1">
      <alignment horizontal="center"/>
    </xf>
    <xf numFmtId="0" fontId="7" fillId="0" borderId="9" xfId="11" applyFont="1" applyBorder="1" applyAlignment="1">
      <alignment horizontal="center"/>
    </xf>
    <xf numFmtId="0" fontId="7" fillId="0" borderId="7" xfId="11" applyFont="1" applyBorder="1" applyAlignment="1">
      <alignment horizontal="center"/>
    </xf>
    <xf numFmtId="0" fontId="7" fillId="0" borderId="0" xfId="11" applyFont="1" applyAlignment="1">
      <alignment horizontal="center"/>
    </xf>
    <xf numFmtId="0" fontId="6" fillId="0" borderId="6" xfId="11" applyBorder="1" applyAlignment="1">
      <alignment horizontal="center"/>
    </xf>
    <xf numFmtId="0" fontId="6" fillId="0" borderId="8" xfId="11" applyBorder="1" applyAlignment="1">
      <alignment horizontal="center"/>
    </xf>
    <xf numFmtId="0" fontId="6" fillId="0" borderId="9" xfId="11" applyBorder="1" applyAlignment="1">
      <alignment horizontal="center"/>
    </xf>
    <xf numFmtId="0" fontId="6" fillId="0" borderId="7" xfId="1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7" fontId="0" fillId="0" borderId="11" xfId="4" applyFont="1" applyBorder="1" applyAlignment="1">
      <alignment horizontal="center"/>
    </xf>
    <xf numFmtId="0" fontId="8" fillId="5" borderId="8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167" fontId="9" fillId="12" borderId="6" xfId="4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167" fontId="8" fillId="12" borderId="11" xfId="4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7" fontId="0" fillId="12" borderId="8" xfId="4" applyFont="1" applyFill="1" applyBorder="1" applyAlignment="1">
      <alignment horizontal="center"/>
    </xf>
    <xf numFmtId="167" fontId="0" fillId="12" borderId="9" xfId="4" applyFont="1" applyFill="1" applyBorder="1" applyAlignment="1">
      <alignment horizontal="center"/>
    </xf>
    <xf numFmtId="167" fontId="0" fillId="12" borderId="7" xfId="4" applyFont="1" applyFill="1" applyBorder="1" applyAlignment="1">
      <alignment horizontal="center"/>
    </xf>
    <xf numFmtId="0" fontId="13" fillId="12" borderId="32" xfId="0" applyFont="1" applyFill="1" applyBorder="1" applyAlignment="1" applyProtection="1">
      <alignment horizontal="center"/>
      <protection hidden="1"/>
    </xf>
    <xf numFmtId="0" fontId="13" fillId="12" borderId="33" xfId="0" applyFont="1" applyFill="1" applyBorder="1" applyAlignment="1" applyProtection="1">
      <alignment horizontal="center"/>
      <protection hidden="1"/>
    </xf>
    <xf numFmtId="0" fontId="13" fillId="12" borderId="34" xfId="0" applyFont="1" applyFill="1" applyBorder="1" applyAlignment="1" applyProtection="1">
      <alignment horizontal="center"/>
      <protection hidden="1"/>
    </xf>
    <xf numFmtId="0" fontId="13" fillId="12" borderId="29" xfId="0" applyFont="1" applyFill="1" applyBorder="1" applyAlignment="1" applyProtection="1">
      <alignment horizontal="center"/>
      <protection hidden="1"/>
    </xf>
    <xf numFmtId="0" fontId="13" fillId="12" borderId="30" xfId="0" applyFont="1" applyFill="1" applyBorder="1" applyAlignment="1" applyProtection="1">
      <alignment horizontal="center"/>
      <protection hidden="1"/>
    </xf>
    <xf numFmtId="0" fontId="13" fillId="12" borderId="31" xfId="0" applyFont="1" applyFill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left"/>
      <protection hidden="1"/>
    </xf>
    <xf numFmtId="0" fontId="17" fillId="0" borderId="5" xfId="0" applyFont="1" applyBorder="1" applyAlignment="1" applyProtection="1">
      <alignment horizontal="left"/>
      <protection hidden="1"/>
    </xf>
    <xf numFmtId="0" fontId="17" fillId="0" borderId="20" xfId="0" applyFont="1" applyBorder="1" applyAlignment="1" applyProtection="1">
      <alignment horizontal="left"/>
      <protection hidden="1"/>
    </xf>
    <xf numFmtId="0" fontId="13" fillId="12" borderId="21" xfId="0" applyFont="1" applyFill="1" applyBorder="1" applyAlignment="1" applyProtection="1">
      <alignment horizontal="center" vertical="center"/>
      <protection hidden="1"/>
    </xf>
    <xf numFmtId="0" fontId="13" fillId="12" borderId="24" xfId="0" applyFont="1" applyFill="1" applyBorder="1" applyAlignment="1" applyProtection="1">
      <alignment horizontal="center" vertical="center"/>
      <protection hidden="1"/>
    </xf>
    <xf numFmtId="0" fontId="13" fillId="12" borderId="22" xfId="0" applyFont="1" applyFill="1" applyBorder="1" applyAlignment="1" applyProtection="1">
      <alignment horizontal="center" vertical="center"/>
      <protection hidden="1"/>
    </xf>
    <xf numFmtId="0" fontId="13" fillId="12" borderId="25" xfId="0" applyFont="1" applyFill="1" applyBorder="1" applyAlignment="1" applyProtection="1">
      <alignment horizontal="center" vertical="center"/>
      <protection hidden="1"/>
    </xf>
    <xf numFmtId="0" fontId="13" fillId="12" borderId="23" xfId="0" applyFont="1" applyFill="1" applyBorder="1" applyAlignment="1" applyProtection="1">
      <alignment horizontal="center" vertical="center"/>
      <protection hidden="1"/>
    </xf>
    <xf numFmtId="0" fontId="13" fillId="12" borderId="26" xfId="0" applyFont="1" applyFill="1" applyBorder="1" applyAlignment="1" applyProtection="1">
      <alignment horizontal="center" vertical="center"/>
      <protection hidden="1"/>
    </xf>
    <xf numFmtId="0" fontId="7" fillId="12" borderId="17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12" borderId="17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/>
    </xf>
    <xf numFmtId="167" fontId="5" fillId="3" borderId="6" xfId="4" applyFont="1" applyFill="1" applyBorder="1" applyAlignment="1" applyProtection="1">
      <alignment horizontal="left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5" fillId="0" borderId="9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0" fontId="5" fillId="3" borderId="6" xfId="0" applyFont="1" applyFill="1" applyBorder="1" applyAlignment="1" applyProtection="1">
      <alignment horizontal="left"/>
      <protection hidden="1"/>
    </xf>
    <xf numFmtId="0" fontId="5" fillId="0" borderId="8" xfId="0" applyFont="1" applyFill="1" applyBorder="1" applyAlignment="1" applyProtection="1">
      <alignment horizontal="left"/>
      <protection hidden="1"/>
    </xf>
    <xf numFmtId="0" fontId="5" fillId="0" borderId="9" xfId="0" applyFont="1" applyFill="1" applyBorder="1" applyAlignment="1" applyProtection="1">
      <alignment horizontal="left"/>
      <protection hidden="1"/>
    </xf>
    <xf numFmtId="0" fontId="5" fillId="0" borderId="7" xfId="0" applyFont="1" applyFill="1" applyBorder="1" applyAlignment="1" applyProtection="1">
      <alignment horizontal="left"/>
      <protection hidden="1"/>
    </xf>
    <xf numFmtId="0" fontId="5" fillId="4" borderId="6" xfId="0" applyFont="1" applyFill="1" applyBorder="1" applyAlignment="1" applyProtection="1">
      <alignment horizontal="left"/>
      <protection hidden="1"/>
    </xf>
    <xf numFmtId="0" fontId="5" fillId="0" borderId="6" xfId="0" applyFont="1" applyFill="1" applyBorder="1" applyAlignment="1" applyProtection="1">
      <alignment horizontal="left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horizontal="center" vertical="center" wrapText="1"/>
      <protection hidden="1"/>
    </xf>
    <xf numFmtId="0" fontId="5" fillId="4" borderId="39" xfId="0" applyFont="1" applyFill="1" applyBorder="1" applyAlignment="1" applyProtection="1">
      <alignment horizontal="center" vertical="center"/>
      <protection hidden="1"/>
    </xf>
    <xf numFmtId="0" fontId="5" fillId="4" borderId="35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4" borderId="6" xfId="0" applyFont="1" applyFill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7" fillId="12" borderId="8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left"/>
    </xf>
    <xf numFmtId="0" fontId="7" fillId="13" borderId="7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3" fillId="0" borderId="36" xfId="8" applyBorder="1" applyAlignment="1">
      <alignment vertical="top"/>
    </xf>
    <xf numFmtId="0" fontId="23" fillId="0" borderId="37" xfId="8" applyBorder="1" applyAlignment="1">
      <alignment vertical="top"/>
    </xf>
    <xf numFmtId="0" fontId="9" fillId="14" borderId="0" xfId="8" applyFont="1" applyFill="1" applyAlignment="1">
      <alignment horizontal="center"/>
    </xf>
    <xf numFmtId="0" fontId="24" fillId="14" borderId="0" xfId="8" applyFont="1" applyFill="1" applyAlignment="1">
      <alignment horizontal="center"/>
    </xf>
    <xf numFmtId="0" fontId="5" fillId="0" borderId="11" xfId="0" applyFont="1" applyBorder="1" applyAlignment="1">
      <alignment horizontal="center"/>
    </xf>
  </cellXfs>
  <cellStyles count="13">
    <cellStyle name="Millares" xfId="1" builtinId="3"/>
    <cellStyle name="Millares [0]" xfId="7" builtinId="6"/>
    <cellStyle name="Millares 2" xfId="2"/>
    <cellStyle name="Millares 2 2" xfId="9"/>
    <cellStyle name="Moneda" xfId="3" builtinId="4"/>
    <cellStyle name="Moneda [0]" xfId="4" builtinId="7"/>
    <cellStyle name="Moneda 2" xfId="5"/>
    <cellStyle name="Normal" xfId="0" builtinId="0"/>
    <cellStyle name="Normal 2" xfId="12"/>
    <cellStyle name="Normal 2 4" xfId="8"/>
    <cellStyle name="Normal 3" xfId="11"/>
    <cellStyle name="Porcentaje" xfId="6" builtinId="5"/>
    <cellStyle name="Porcentaje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GyP!$A$23</c:f>
              <c:strCache>
                <c:ptCount val="1"/>
                <c:pt idx="0">
                  <c:v>Utilidad neta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GyP!$B$23:$F$23</c:f>
              <c:numCache>
                <c:formatCode>_("$"\ * #,##0_);_("$"\ * \(#,##0\);_("$"\ * "-"_);_(@_)</c:formatCode>
                <c:ptCount val="5"/>
                <c:pt idx="0">
                  <c:v>2294469.809597142</c:v>
                </c:pt>
                <c:pt idx="1">
                  <c:v>7324393.8098075287</c:v>
                </c:pt>
                <c:pt idx="2">
                  <c:v>11123270.222105373</c:v>
                </c:pt>
                <c:pt idx="3">
                  <c:v>5703655.7775024753</c:v>
                </c:pt>
                <c:pt idx="4">
                  <c:v>11205395.900535261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2-4C55-AAB0-D2F21DAB6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8586127"/>
        <c:axId val="2063720447"/>
        <c:axId val="0"/>
      </c:bar3DChart>
      <c:catAx>
        <c:axId val="20685861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63720447"/>
        <c:crosses val="autoZero"/>
        <c:auto val="1"/>
        <c:lblAlgn val="ctr"/>
        <c:lblOffset val="100"/>
        <c:noMultiLvlLbl val="0"/>
      </c:catAx>
      <c:valAx>
        <c:axId val="206372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\ * #,##0_);_(&quot;$&quot;\ * \(#,##0\);_(&quot;$&quot;\ 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68586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INDICADORES VIABILIDAD</a:t>
            </a:r>
          </a:p>
        </c:rich>
      </c:tx>
      <c:layout>
        <c:manualLayout>
          <c:xMode val="edge"/>
          <c:yMode val="edge"/>
          <c:x val="0.3041248906386701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'van y Tir'!$A$8:$A$9</c:f>
              <c:strCache>
                <c:ptCount val="2"/>
                <c:pt idx="0">
                  <c:v>VAN =</c:v>
                </c:pt>
                <c:pt idx="1">
                  <c:v>TIR  =</c:v>
                </c:pt>
              </c:strCache>
            </c:strRef>
          </c:cat>
          <c:val>
            <c:numRef>
              <c:f>'van y Tir'!$B$8:$B$9</c:f>
              <c:numCache>
                <c:formatCode>0%</c:formatCode>
                <c:ptCount val="2"/>
                <c:pt idx="0" formatCode="_(&quot;$&quot;* #,##0_);_(&quot;$&quot;* \(#,##0\);_(&quot;$&quot;* &quot;-&quot;_);_(@_)">
                  <c:v>21926848.564382032</c:v>
                </c:pt>
                <c:pt idx="1">
                  <c:v>0.48217572309306189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B-47F1-9C43-F1D9F94060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33747968"/>
        <c:axId val="1333749600"/>
      </c:barChart>
      <c:catAx>
        <c:axId val="13337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9600"/>
        <c:crosses val="autoZero"/>
        <c:auto val="1"/>
        <c:lblAlgn val="ctr"/>
        <c:lblOffset val="100"/>
        <c:noMultiLvlLbl val="0"/>
      </c:catAx>
      <c:valAx>
        <c:axId val="133374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FLUJO</a:t>
            </a:r>
            <a:r>
              <a:rPr lang="es-CO" baseline="0"/>
              <a:t> DE FONDOS</a:t>
            </a:r>
            <a:r>
              <a:rPr lang="es-CO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'van y Tir'!$A$4:$B$4</c:f>
              <c:strCache>
                <c:ptCount val="2"/>
                <c:pt idx="0">
                  <c:v>Ingresos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'van y Tir'!$C$3:$G$3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'van y Tir'!$C$4:$G$4</c:f>
              <c:numCache>
                <c:formatCode>"$"#,##0</c:formatCode>
                <c:ptCount val="5"/>
                <c:pt idx="0">
                  <c:v>70872604.066666678</c:v>
                </c:pt>
                <c:pt idx="1">
                  <c:v>96229927.252141923</c:v>
                </c:pt>
                <c:pt idx="2">
                  <c:v>123236241.53333052</c:v>
                </c:pt>
                <c:pt idx="3">
                  <c:v>160326828.31534868</c:v>
                </c:pt>
                <c:pt idx="4">
                  <c:v>194434699.47653881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C-45F5-A6CA-F7FAC214BB28}"/>
            </c:ext>
          </c:extLst>
        </c:ser>
        <c:ser>
          <c:idx val="1"/>
          <c:order val="1"/>
          <c:tx>
            <c:strRef>
              <c:f>'van y Tir'!$A$5:$B$5</c:f>
              <c:strCache>
                <c:ptCount val="2"/>
                <c:pt idx="0">
                  <c:v>Pagos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'van y Tir'!$C$3:$G$3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'van y Tir'!$C$5:$G$5</c:f>
              <c:numCache>
                <c:formatCode>"$"#,##0</c:formatCode>
                <c:ptCount val="5"/>
                <c:pt idx="0">
                  <c:v>-66454852.856191419</c:v>
                </c:pt>
                <c:pt idx="1">
                  <c:v>-88768049.406311408</c:v>
                </c:pt>
                <c:pt idx="2">
                  <c:v>-108785111.46423182</c:v>
                </c:pt>
                <c:pt idx="3">
                  <c:v>-149695508.62908489</c:v>
                </c:pt>
                <c:pt idx="4">
                  <c:v>-182827577.76143834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C-45F5-A6CA-F7FAC214B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3748512"/>
        <c:axId val="1333741984"/>
      </c:barChart>
      <c:catAx>
        <c:axId val="133374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1984"/>
        <c:crosses val="autoZero"/>
        <c:auto val="1"/>
        <c:lblAlgn val="ctr"/>
        <c:lblOffset val="100"/>
        <c:noMultiLvlLbl val="0"/>
      </c:catAx>
      <c:valAx>
        <c:axId val="133374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2242914133407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'FLUJO-CAJA CON'!$A$29</c:f>
              <c:strCache>
                <c:ptCount val="1"/>
                <c:pt idx="0">
                  <c:v>    Saldo Final de Caja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'FLUJO-CAJA CON'!$B$29:$G$29</c:f>
              <c:numCache>
                <c:formatCode>_("$"\ * #,##0_);_("$"\ * \(#,##0\);_("$"\ * "-"_);_(@_)</c:formatCode>
                <c:ptCount val="6"/>
                <c:pt idx="0">
                  <c:v>2244999.9000000004</c:v>
                </c:pt>
                <c:pt idx="1">
                  <c:v>4417751.2104752585</c:v>
                </c:pt>
                <c:pt idx="2">
                  <c:v>7461877.845830515</c:v>
                </c:pt>
                <c:pt idx="3">
                  <c:v>14451130.069098696</c:v>
                </c:pt>
                <c:pt idx="4">
                  <c:v>10631319.6862638</c:v>
                </c:pt>
                <c:pt idx="5">
                  <c:v>11607121.715100467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2-42D7-8FE3-DC33AE333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07327"/>
        <c:axId val="2063728351"/>
        <c:axId val="0"/>
      </c:bar3DChart>
      <c:catAx>
        <c:axId val="118073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63728351"/>
        <c:crosses val="autoZero"/>
        <c:auto val="1"/>
        <c:lblAlgn val="ctr"/>
        <c:lblOffset val="100"/>
        <c:noMultiLvlLbl val="0"/>
      </c:catAx>
      <c:valAx>
        <c:axId val="206372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\ * #,##0_);_(&quot;$&quot;\ * \(#,##0\);_(&quot;$&quot;\ 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07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INDICADORES</a:t>
            </a:r>
            <a:r>
              <a:rPr lang="es-CO" baseline="0"/>
              <a:t> DE UTILIDAD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Indicadores!$B$7</c:f>
              <c:strCache>
                <c:ptCount val="1"/>
                <c:pt idx="0">
                  <c:v>Utilidad Neta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Indicadores!$C$6:$G$6</c:f>
              <c:numCache>
                <c:formatCode>_("$"\ * #,##0.00_);_("$"\ * \(#,##0.00\);_("$"\ * "-"??_);_(@_)</c:formatCode>
                <c:ptCount val="5"/>
                <c:pt idx="0">
                  <c:v>72239583.333333343</c:v>
                </c:pt>
                <c:pt idx="1">
                  <c:v>92842312.5</c:v>
                </c:pt>
                <c:pt idx="2">
                  <c:v>116981313.75</c:v>
                </c:pt>
                <c:pt idx="3">
                  <c:v>147396455.32500002</c:v>
                </c:pt>
                <c:pt idx="4">
                  <c:v>185719533.70950001</c:v>
                </c:pt>
              </c:numCache>
            </c:numRef>
          </c:cat>
          <c:val>
            <c:numRef>
              <c:f>Indicadores!$C$7:$G$7</c:f>
              <c:numCache>
                <c:formatCode>_("$"\ * #,##0.00_);_("$"\ * \(#,##0.00\);_("$"\ * "-"??_);_(@_)</c:formatCode>
                <c:ptCount val="5"/>
                <c:pt idx="0">
                  <c:v>2294469.809597142</c:v>
                </c:pt>
                <c:pt idx="1">
                  <c:v>7324393.8098075287</c:v>
                </c:pt>
                <c:pt idx="2">
                  <c:v>11123270.222105373</c:v>
                </c:pt>
                <c:pt idx="3">
                  <c:v>5703655.7775024753</c:v>
                </c:pt>
                <c:pt idx="4">
                  <c:v>11205395.900535261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59-49D1-AD60-4E55523AF93D}"/>
            </c:ext>
          </c:extLst>
        </c:ser>
        <c:ser>
          <c:idx val="1"/>
          <c:order val="1"/>
          <c:tx>
            <c:strRef>
              <c:f>Indicadores!$B$8</c:f>
              <c:strCache>
                <c:ptCount val="1"/>
                <c:pt idx="0">
                  <c:v>Total Activos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Indicadores!$C$6:$G$6</c:f>
              <c:numCache>
                <c:formatCode>_("$"\ * #,##0.00_);_("$"\ * \(#,##0.00\);_("$"\ * "-"??_);_(@_)</c:formatCode>
                <c:ptCount val="5"/>
                <c:pt idx="0">
                  <c:v>72239583.333333343</c:v>
                </c:pt>
                <c:pt idx="1">
                  <c:v>92842312.5</c:v>
                </c:pt>
                <c:pt idx="2">
                  <c:v>116981313.75</c:v>
                </c:pt>
                <c:pt idx="3">
                  <c:v>147396455.32500002</c:v>
                </c:pt>
                <c:pt idx="4">
                  <c:v>185719533.70950001</c:v>
                </c:pt>
              </c:numCache>
            </c:numRef>
          </c:cat>
          <c:val>
            <c:numRef>
              <c:f>Indicadores!$C$8:$G$8</c:f>
              <c:numCache>
                <c:formatCode>_("$"\ * #,##0.00_);_("$"\ * \(#,##0.00\);_("$"\ * "-"??_);_(@_)</c:formatCode>
                <c:ptCount val="5"/>
                <c:pt idx="0">
                  <c:v>20425629.477141924</c:v>
                </c:pt>
                <c:pt idx="1">
                  <c:v>25499892.570830517</c:v>
                </c:pt>
                <c:pt idx="2">
                  <c:v>33696094.856598698</c:v>
                </c:pt>
                <c:pt idx="3">
                  <c:v>38397041.552513801</c:v>
                </c:pt>
                <c:pt idx="4">
                  <c:v>47288997.500575468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9-49D1-AD60-4E55523AF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740352"/>
        <c:axId val="1333750144"/>
        <c:axId val="1239024592"/>
      </c:line3DChart>
      <c:catAx>
        <c:axId val="1333740352"/>
        <c:scaling>
          <c:orientation val="minMax"/>
        </c:scaling>
        <c:delete val="0"/>
        <c:axPos val="b"/>
        <c:numFmt formatCode="_(&quot;$&quot;\ * #,##0.00_);_(&quot;$&quot;\ * \(#,##0.00\);_(&quot;$&quot;\ 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50144"/>
        <c:crosses val="autoZero"/>
        <c:auto val="1"/>
        <c:lblAlgn val="ctr"/>
        <c:lblOffset val="100"/>
        <c:noMultiLvlLbl val="0"/>
      </c:catAx>
      <c:valAx>
        <c:axId val="133375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&quot;$&quot;\ * #,##0.00_);_(&quot;$&quot;\ * \(#,##0.00\);_(&quot;$&quot;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0352"/>
        <c:crosses val="autoZero"/>
        <c:crossBetween val="between"/>
      </c:valAx>
      <c:serAx>
        <c:axId val="1239024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5014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ACTIVOS</a:t>
            </a:r>
            <a:r>
              <a:rPr lang="es-CO" baseline="0"/>
              <a:t> VS PASVIOS</a:t>
            </a:r>
            <a:r>
              <a:rPr lang="es-CO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3027582743492803"/>
          <c:y val="6.568843988841018E-2"/>
          <c:w val="0.55455949256342962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'Roa - Roe'!#REF!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'Roa - Roe'!#REF!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A-4A6C-B5C4-2BEA54AA1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3753952"/>
        <c:axId val="1333753408"/>
      </c:barChart>
      <c:lineChart>
        <c:grouping val="standard"/>
        <c:varyColors val="0"/>
        <c:ser>
          <c:idx val="1"/>
          <c:order val="1"/>
          <c:tx>
            <c:strRef>
              <c:f>Indicadores!$B$2</c:f>
              <c:strCache>
                <c:ptCount val="1"/>
                <c:pt idx="0">
                  <c:v>Señor Pollo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Indicadores!$C$2:$G$2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A-4A6C-B5C4-2BEA54AA1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739808"/>
        <c:axId val="1333750688"/>
      </c:lineChart>
      <c:catAx>
        <c:axId val="1333739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50688"/>
        <c:crosses val="autoZero"/>
        <c:auto val="1"/>
        <c:lblAlgn val="ctr"/>
        <c:lblOffset val="100"/>
        <c:noMultiLvlLbl val="0"/>
      </c:catAx>
      <c:valAx>
        <c:axId val="133375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39808"/>
        <c:crosses val="autoZero"/>
        <c:crossBetween val="between"/>
      </c:valAx>
      <c:valAx>
        <c:axId val="133375340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53952"/>
        <c:crosses val="max"/>
        <c:crossBetween val="between"/>
      </c:valAx>
      <c:catAx>
        <c:axId val="1333753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3753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VENTAS</a:t>
            </a:r>
            <a:r>
              <a:rPr lang="es-CO" baseline="0"/>
              <a:t> VS UTILIDAD</a:t>
            </a:r>
            <a:r>
              <a:rPr lang="es-CO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'Roa - Roe'!#REF!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'Roa - Roe'!#REF!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'Roa - Roe'!#REF!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534-4649-A8A4-6B5E35D1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3743616"/>
        <c:axId val="1333755040"/>
      </c:barChart>
      <c:lineChart>
        <c:grouping val="standard"/>
        <c:varyColors val="0"/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'Roa - Roe'!#REF!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'Roa - Roe'!#REF!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'Roa - Roe'!#REF!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534-4649-A8A4-6B5E35D1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741440"/>
        <c:axId val="1333740896"/>
      </c:lineChart>
      <c:valAx>
        <c:axId val="13337550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3616"/>
        <c:crosses val="max"/>
        <c:crossBetween val="between"/>
      </c:valAx>
      <c:catAx>
        <c:axId val="13337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55040"/>
        <c:crosses val="autoZero"/>
        <c:auto val="1"/>
        <c:lblAlgn val="ctr"/>
        <c:lblOffset val="100"/>
        <c:noMultiLvlLbl val="0"/>
      </c:catAx>
      <c:valAx>
        <c:axId val="133374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1440"/>
        <c:crosses val="autoZero"/>
        <c:crossBetween val="between"/>
      </c:valAx>
      <c:catAx>
        <c:axId val="133374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3740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</a:t>
            </a:r>
            <a:r>
              <a:rPr lang="en-US" baseline="0"/>
              <a:t> Y ROE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Indicadores!$B$12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Indicadores!$C$11:$G$11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Indicadores!$C$12:$G$12</c:f>
              <c:numCache>
                <c:formatCode>0%</c:formatCode>
                <c:ptCount val="5"/>
                <c:pt idx="0">
                  <c:v>0.19224121568427577</c:v>
                </c:pt>
                <c:pt idx="1">
                  <c:v>0.38029512380531771</c:v>
                </c:pt>
                <c:pt idx="2">
                  <c:v>0.36610137902061207</c:v>
                </c:pt>
                <c:pt idx="3">
                  <c:v>0.15805428527175711</c:v>
                </c:pt>
                <c:pt idx="4">
                  <c:v>0.23694019864790705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7-4E24-B97F-982419BB5DDF}"/>
            </c:ext>
          </c:extLst>
        </c:ser>
        <c:ser>
          <c:idx val="1"/>
          <c:order val="1"/>
          <c:tx>
            <c:strRef>
              <c:f>Indicadores!$B$13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6.6666666666666666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C7-4E24-B97F-982419BB5D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Indicadores!$C$11:$G$11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Indicadores!$C$13:$G$13</c:f>
              <c:numCache>
                <c:formatCode>0%</c:formatCode>
                <c:ptCount val="5"/>
                <c:pt idx="0">
                  <c:v>0.11233288120519642</c:v>
                </c:pt>
                <c:pt idx="1">
                  <c:v>0.2872323398799706</c:v>
                </c:pt>
                <c:pt idx="2">
                  <c:v>0.33010561815673145</c:v>
                </c:pt>
                <c:pt idx="3">
                  <c:v>0.14854414681146352</c:v>
                </c:pt>
                <c:pt idx="4">
                  <c:v>0.23695566607008112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7-4E24-B97F-982419BB5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611039"/>
        <c:axId val="920268015"/>
      </c:barChart>
      <c:catAx>
        <c:axId val="920611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0268015"/>
        <c:crosses val="autoZero"/>
        <c:auto val="1"/>
        <c:lblAlgn val="ctr"/>
        <c:lblOffset val="100"/>
        <c:noMultiLvlLbl val="0"/>
      </c:catAx>
      <c:valAx>
        <c:axId val="920268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0611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Punto</a:t>
            </a:r>
            <a:r>
              <a:rPr lang="es-CO" baseline="0"/>
              <a:t> de equilibrio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572824060113453E-2"/>
          <c:y val="0.17185714285714287"/>
          <c:w val="0.87155221196236266"/>
          <c:h val="0.6714577865266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'[1]punto de equilibrio'!$B$48</c:f>
              <c:strCache>
                <c:ptCount val="1"/>
                <c:pt idx="0">
                  <c:v>ventas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'[1]punto de equilibrio'!$C$47:$L$47</c:f>
              <c:numCache>
                <c:formatCode>General</c:formatCode>
                <c:ptCount val="10"/>
                <c:pt idx="2">
                  <c:v>1295</c:v>
                </c:pt>
                <c:pt idx="3">
                  <c:v>2590</c:v>
                </c:pt>
                <c:pt idx="4">
                  <c:v>3885</c:v>
                </c:pt>
                <c:pt idx="5">
                  <c:v>5180</c:v>
                </c:pt>
                <c:pt idx="6">
                  <c:v>6475</c:v>
                </c:pt>
                <c:pt idx="7">
                  <c:v>7770</c:v>
                </c:pt>
                <c:pt idx="8">
                  <c:v>9065</c:v>
                </c:pt>
                <c:pt idx="9">
                  <c:v>10360</c:v>
                </c:pt>
              </c:numCache>
            </c:numRef>
          </c:xVal>
          <c:yVal>
            <c:numRef>
              <c:f>'[1]punto de equilibrio'!$C$48:$L$48</c:f>
              <c:numCache>
                <c:formatCode>General</c:formatCode>
                <c:ptCount val="10"/>
                <c:pt idx="2">
                  <c:v>25200000</c:v>
                </c:pt>
                <c:pt idx="3">
                  <c:v>54437165.088153869</c:v>
                </c:pt>
                <c:pt idx="4">
                  <c:v>108780000</c:v>
                </c:pt>
                <c:pt idx="5">
                  <c:v>145040000</c:v>
                </c:pt>
                <c:pt idx="6">
                  <c:v>181300000</c:v>
                </c:pt>
                <c:pt idx="7">
                  <c:v>217560000</c:v>
                </c:pt>
                <c:pt idx="8">
                  <c:v>253820000</c:v>
                </c:pt>
                <c:pt idx="9">
                  <c:v>290080000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72-4434-910D-F3AE7068F765}"/>
            </c:ext>
          </c:extLst>
        </c:ser>
        <c:ser>
          <c:idx val="1"/>
          <c:order val="1"/>
          <c:tx>
            <c:strRef>
              <c:f>'[1]punto de equilibrio'!$B$49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'[1]punto de equilibrio'!$C$47:$L$47</c:f>
              <c:numCache>
                <c:formatCode>General</c:formatCode>
                <c:ptCount val="10"/>
                <c:pt idx="2">
                  <c:v>1295</c:v>
                </c:pt>
                <c:pt idx="3">
                  <c:v>2590</c:v>
                </c:pt>
                <c:pt idx="4">
                  <c:v>3885</c:v>
                </c:pt>
                <c:pt idx="5">
                  <c:v>5180</c:v>
                </c:pt>
                <c:pt idx="6">
                  <c:v>6475</c:v>
                </c:pt>
                <c:pt idx="7">
                  <c:v>7770</c:v>
                </c:pt>
                <c:pt idx="8">
                  <c:v>9065</c:v>
                </c:pt>
                <c:pt idx="9">
                  <c:v>10360</c:v>
                </c:pt>
              </c:numCache>
            </c:numRef>
          </c:xVal>
          <c:yVal>
            <c:numRef>
              <c:f>'[1]punto de equilibrio'!$C$49:$L$49</c:f>
              <c:numCache>
                <c:formatCode>General</c:formatCode>
                <c:ptCount val="10"/>
                <c:pt idx="2">
                  <c:v>43848202.973977692</c:v>
                </c:pt>
                <c:pt idx="3">
                  <c:v>54437165.088153869</c:v>
                </c:pt>
                <c:pt idx="4">
                  <c:v>74118766.171003714</c:v>
                </c:pt>
                <c:pt idx="5">
                  <c:v>87251221.561338276</c:v>
                </c:pt>
                <c:pt idx="6">
                  <c:v>100383676.95167285</c:v>
                </c:pt>
                <c:pt idx="7">
                  <c:v>113516132.34200743</c:v>
                </c:pt>
                <c:pt idx="8">
                  <c:v>126648587.732342</c:v>
                </c:pt>
                <c:pt idx="9">
                  <c:v>139781043.12267655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72-4434-910D-F3AE7068F765}"/>
            </c:ext>
          </c:extLst>
        </c:ser>
        <c:ser>
          <c:idx val="2"/>
          <c:order val="2"/>
          <c:tx>
            <c:strRef>
              <c:f>'[1]punto de equilibrio'!$B$50</c:f>
              <c:strCache>
                <c:ptCount val="1"/>
                <c:pt idx="0">
                  <c:v>Utilidad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'[1]punto de equilibrio'!$C$47:$L$47</c:f>
              <c:numCache>
                <c:formatCode>General</c:formatCode>
                <c:ptCount val="10"/>
                <c:pt idx="2">
                  <c:v>1295</c:v>
                </c:pt>
                <c:pt idx="3">
                  <c:v>2590</c:v>
                </c:pt>
                <c:pt idx="4">
                  <c:v>3885</c:v>
                </c:pt>
                <c:pt idx="5">
                  <c:v>5180</c:v>
                </c:pt>
                <c:pt idx="6">
                  <c:v>6475</c:v>
                </c:pt>
                <c:pt idx="7">
                  <c:v>7770</c:v>
                </c:pt>
                <c:pt idx="8">
                  <c:v>9065</c:v>
                </c:pt>
                <c:pt idx="9">
                  <c:v>10360</c:v>
                </c:pt>
              </c:numCache>
            </c:numRef>
          </c:xVal>
          <c:yVal>
            <c:numRef>
              <c:f>'[1]punto de equilibrio'!$C$50:$L$50</c:f>
              <c:numCache>
                <c:formatCode>General</c:formatCode>
                <c:ptCount val="10"/>
                <c:pt idx="2">
                  <c:v>-18648202.973977692</c:v>
                </c:pt>
                <c:pt idx="3">
                  <c:v>0</c:v>
                </c:pt>
                <c:pt idx="4">
                  <c:v>34661233.828996286</c:v>
                </c:pt>
                <c:pt idx="5">
                  <c:v>57788778.438661717</c:v>
                </c:pt>
                <c:pt idx="6">
                  <c:v>80916323.048327148</c:v>
                </c:pt>
                <c:pt idx="7">
                  <c:v>104043867.65799257</c:v>
                </c:pt>
                <c:pt idx="8">
                  <c:v>127171412.267658</c:v>
                </c:pt>
                <c:pt idx="9">
                  <c:v>150298956.87732345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72-4434-910D-F3AE7068F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761488"/>
        <c:axId val="1689762032"/>
      </c:scatterChart>
      <c:valAx>
        <c:axId val="168976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89762032"/>
        <c:crosses val="autoZero"/>
        <c:crossBetween val="midCat"/>
      </c:valAx>
      <c:valAx>
        <c:axId val="168976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976148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'[1]punto de equilibrio'!$B$48</c:f>
              <c:strCache>
                <c:ptCount val="1"/>
                <c:pt idx="0">
                  <c:v>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'[1]punto de equilibrio'!$C$47:$L$47</c:f>
              <c:numCache>
                <c:formatCode>General</c:formatCode>
                <c:ptCount val="10"/>
                <c:pt idx="2">
                  <c:v>1295</c:v>
                </c:pt>
                <c:pt idx="3">
                  <c:v>2590</c:v>
                </c:pt>
                <c:pt idx="4">
                  <c:v>3885</c:v>
                </c:pt>
                <c:pt idx="5">
                  <c:v>5180</c:v>
                </c:pt>
                <c:pt idx="6">
                  <c:v>6475</c:v>
                </c:pt>
                <c:pt idx="7">
                  <c:v>7770</c:v>
                </c:pt>
                <c:pt idx="8">
                  <c:v>9065</c:v>
                </c:pt>
                <c:pt idx="9">
                  <c:v>10360</c:v>
                </c:pt>
              </c:numCache>
            </c:numRef>
          </c:cat>
          <c:val>
            <c:numRef>
              <c:f>'[1]punto de equilibrio'!$C$48:$L$48</c:f>
              <c:numCache>
                <c:formatCode>General</c:formatCode>
                <c:ptCount val="10"/>
                <c:pt idx="2">
                  <c:v>25200000</c:v>
                </c:pt>
                <c:pt idx="3">
                  <c:v>54437165.088153869</c:v>
                </c:pt>
                <c:pt idx="4">
                  <c:v>108780000</c:v>
                </c:pt>
                <c:pt idx="5">
                  <c:v>145040000</c:v>
                </c:pt>
                <c:pt idx="6">
                  <c:v>181300000</c:v>
                </c:pt>
                <c:pt idx="7">
                  <c:v>217560000</c:v>
                </c:pt>
                <c:pt idx="8">
                  <c:v>253820000</c:v>
                </c:pt>
                <c:pt idx="9">
                  <c:v>290080000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9D-4A7E-BB8D-D2A6745B259A}"/>
            </c:ext>
          </c:extLst>
        </c:ser>
        <c:ser>
          <c:idx val="1"/>
          <c:order val="1"/>
          <c:tx>
            <c:strRef>
              <c:f>'[1]punto de equilibrio'!$B$49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'[1]punto de equilibrio'!$C$47:$L$47</c:f>
              <c:numCache>
                <c:formatCode>General</c:formatCode>
                <c:ptCount val="10"/>
                <c:pt idx="2">
                  <c:v>1295</c:v>
                </c:pt>
                <c:pt idx="3">
                  <c:v>2590</c:v>
                </c:pt>
                <c:pt idx="4">
                  <c:v>3885</c:v>
                </c:pt>
                <c:pt idx="5">
                  <c:v>5180</c:v>
                </c:pt>
                <c:pt idx="6">
                  <c:v>6475</c:v>
                </c:pt>
                <c:pt idx="7">
                  <c:v>7770</c:v>
                </c:pt>
                <c:pt idx="8">
                  <c:v>9065</c:v>
                </c:pt>
                <c:pt idx="9">
                  <c:v>10360</c:v>
                </c:pt>
              </c:numCache>
            </c:numRef>
          </c:cat>
          <c:val>
            <c:numRef>
              <c:f>'[1]punto de equilibrio'!$C$49:$L$49</c:f>
              <c:numCache>
                <c:formatCode>General</c:formatCode>
                <c:ptCount val="10"/>
                <c:pt idx="2">
                  <c:v>43848202.973977692</c:v>
                </c:pt>
                <c:pt idx="3">
                  <c:v>54437165.088153869</c:v>
                </c:pt>
                <c:pt idx="4">
                  <c:v>74118766.171003714</c:v>
                </c:pt>
                <c:pt idx="5">
                  <c:v>87251221.561338276</c:v>
                </c:pt>
                <c:pt idx="6">
                  <c:v>100383676.95167285</c:v>
                </c:pt>
                <c:pt idx="7">
                  <c:v>113516132.34200743</c:v>
                </c:pt>
                <c:pt idx="8">
                  <c:v>126648587.732342</c:v>
                </c:pt>
                <c:pt idx="9">
                  <c:v>139781043.12267655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D-4A7E-BB8D-D2A6745B259A}"/>
            </c:ext>
          </c:extLst>
        </c:ser>
        <c:ser>
          <c:idx val="2"/>
          <c:order val="2"/>
          <c:tx>
            <c:strRef>
              <c:f>'[1]punto de equilibrio'!$B$50</c:f>
              <c:strCache>
                <c:ptCount val="1"/>
                <c:pt idx="0">
                  <c:v>Utilidad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'[1]punto de equilibrio'!$C$47:$L$47</c:f>
              <c:numCache>
                <c:formatCode>General</c:formatCode>
                <c:ptCount val="10"/>
                <c:pt idx="2">
                  <c:v>1295</c:v>
                </c:pt>
                <c:pt idx="3">
                  <c:v>2590</c:v>
                </c:pt>
                <c:pt idx="4">
                  <c:v>3885</c:v>
                </c:pt>
                <c:pt idx="5">
                  <c:v>5180</c:v>
                </c:pt>
                <c:pt idx="6">
                  <c:v>6475</c:v>
                </c:pt>
                <c:pt idx="7">
                  <c:v>7770</c:v>
                </c:pt>
                <c:pt idx="8">
                  <c:v>9065</c:v>
                </c:pt>
                <c:pt idx="9">
                  <c:v>10360</c:v>
                </c:pt>
              </c:numCache>
            </c:numRef>
          </c:cat>
          <c:val>
            <c:numRef>
              <c:f>'[1]punto de equilibrio'!$C$50:$L$50</c:f>
              <c:numCache>
                <c:formatCode>General</c:formatCode>
                <c:ptCount val="10"/>
                <c:pt idx="2">
                  <c:v>-18648202.973977692</c:v>
                </c:pt>
                <c:pt idx="3">
                  <c:v>0</c:v>
                </c:pt>
                <c:pt idx="4">
                  <c:v>34661233.828996286</c:v>
                </c:pt>
                <c:pt idx="5">
                  <c:v>57788778.438661717</c:v>
                </c:pt>
                <c:pt idx="6">
                  <c:v>80916323.048327148</c:v>
                </c:pt>
                <c:pt idx="7">
                  <c:v>104043867.65799257</c:v>
                </c:pt>
                <c:pt idx="8">
                  <c:v>127171412.267658</c:v>
                </c:pt>
                <c:pt idx="9">
                  <c:v>150298956.87732345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9D-4A7E-BB8D-D2A6745B2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6233584"/>
        <c:axId val="1569191408"/>
      </c:lineChart>
      <c:catAx>
        <c:axId val="152623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69191408"/>
        <c:crosses val="autoZero"/>
        <c:auto val="1"/>
        <c:lblAlgn val="ctr"/>
        <c:lblOffset val="100"/>
        <c:noMultiLvlLbl val="0"/>
      </c:catAx>
      <c:valAx>
        <c:axId val="156919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623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FLUJO DE CAJA PROYECTADO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solidFill>
          <a:schemeClr val="accent1">
            <a:alpha val="3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82290137461634"/>
          <c:y val="0.11046370169573538"/>
          <c:w val="0.83857822856888653"/>
          <c:h val="0.731551523632524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accent1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'van y Tir'!$C$6:$G$6</c:f>
              <c:numCache>
                <c:formatCode>"$"#,##0</c:formatCode>
                <c:ptCount val="5"/>
                <c:pt idx="0">
                  <c:v>4417751.2104752585</c:v>
                </c:pt>
                <c:pt idx="1">
                  <c:v>7461877.845830515</c:v>
                </c:pt>
                <c:pt idx="2">
                  <c:v>14451130.069098696</c:v>
                </c:pt>
                <c:pt idx="3">
                  <c:v>10631319.6862638</c:v>
                </c:pt>
                <c:pt idx="4">
                  <c:v>11607121.715100467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E-492A-80F0-133008D936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4"/>
        <c:gapDepth val="0"/>
        <c:shape val="box"/>
        <c:axId val="1333747424"/>
        <c:axId val="1333749056"/>
        <c:axId val="0"/>
      </c:bar3DChart>
      <c:catAx>
        <c:axId val="133374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9056"/>
        <c:crosses val="autoZero"/>
        <c:auto val="1"/>
        <c:lblAlgn val="ctr"/>
        <c:lblOffset val="100"/>
        <c:noMultiLvlLbl val="0"/>
      </c:catAx>
      <c:valAx>
        <c:axId val="1333749056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4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5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  <a:sp3d/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>
      <cs:styleClr val="0"/>
    </cs:fillRef>
    <cs:effectRef idx="0"/>
    <cs:fontRef idx="minor">
      <a:schemeClr val="dk1"/>
    </cs:fontRef>
    <cs:spPr>
      <a:solidFill>
        <a:schemeClr val="phClr">
          <a:alpha val="30000"/>
        </a:schemeClr>
      </a:solidFill>
      <a:sp3d/>
    </cs:spPr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lumMod val="60000"/>
            <a:lumOff val="40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lumMod val="50000"/>
            <a:lumOff val="5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632112</xdr:colOff>
      <xdr:row>3</xdr:row>
      <xdr:rowOff>0</xdr:rowOff>
    </xdr:from>
    <xdr:to>
      <xdr:col>24</xdr:col>
      <xdr:colOff>761999</xdr:colOff>
      <xdr:row>11</xdr:row>
      <xdr:rowOff>51955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4317" y="571500"/>
          <a:ext cx="6225887" cy="1575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865909</xdr:colOff>
      <xdr:row>24</xdr:row>
      <xdr:rowOff>44161</xdr:rowOff>
    </xdr:from>
    <xdr:to>
      <xdr:col>16384</xdr:col>
      <xdr:colOff>0</xdr:colOff>
      <xdr:row>37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1227674</xdr:colOff>
      <xdr:row>30</xdr:row>
      <xdr:rowOff>78317</xdr:rowOff>
    </xdr:from>
    <xdr:to>
      <xdr:col>5</xdr:col>
      <xdr:colOff>1079500</xdr:colOff>
      <xdr:row>44</xdr:row>
      <xdr:rowOff>16934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30</xdr:row>
      <xdr:rowOff>57149</xdr:rowOff>
    </xdr:from>
    <xdr:to>
      <xdr:col>5</xdr:col>
      <xdr:colOff>666750</xdr:colOff>
      <xdr:row>46</xdr:row>
      <xdr:rowOff>133349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1038225</xdr:colOff>
      <xdr:row>30</xdr:row>
      <xdr:rowOff>47625</xdr:rowOff>
    </xdr:from>
    <xdr:to>
      <xdr:col>11</xdr:col>
      <xdr:colOff>695325</xdr:colOff>
      <xdr:row>46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1895475</xdr:colOff>
      <xdr:row>48</xdr:row>
      <xdr:rowOff>76199</xdr:rowOff>
    </xdr:from>
    <xdr:to>
      <xdr:col>6</xdr:col>
      <xdr:colOff>981075</xdr:colOff>
      <xdr:row>64</xdr:row>
      <xdr:rowOff>85724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219075</xdr:colOff>
      <xdr:row>7</xdr:row>
      <xdr:rowOff>104775</xdr:rowOff>
    </xdr:from>
    <xdr:to>
      <xdr:col>14</xdr:col>
      <xdr:colOff>28575</xdr:colOff>
      <xdr:row>21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</xdr:row>
          <xdr:rowOff>9525</xdr:rowOff>
        </xdr:from>
        <xdr:to>
          <xdr:col>3</xdr:col>
          <xdr:colOff>447675</xdr:colOff>
          <xdr:row>11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B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19050</xdr:colOff>
      <xdr:row>51</xdr:row>
      <xdr:rowOff>47625</xdr:rowOff>
    </xdr:from>
    <xdr:to>
      <xdr:col>9</xdr:col>
      <xdr:colOff>419100</xdr:colOff>
      <xdr:row>67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1095373</xdr:colOff>
      <xdr:row>50</xdr:row>
      <xdr:rowOff>152400</xdr:rowOff>
    </xdr:from>
    <xdr:to>
      <xdr:col>9</xdr:col>
      <xdr:colOff>523873</xdr:colOff>
      <xdr:row>67</xdr:row>
      <xdr:rowOff>61913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10</xdr:row>
      <xdr:rowOff>466726</xdr:rowOff>
    </xdr:from>
    <xdr:to>
      <xdr:col>13</xdr:col>
      <xdr:colOff>114300</xdr:colOff>
      <xdr:row>26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1933575</xdr:colOff>
      <xdr:row>10</xdr:row>
      <xdr:rowOff>500062</xdr:rowOff>
    </xdr:from>
    <xdr:to>
      <xdr:col>5</xdr:col>
      <xdr:colOff>952499</xdr:colOff>
      <xdr:row>26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1914525</xdr:colOff>
      <xdr:row>27</xdr:row>
      <xdr:rowOff>19049</xdr:rowOff>
    </xdr:from>
    <xdr:to>
      <xdr:col>6</xdr:col>
      <xdr:colOff>76200</xdr:colOff>
      <xdr:row>42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9527e879cad912a/Documentos/Contrato%20Uniminuto%202020-2/Asesorias/Se&#241;or%20Pollo/Noviembre%2010%20de%202020/trabajo%20final%20de%20formulacion%20excel%5eJ%20Nov.%2010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ÓN SALARIO MÍNIMO"/>
      <sheetName val="PAGO EMPLEADOR NOMINA"/>
      <sheetName val="DEMANDA POTENCIAL"/>
      <sheetName val="DEMANDA PROYECTADA"/>
      <sheetName val="COSTOS FIJOS Y VARIABLES"/>
      <sheetName val="C.MATERIA PRIMA ANUAL"/>
      <sheetName val="COSTOS DE PRODUCCION "/>
      <sheetName val="INGRESOS PROYECTADOS "/>
      <sheetName val="MAQUINARIA Y EQUIPO"/>
      <sheetName val="INVERSION PREOPERATIVA"/>
      <sheetName val="RESUMEN "/>
      <sheetName val="DEPRECIACION"/>
      <sheetName val="ESTADO DE RESULTADOS"/>
      <sheetName val="ESTADO DE FUENTES Y USOS "/>
      <sheetName val="BALANCE GENERAL"/>
      <sheetName val="INDICADORES FINANCIEROS "/>
      <sheetName val="FLUJO DE CAJA"/>
      <sheetName val="PTO EQUILIBRIO"/>
      <sheetName val="TIR Y VAN"/>
      <sheetName val="punto de equilibrio"/>
    </sheetNames>
    <sheetDataSet>
      <sheetData sheetId="0"/>
      <sheetData sheetId="1"/>
      <sheetData sheetId="2"/>
      <sheetData sheetId="3"/>
      <sheetData sheetId="4">
        <row r="41">
          <cell r="D41">
            <v>11438400</v>
          </cell>
        </row>
        <row r="47">
          <cell r="D47">
            <v>18048600</v>
          </cell>
        </row>
        <row r="60">
          <cell r="D60">
            <v>22383000</v>
          </cell>
        </row>
        <row r="71">
          <cell r="D71">
            <v>24642000</v>
          </cell>
        </row>
        <row r="82">
          <cell r="D82">
            <v>900000</v>
          </cell>
        </row>
        <row r="104">
          <cell r="D104">
            <v>50058000</v>
          </cell>
        </row>
      </sheetData>
      <sheetData sheetId="5"/>
      <sheetData sheetId="6">
        <row r="14">
          <cell r="C14">
            <v>28000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7">
          <cell r="E47">
            <v>1295</v>
          </cell>
          <cell r="F47">
            <v>2590</v>
          </cell>
          <cell r="G47">
            <v>3885</v>
          </cell>
          <cell r="H47">
            <v>5180</v>
          </cell>
          <cell r="I47">
            <v>6475</v>
          </cell>
          <cell r="J47">
            <v>7770</v>
          </cell>
          <cell r="K47">
            <v>9065</v>
          </cell>
          <cell r="L47">
            <v>10360</v>
          </cell>
        </row>
        <row r="48">
          <cell r="B48" t="str">
            <v>ventas</v>
          </cell>
          <cell r="E48">
            <v>25200000</v>
          </cell>
          <cell r="F48">
            <v>54437165.088153869</v>
          </cell>
          <cell r="G48">
            <v>108780000</v>
          </cell>
          <cell r="H48">
            <v>145040000</v>
          </cell>
          <cell r="I48">
            <v>181300000</v>
          </cell>
          <cell r="J48">
            <v>217560000</v>
          </cell>
          <cell r="K48">
            <v>253820000</v>
          </cell>
          <cell r="L48">
            <v>290080000</v>
          </cell>
        </row>
        <row r="49">
          <cell r="B49" t="str">
            <v>Costos totales</v>
          </cell>
          <cell r="E49">
            <v>43848202.973977692</v>
          </cell>
          <cell r="F49">
            <v>54437165.088153869</v>
          </cell>
          <cell r="G49">
            <v>74118766.171003714</v>
          </cell>
          <cell r="H49">
            <v>87251221.561338276</v>
          </cell>
          <cell r="I49">
            <v>100383676.95167285</v>
          </cell>
          <cell r="J49">
            <v>113516132.34200743</v>
          </cell>
          <cell r="K49">
            <v>126648587.732342</v>
          </cell>
          <cell r="L49">
            <v>139781043.12267655</v>
          </cell>
        </row>
        <row r="50">
          <cell r="B50" t="str">
            <v>Utilidad</v>
          </cell>
          <cell r="E50">
            <v>-18648202.973977692</v>
          </cell>
          <cell r="F50">
            <v>0</v>
          </cell>
          <cell r="G50">
            <v>34661233.828996286</v>
          </cell>
          <cell r="H50">
            <v>57788778.438661717</v>
          </cell>
          <cell r="I50">
            <v>80916323.048327148</v>
          </cell>
          <cell r="J50">
            <v>104043867.65799257</v>
          </cell>
          <cell r="K50">
            <v>127171412.267658</v>
          </cell>
          <cell r="L50">
            <v>150298956.87732345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G35"/>
  <sheetViews>
    <sheetView topLeftCell="A11" workbookViewId="0">
      <selection activeCell="D34" sqref="D34"/>
    </sheetView>
  </sheetViews>
  <sheetFormatPr baseColWidth="10" defaultRowHeight="15" x14ac:dyDescent="0.25"/>
  <cols>
    <col min="2" max="2" width="27.85546875" bestFit="1" customWidth="1"/>
    <col min="4" max="4" width="16.42578125" bestFit="1" customWidth="1"/>
    <col min="5" max="5" width="19.5703125" bestFit="1" customWidth="1"/>
    <col min="6" max="7" width="12" bestFit="1" customWidth="1"/>
  </cols>
  <sheetData>
    <row r="2" spans="2:7" x14ac:dyDescent="0.25">
      <c r="B2" s="225"/>
      <c r="C2" s="268" t="s">
        <v>215</v>
      </c>
      <c r="D2" s="268"/>
      <c r="E2" s="268"/>
      <c r="F2" s="225"/>
      <c r="G2" s="225"/>
    </row>
    <row r="3" spans="2:7" x14ac:dyDescent="0.25">
      <c r="B3" s="226" t="s">
        <v>216</v>
      </c>
      <c r="C3" s="226" t="s">
        <v>217</v>
      </c>
      <c r="D3" s="226" t="s">
        <v>218</v>
      </c>
      <c r="E3" s="226" t="s">
        <v>219</v>
      </c>
      <c r="F3" s="225"/>
      <c r="G3" s="225"/>
    </row>
    <row r="4" spans="2:7" x14ac:dyDescent="0.25">
      <c r="B4" s="227" t="s">
        <v>220</v>
      </c>
      <c r="C4" s="227">
        <v>1</v>
      </c>
      <c r="D4" s="228">
        <v>149990</v>
      </c>
      <c r="E4" s="229">
        <f t="shared" ref="E4:E9" si="0">+D4*C4</f>
        <v>149990</v>
      </c>
      <c r="F4" s="225"/>
      <c r="G4" s="225"/>
    </row>
    <row r="5" spans="2:7" x14ac:dyDescent="0.25">
      <c r="B5" s="227" t="s">
        <v>221</v>
      </c>
      <c r="C5" s="227">
        <v>2</v>
      </c>
      <c r="D5" s="228">
        <v>113900</v>
      </c>
      <c r="E5" s="229">
        <f t="shared" si="0"/>
        <v>227800</v>
      </c>
      <c r="F5" s="225"/>
      <c r="G5" s="225"/>
    </row>
    <row r="6" spans="2:7" x14ac:dyDescent="0.25">
      <c r="B6" s="227" t="s">
        <v>222</v>
      </c>
      <c r="C6" s="227">
        <v>3</v>
      </c>
      <c r="D6" s="228">
        <v>25900</v>
      </c>
      <c r="E6" s="229">
        <f t="shared" si="0"/>
        <v>77700</v>
      </c>
      <c r="F6" s="225"/>
      <c r="G6" s="225"/>
    </row>
    <row r="7" spans="2:7" x14ac:dyDescent="0.25">
      <c r="B7" s="227" t="s">
        <v>223</v>
      </c>
      <c r="C7" s="227">
        <v>1</v>
      </c>
      <c r="D7" s="228">
        <v>799900</v>
      </c>
      <c r="E7" s="229">
        <f t="shared" si="0"/>
        <v>799900</v>
      </c>
      <c r="F7" s="225"/>
      <c r="G7" s="225"/>
    </row>
    <row r="8" spans="2:7" x14ac:dyDescent="0.25">
      <c r="B8" s="230" t="s">
        <v>224</v>
      </c>
      <c r="C8" s="227">
        <v>25</v>
      </c>
      <c r="D8" s="228">
        <v>11000</v>
      </c>
      <c r="E8" s="229">
        <f t="shared" si="0"/>
        <v>275000</v>
      </c>
      <c r="F8" s="225"/>
      <c r="G8" s="225"/>
    </row>
    <row r="9" spans="2:7" x14ac:dyDescent="0.25">
      <c r="B9" s="230" t="s">
        <v>225</v>
      </c>
      <c r="C9" s="227">
        <v>20</v>
      </c>
      <c r="D9" s="228">
        <v>18000</v>
      </c>
      <c r="E9" s="229">
        <f t="shared" si="0"/>
        <v>360000</v>
      </c>
      <c r="F9" s="225"/>
      <c r="G9" s="225"/>
    </row>
    <row r="10" spans="2:7" x14ac:dyDescent="0.25">
      <c r="B10" s="227" t="s">
        <v>226</v>
      </c>
      <c r="C10" s="227">
        <v>1</v>
      </c>
      <c r="D10" s="228">
        <v>490000</v>
      </c>
      <c r="E10" s="229">
        <f>+D10*C10</f>
        <v>490000</v>
      </c>
      <c r="F10" s="225"/>
      <c r="G10" s="225"/>
    </row>
    <row r="11" spans="2:7" x14ac:dyDescent="0.25">
      <c r="B11" s="226" t="s">
        <v>227</v>
      </c>
      <c r="C11" s="269"/>
      <c r="D11" s="269"/>
      <c r="E11" s="231">
        <f>SUM(E4:E10)</f>
        <v>2380390</v>
      </c>
      <c r="F11" s="225"/>
      <c r="G11" s="225"/>
    </row>
    <row r="12" spans="2:7" x14ac:dyDescent="0.25">
      <c r="B12" s="227" t="s">
        <v>228</v>
      </c>
      <c r="C12" s="227"/>
      <c r="D12" s="227"/>
      <c r="E12" s="229">
        <f>+SUM(E11*0.1)</f>
        <v>238039</v>
      </c>
      <c r="F12" s="225"/>
      <c r="G12" s="225"/>
    </row>
    <row r="13" spans="2:7" x14ac:dyDescent="0.25">
      <c r="B13" s="226" t="s">
        <v>229</v>
      </c>
      <c r="C13" s="227"/>
      <c r="D13" s="227"/>
      <c r="E13" s="231">
        <f>+E11+E12</f>
        <v>2618429</v>
      </c>
      <c r="F13" s="225"/>
      <c r="G13" s="225"/>
    </row>
    <row r="14" spans="2:7" x14ac:dyDescent="0.25">
      <c r="B14" s="225"/>
      <c r="C14" s="225"/>
      <c r="D14" s="225"/>
      <c r="E14" s="225"/>
      <c r="F14" s="225"/>
      <c r="G14" s="225"/>
    </row>
    <row r="15" spans="2:7" x14ac:dyDescent="0.25">
      <c r="B15" s="225"/>
      <c r="C15" s="225"/>
      <c r="D15" s="225"/>
      <c r="E15" s="225"/>
      <c r="F15" s="225"/>
      <c r="G15" s="225"/>
    </row>
    <row r="16" spans="2:7" x14ac:dyDescent="0.25">
      <c r="B16" s="268" t="s">
        <v>230</v>
      </c>
      <c r="C16" s="268"/>
      <c r="D16" s="268"/>
      <c r="E16" s="225"/>
      <c r="F16" s="225"/>
      <c r="G16" s="225"/>
    </row>
    <row r="17" spans="2:7" x14ac:dyDescent="0.25">
      <c r="B17" s="225"/>
      <c r="C17" s="225"/>
      <c r="D17" s="225"/>
      <c r="E17" s="225"/>
      <c r="F17" s="225"/>
      <c r="G17" s="225"/>
    </row>
    <row r="18" spans="2:7" x14ac:dyDescent="0.25">
      <c r="B18" s="226" t="s">
        <v>216</v>
      </c>
      <c r="C18" s="226" t="s">
        <v>217</v>
      </c>
      <c r="D18" s="226" t="s">
        <v>218</v>
      </c>
      <c r="E18" s="226" t="s">
        <v>219</v>
      </c>
      <c r="F18" s="225"/>
      <c r="G18" s="225"/>
    </row>
    <row r="19" spans="2:7" x14ac:dyDescent="0.25">
      <c r="B19" s="227" t="s">
        <v>231</v>
      </c>
      <c r="C19" s="227">
        <v>1</v>
      </c>
      <c r="D19" s="228">
        <v>1399000</v>
      </c>
      <c r="E19" s="228">
        <f>+D19*C19</f>
        <v>1399000</v>
      </c>
      <c r="F19" s="225"/>
      <c r="G19" s="225"/>
    </row>
    <row r="20" spans="2:7" x14ac:dyDescent="0.25">
      <c r="B20" s="227" t="s">
        <v>232</v>
      </c>
      <c r="C20" s="227">
        <v>1</v>
      </c>
      <c r="D20" s="228">
        <v>550991</v>
      </c>
      <c r="E20" s="228">
        <f>+D20*C20</f>
        <v>550991</v>
      </c>
      <c r="F20" s="225"/>
      <c r="G20" s="225"/>
    </row>
    <row r="21" spans="2:7" x14ac:dyDescent="0.25">
      <c r="B21" s="226" t="s">
        <v>227</v>
      </c>
      <c r="C21" s="227"/>
      <c r="D21" s="228"/>
      <c r="E21" s="232">
        <f>+SUM(E19:E20)</f>
        <v>1949991</v>
      </c>
      <c r="F21" s="225"/>
      <c r="G21" s="225"/>
    </row>
    <row r="22" spans="2:7" x14ac:dyDescent="0.25">
      <c r="B22" s="227" t="s">
        <v>233</v>
      </c>
      <c r="C22" s="227"/>
      <c r="D22" s="228"/>
      <c r="E22" s="228">
        <f>+SUM(E21*0.1)</f>
        <v>194999.1</v>
      </c>
      <c r="F22" s="225"/>
      <c r="G22" s="225"/>
    </row>
    <row r="23" spans="2:7" x14ac:dyDescent="0.25">
      <c r="B23" s="226" t="s">
        <v>229</v>
      </c>
      <c r="C23" s="227"/>
      <c r="D23" s="228"/>
      <c r="E23" s="232">
        <f>+E21+E22</f>
        <v>2144990.1</v>
      </c>
      <c r="F23" s="225"/>
      <c r="G23" s="225"/>
    </row>
    <row r="24" spans="2:7" x14ac:dyDescent="0.25">
      <c r="B24" s="225"/>
      <c r="C24" s="225"/>
      <c r="D24" s="225"/>
      <c r="E24" s="225"/>
      <c r="F24" s="225"/>
      <c r="G24" s="225"/>
    </row>
    <row r="25" spans="2:7" x14ac:dyDescent="0.25">
      <c r="B25" s="225"/>
      <c r="C25" s="225"/>
      <c r="D25" s="225"/>
      <c r="E25" s="225"/>
      <c r="F25" s="225"/>
      <c r="G25" s="225"/>
    </row>
    <row r="26" spans="2:7" x14ac:dyDescent="0.25">
      <c r="B26" s="268" t="s">
        <v>234</v>
      </c>
      <c r="C26" s="268"/>
      <c r="D26" s="268"/>
      <c r="E26" s="225"/>
      <c r="F26" s="225"/>
      <c r="G26" s="225"/>
    </row>
    <row r="27" spans="2:7" x14ac:dyDescent="0.25">
      <c r="B27" s="225"/>
      <c r="C27" s="225"/>
      <c r="D27" s="225"/>
      <c r="E27" s="225"/>
      <c r="F27" s="225"/>
      <c r="G27" s="225"/>
    </row>
    <row r="28" spans="2:7" x14ac:dyDescent="0.25">
      <c r="B28" s="233" t="s">
        <v>235</v>
      </c>
      <c r="C28" s="233" t="s">
        <v>236</v>
      </c>
      <c r="D28" s="233" t="s">
        <v>218</v>
      </c>
      <c r="E28" s="233" t="s">
        <v>237</v>
      </c>
      <c r="F28" s="225"/>
      <c r="G28" s="225"/>
    </row>
    <row r="29" spans="2:7" x14ac:dyDescent="0.25">
      <c r="B29" s="233" t="s">
        <v>238</v>
      </c>
      <c r="C29" s="233">
        <v>1</v>
      </c>
      <c r="D29" s="233">
        <v>60000</v>
      </c>
      <c r="E29" s="233">
        <f>+D29*C29</f>
        <v>60000</v>
      </c>
      <c r="F29" s="225"/>
      <c r="G29" s="225"/>
    </row>
    <row r="30" spans="2:7" x14ac:dyDescent="0.25">
      <c r="B30" s="265" t="s">
        <v>227</v>
      </c>
      <c r="C30" s="266"/>
      <c r="D30" s="267"/>
      <c r="E30" s="233">
        <f>+SUM(E29)</f>
        <v>60000</v>
      </c>
      <c r="F30" s="225"/>
      <c r="G30" s="225"/>
    </row>
    <row r="31" spans="2:7" x14ac:dyDescent="0.25">
      <c r="B31" s="270" t="s">
        <v>233</v>
      </c>
      <c r="C31" s="271"/>
      <c r="D31" s="272"/>
      <c r="E31" s="233">
        <f>+SUM(E30*0.1)</f>
        <v>6000</v>
      </c>
      <c r="F31" s="225"/>
      <c r="G31" s="225"/>
    </row>
    <row r="32" spans="2:7" x14ac:dyDescent="0.25">
      <c r="B32" s="265" t="s">
        <v>229</v>
      </c>
      <c r="C32" s="266"/>
      <c r="D32" s="267"/>
      <c r="E32" s="9">
        <f>+SUM(E30:E31)</f>
        <v>66000</v>
      </c>
      <c r="F32" s="225"/>
      <c r="G32" s="225"/>
    </row>
    <row r="33" spans="2:7" x14ac:dyDescent="0.25">
      <c r="B33" s="225"/>
      <c r="C33" s="225"/>
      <c r="D33" s="225"/>
      <c r="E33" s="225"/>
      <c r="F33" s="225"/>
      <c r="G33" s="225"/>
    </row>
    <row r="34" spans="2:7" x14ac:dyDescent="0.25">
      <c r="B34" s="225"/>
      <c r="C34" s="225"/>
      <c r="D34" s="225"/>
      <c r="E34" s="225"/>
      <c r="F34" s="225"/>
      <c r="G34" s="225"/>
    </row>
    <row r="35" spans="2:7" x14ac:dyDescent="0.25">
      <c r="B35" s="225"/>
      <c r="C35" s="225"/>
      <c r="D35" s="234" t="s">
        <v>239</v>
      </c>
      <c r="E35" s="235">
        <f>+E13+E23+E32</f>
        <v>4829419.0999999996</v>
      </c>
      <c r="F35" s="236">
        <f>+E35-E19-E32</f>
        <v>3364419.0999999996</v>
      </c>
      <c r="G35" s="236">
        <f>+E32+E19</f>
        <v>1465000</v>
      </c>
    </row>
  </sheetData>
  <mergeCells count="7">
    <mergeCell ref="B32:D32"/>
    <mergeCell ref="C2:E2"/>
    <mergeCell ref="C11:D11"/>
    <mergeCell ref="B16:D16"/>
    <mergeCell ref="B26:D26"/>
    <mergeCell ref="B30:D30"/>
    <mergeCell ref="B31:D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4" tint="0.79998168889431442"/>
  </sheetPr>
  <dimension ref="A1:G60"/>
  <sheetViews>
    <sheetView showGridLines="0" zoomScale="90" zoomScaleNormal="90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A2" sqref="A2:G29"/>
    </sheetView>
  </sheetViews>
  <sheetFormatPr baseColWidth="10" defaultRowHeight="15.75" zeroHeight="1" x14ac:dyDescent="0.25"/>
  <cols>
    <col min="1" max="1" width="25.42578125" style="82" customWidth="1"/>
    <col min="2" max="2" width="18.85546875" style="96" customWidth="1"/>
    <col min="3" max="3" width="21" style="82" customWidth="1"/>
    <col min="4" max="4" width="20.85546875" style="82" customWidth="1"/>
    <col min="5" max="5" width="20.7109375" style="82" customWidth="1"/>
    <col min="6" max="6" width="20.85546875" style="82" bestFit="1" customWidth="1"/>
    <col min="7" max="7" width="23.140625" style="82" bestFit="1" customWidth="1"/>
    <col min="8" max="249" width="11.42578125" style="82"/>
    <col min="250" max="250" width="25.85546875" style="82" customWidth="1"/>
    <col min="251" max="251" width="11.7109375" style="82" bestFit="1" customWidth="1"/>
    <col min="252" max="252" width="12.7109375" style="82" bestFit="1" customWidth="1"/>
    <col min="253" max="260" width="11.7109375" style="82" bestFit="1" customWidth="1"/>
    <col min="261" max="261" width="13" style="82" customWidth="1"/>
    <col min="262" max="262" width="12.5703125" style="82" customWidth="1"/>
    <col min="263" max="505" width="11.42578125" style="82"/>
    <col min="506" max="506" width="25.85546875" style="82" customWidth="1"/>
    <col min="507" max="507" width="11.7109375" style="82" bestFit="1" customWidth="1"/>
    <col min="508" max="508" width="12.7109375" style="82" bestFit="1" customWidth="1"/>
    <col min="509" max="516" width="11.7109375" style="82" bestFit="1" customWidth="1"/>
    <col min="517" max="517" width="13" style="82" customWidth="1"/>
    <col min="518" max="518" width="12.5703125" style="82" customWidth="1"/>
    <col min="519" max="761" width="11.42578125" style="82"/>
    <col min="762" max="762" width="25.85546875" style="82" customWidth="1"/>
    <col min="763" max="763" width="11.7109375" style="82" bestFit="1" customWidth="1"/>
    <col min="764" max="764" width="12.7109375" style="82" bestFit="1" customWidth="1"/>
    <col min="765" max="772" width="11.7109375" style="82" bestFit="1" customWidth="1"/>
    <col min="773" max="773" width="13" style="82" customWidth="1"/>
    <col min="774" max="774" width="12.5703125" style="82" customWidth="1"/>
    <col min="775" max="1017" width="11.42578125" style="82"/>
    <col min="1018" max="1018" width="25.85546875" style="82" customWidth="1"/>
    <col min="1019" max="1019" width="11.7109375" style="82" bestFit="1" customWidth="1"/>
    <col min="1020" max="1020" width="12.7109375" style="82" bestFit="1" customWidth="1"/>
    <col min="1021" max="1028" width="11.7109375" style="82" bestFit="1" customWidth="1"/>
    <col min="1029" max="1029" width="13" style="82" customWidth="1"/>
    <col min="1030" max="1030" width="12.5703125" style="82" customWidth="1"/>
    <col min="1031" max="1273" width="11.42578125" style="82"/>
    <col min="1274" max="1274" width="25.85546875" style="82" customWidth="1"/>
    <col min="1275" max="1275" width="11.7109375" style="82" bestFit="1" customWidth="1"/>
    <col min="1276" max="1276" width="12.7109375" style="82" bestFit="1" customWidth="1"/>
    <col min="1277" max="1284" width="11.7109375" style="82" bestFit="1" customWidth="1"/>
    <col min="1285" max="1285" width="13" style="82" customWidth="1"/>
    <col min="1286" max="1286" width="12.5703125" style="82" customWidth="1"/>
    <col min="1287" max="1529" width="11.42578125" style="82"/>
    <col min="1530" max="1530" width="25.85546875" style="82" customWidth="1"/>
    <col min="1531" max="1531" width="11.7109375" style="82" bestFit="1" customWidth="1"/>
    <col min="1532" max="1532" width="12.7109375" style="82" bestFit="1" customWidth="1"/>
    <col min="1533" max="1540" width="11.7109375" style="82" bestFit="1" customWidth="1"/>
    <col min="1541" max="1541" width="13" style="82" customWidth="1"/>
    <col min="1542" max="1542" width="12.5703125" style="82" customWidth="1"/>
    <col min="1543" max="1785" width="11.42578125" style="82"/>
    <col min="1786" max="1786" width="25.85546875" style="82" customWidth="1"/>
    <col min="1787" max="1787" width="11.7109375" style="82" bestFit="1" customWidth="1"/>
    <col min="1788" max="1788" width="12.7109375" style="82" bestFit="1" customWidth="1"/>
    <col min="1789" max="1796" width="11.7109375" style="82" bestFit="1" customWidth="1"/>
    <col min="1797" max="1797" width="13" style="82" customWidth="1"/>
    <col min="1798" max="1798" width="12.5703125" style="82" customWidth="1"/>
    <col min="1799" max="2041" width="11.42578125" style="82"/>
    <col min="2042" max="2042" width="25.85546875" style="82" customWidth="1"/>
    <col min="2043" max="2043" width="11.7109375" style="82" bestFit="1" customWidth="1"/>
    <col min="2044" max="2044" width="12.7109375" style="82" bestFit="1" customWidth="1"/>
    <col min="2045" max="2052" width="11.7109375" style="82" bestFit="1" customWidth="1"/>
    <col min="2053" max="2053" width="13" style="82" customWidth="1"/>
    <col min="2054" max="2054" width="12.5703125" style="82" customWidth="1"/>
    <col min="2055" max="2297" width="11.42578125" style="82"/>
    <col min="2298" max="2298" width="25.85546875" style="82" customWidth="1"/>
    <col min="2299" max="2299" width="11.7109375" style="82" bestFit="1" customWidth="1"/>
    <col min="2300" max="2300" width="12.7109375" style="82" bestFit="1" customWidth="1"/>
    <col min="2301" max="2308" width="11.7109375" style="82" bestFit="1" customWidth="1"/>
    <col min="2309" max="2309" width="13" style="82" customWidth="1"/>
    <col min="2310" max="2310" width="12.5703125" style="82" customWidth="1"/>
    <col min="2311" max="2553" width="11.42578125" style="82"/>
    <col min="2554" max="2554" width="25.85546875" style="82" customWidth="1"/>
    <col min="2555" max="2555" width="11.7109375" style="82" bestFit="1" customWidth="1"/>
    <col min="2556" max="2556" width="12.7109375" style="82" bestFit="1" customWidth="1"/>
    <col min="2557" max="2564" width="11.7109375" style="82" bestFit="1" customWidth="1"/>
    <col min="2565" max="2565" width="13" style="82" customWidth="1"/>
    <col min="2566" max="2566" width="12.5703125" style="82" customWidth="1"/>
    <col min="2567" max="2809" width="11.42578125" style="82"/>
    <col min="2810" max="2810" width="25.85546875" style="82" customWidth="1"/>
    <col min="2811" max="2811" width="11.7109375" style="82" bestFit="1" customWidth="1"/>
    <col min="2812" max="2812" width="12.7109375" style="82" bestFit="1" customWidth="1"/>
    <col min="2813" max="2820" width="11.7109375" style="82" bestFit="1" customWidth="1"/>
    <col min="2821" max="2821" width="13" style="82" customWidth="1"/>
    <col min="2822" max="2822" width="12.5703125" style="82" customWidth="1"/>
    <col min="2823" max="3065" width="11.42578125" style="82"/>
    <col min="3066" max="3066" width="25.85546875" style="82" customWidth="1"/>
    <col min="3067" max="3067" width="11.7109375" style="82" bestFit="1" customWidth="1"/>
    <col min="3068" max="3068" width="12.7109375" style="82" bestFit="1" customWidth="1"/>
    <col min="3069" max="3076" width="11.7109375" style="82" bestFit="1" customWidth="1"/>
    <col min="3077" max="3077" width="13" style="82" customWidth="1"/>
    <col min="3078" max="3078" width="12.5703125" style="82" customWidth="1"/>
    <col min="3079" max="3321" width="11.42578125" style="82"/>
    <col min="3322" max="3322" width="25.85546875" style="82" customWidth="1"/>
    <col min="3323" max="3323" width="11.7109375" style="82" bestFit="1" customWidth="1"/>
    <col min="3324" max="3324" width="12.7109375" style="82" bestFit="1" customWidth="1"/>
    <col min="3325" max="3332" width="11.7109375" style="82" bestFit="1" customWidth="1"/>
    <col min="3333" max="3333" width="13" style="82" customWidth="1"/>
    <col min="3334" max="3334" width="12.5703125" style="82" customWidth="1"/>
    <col min="3335" max="3577" width="11.42578125" style="82"/>
    <col min="3578" max="3578" width="25.85546875" style="82" customWidth="1"/>
    <col min="3579" max="3579" width="11.7109375" style="82" bestFit="1" customWidth="1"/>
    <col min="3580" max="3580" width="12.7109375" style="82" bestFit="1" customWidth="1"/>
    <col min="3581" max="3588" width="11.7109375" style="82" bestFit="1" customWidth="1"/>
    <col min="3589" max="3589" width="13" style="82" customWidth="1"/>
    <col min="3590" max="3590" width="12.5703125" style="82" customWidth="1"/>
    <col min="3591" max="3833" width="11.42578125" style="82"/>
    <col min="3834" max="3834" width="25.85546875" style="82" customWidth="1"/>
    <col min="3835" max="3835" width="11.7109375" style="82" bestFit="1" customWidth="1"/>
    <col min="3836" max="3836" width="12.7109375" style="82" bestFit="1" customWidth="1"/>
    <col min="3837" max="3844" width="11.7109375" style="82" bestFit="1" customWidth="1"/>
    <col min="3845" max="3845" width="13" style="82" customWidth="1"/>
    <col min="3846" max="3846" width="12.5703125" style="82" customWidth="1"/>
    <col min="3847" max="4089" width="11.42578125" style="82"/>
    <col min="4090" max="4090" width="25.85546875" style="82" customWidth="1"/>
    <col min="4091" max="4091" width="11.7109375" style="82" bestFit="1" customWidth="1"/>
    <col min="4092" max="4092" width="12.7109375" style="82" bestFit="1" customWidth="1"/>
    <col min="4093" max="4100" width="11.7109375" style="82" bestFit="1" customWidth="1"/>
    <col min="4101" max="4101" width="13" style="82" customWidth="1"/>
    <col min="4102" max="4102" width="12.5703125" style="82" customWidth="1"/>
    <col min="4103" max="4345" width="11.42578125" style="82"/>
    <col min="4346" max="4346" width="25.85546875" style="82" customWidth="1"/>
    <col min="4347" max="4347" width="11.7109375" style="82" bestFit="1" customWidth="1"/>
    <col min="4348" max="4348" width="12.7109375" style="82" bestFit="1" customWidth="1"/>
    <col min="4349" max="4356" width="11.7109375" style="82" bestFit="1" customWidth="1"/>
    <col min="4357" max="4357" width="13" style="82" customWidth="1"/>
    <col min="4358" max="4358" width="12.5703125" style="82" customWidth="1"/>
    <col min="4359" max="4601" width="11.42578125" style="82"/>
    <col min="4602" max="4602" width="25.85546875" style="82" customWidth="1"/>
    <col min="4603" max="4603" width="11.7109375" style="82" bestFit="1" customWidth="1"/>
    <col min="4604" max="4604" width="12.7109375" style="82" bestFit="1" customWidth="1"/>
    <col min="4605" max="4612" width="11.7109375" style="82" bestFit="1" customWidth="1"/>
    <col min="4613" max="4613" width="13" style="82" customWidth="1"/>
    <col min="4614" max="4614" width="12.5703125" style="82" customWidth="1"/>
    <col min="4615" max="4857" width="11.42578125" style="82"/>
    <col min="4858" max="4858" width="25.85546875" style="82" customWidth="1"/>
    <col min="4859" max="4859" width="11.7109375" style="82" bestFit="1" customWidth="1"/>
    <col min="4860" max="4860" width="12.7109375" style="82" bestFit="1" customWidth="1"/>
    <col min="4861" max="4868" width="11.7109375" style="82" bestFit="1" customWidth="1"/>
    <col min="4869" max="4869" width="13" style="82" customWidth="1"/>
    <col min="4870" max="4870" width="12.5703125" style="82" customWidth="1"/>
    <col min="4871" max="5113" width="11.42578125" style="82"/>
    <col min="5114" max="5114" width="25.85546875" style="82" customWidth="1"/>
    <col min="5115" max="5115" width="11.7109375" style="82" bestFit="1" customWidth="1"/>
    <col min="5116" max="5116" width="12.7109375" style="82" bestFit="1" customWidth="1"/>
    <col min="5117" max="5124" width="11.7109375" style="82" bestFit="1" customWidth="1"/>
    <col min="5125" max="5125" width="13" style="82" customWidth="1"/>
    <col min="5126" max="5126" width="12.5703125" style="82" customWidth="1"/>
    <col min="5127" max="5369" width="11.42578125" style="82"/>
    <col min="5370" max="5370" width="25.85546875" style="82" customWidth="1"/>
    <col min="5371" max="5371" width="11.7109375" style="82" bestFit="1" customWidth="1"/>
    <col min="5372" max="5372" width="12.7109375" style="82" bestFit="1" customWidth="1"/>
    <col min="5373" max="5380" width="11.7109375" style="82" bestFit="1" customWidth="1"/>
    <col min="5381" max="5381" width="13" style="82" customWidth="1"/>
    <col min="5382" max="5382" width="12.5703125" style="82" customWidth="1"/>
    <col min="5383" max="5625" width="11.42578125" style="82"/>
    <col min="5626" max="5626" width="25.85546875" style="82" customWidth="1"/>
    <col min="5627" max="5627" width="11.7109375" style="82" bestFit="1" customWidth="1"/>
    <col min="5628" max="5628" width="12.7109375" style="82" bestFit="1" customWidth="1"/>
    <col min="5629" max="5636" width="11.7109375" style="82" bestFit="1" customWidth="1"/>
    <col min="5637" max="5637" width="13" style="82" customWidth="1"/>
    <col min="5638" max="5638" width="12.5703125" style="82" customWidth="1"/>
    <col min="5639" max="5881" width="11.42578125" style="82"/>
    <col min="5882" max="5882" width="25.85546875" style="82" customWidth="1"/>
    <col min="5883" max="5883" width="11.7109375" style="82" bestFit="1" customWidth="1"/>
    <col min="5884" max="5884" width="12.7109375" style="82" bestFit="1" customWidth="1"/>
    <col min="5885" max="5892" width="11.7109375" style="82" bestFit="1" customWidth="1"/>
    <col min="5893" max="5893" width="13" style="82" customWidth="1"/>
    <col min="5894" max="5894" width="12.5703125" style="82" customWidth="1"/>
    <col min="5895" max="6137" width="11.42578125" style="82"/>
    <col min="6138" max="6138" width="25.85546875" style="82" customWidth="1"/>
    <col min="6139" max="6139" width="11.7109375" style="82" bestFit="1" customWidth="1"/>
    <col min="6140" max="6140" width="12.7109375" style="82" bestFit="1" customWidth="1"/>
    <col min="6141" max="6148" width="11.7109375" style="82" bestFit="1" customWidth="1"/>
    <col min="6149" max="6149" width="13" style="82" customWidth="1"/>
    <col min="6150" max="6150" width="12.5703125" style="82" customWidth="1"/>
    <col min="6151" max="6393" width="11.42578125" style="82"/>
    <col min="6394" max="6394" width="25.85546875" style="82" customWidth="1"/>
    <col min="6395" max="6395" width="11.7109375" style="82" bestFit="1" customWidth="1"/>
    <col min="6396" max="6396" width="12.7109375" style="82" bestFit="1" customWidth="1"/>
    <col min="6397" max="6404" width="11.7109375" style="82" bestFit="1" customWidth="1"/>
    <col min="6405" max="6405" width="13" style="82" customWidth="1"/>
    <col min="6406" max="6406" width="12.5703125" style="82" customWidth="1"/>
    <col min="6407" max="6649" width="11.42578125" style="82"/>
    <col min="6650" max="6650" width="25.85546875" style="82" customWidth="1"/>
    <col min="6651" max="6651" width="11.7109375" style="82" bestFit="1" customWidth="1"/>
    <col min="6652" max="6652" width="12.7109375" style="82" bestFit="1" customWidth="1"/>
    <col min="6653" max="6660" width="11.7109375" style="82" bestFit="1" customWidth="1"/>
    <col min="6661" max="6661" width="13" style="82" customWidth="1"/>
    <col min="6662" max="6662" width="12.5703125" style="82" customWidth="1"/>
    <col min="6663" max="6905" width="11.42578125" style="82"/>
    <col min="6906" max="6906" width="25.85546875" style="82" customWidth="1"/>
    <col min="6907" max="6907" width="11.7109375" style="82" bestFit="1" customWidth="1"/>
    <col min="6908" max="6908" width="12.7109375" style="82" bestFit="1" customWidth="1"/>
    <col min="6909" max="6916" width="11.7109375" style="82" bestFit="1" customWidth="1"/>
    <col min="6917" max="6917" width="13" style="82" customWidth="1"/>
    <col min="6918" max="6918" width="12.5703125" style="82" customWidth="1"/>
    <col min="6919" max="7161" width="11.42578125" style="82"/>
    <col min="7162" max="7162" width="25.85546875" style="82" customWidth="1"/>
    <col min="7163" max="7163" width="11.7109375" style="82" bestFit="1" customWidth="1"/>
    <col min="7164" max="7164" width="12.7109375" style="82" bestFit="1" customWidth="1"/>
    <col min="7165" max="7172" width="11.7109375" style="82" bestFit="1" customWidth="1"/>
    <col min="7173" max="7173" width="13" style="82" customWidth="1"/>
    <col min="7174" max="7174" width="12.5703125" style="82" customWidth="1"/>
    <col min="7175" max="7417" width="11.42578125" style="82"/>
    <col min="7418" max="7418" width="25.85546875" style="82" customWidth="1"/>
    <col min="7419" max="7419" width="11.7109375" style="82" bestFit="1" customWidth="1"/>
    <col min="7420" max="7420" width="12.7109375" style="82" bestFit="1" customWidth="1"/>
    <col min="7421" max="7428" width="11.7109375" style="82" bestFit="1" customWidth="1"/>
    <col min="7429" max="7429" width="13" style="82" customWidth="1"/>
    <col min="7430" max="7430" width="12.5703125" style="82" customWidth="1"/>
    <col min="7431" max="7673" width="11.42578125" style="82"/>
    <col min="7674" max="7674" width="25.85546875" style="82" customWidth="1"/>
    <col min="7675" max="7675" width="11.7109375" style="82" bestFit="1" customWidth="1"/>
    <col min="7676" max="7676" width="12.7109375" style="82" bestFit="1" customWidth="1"/>
    <col min="7677" max="7684" width="11.7109375" style="82" bestFit="1" customWidth="1"/>
    <col min="7685" max="7685" width="13" style="82" customWidth="1"/>
    <col min="7686" max="7686" width="12.5703125" style="82" customWidth="1"/>
    <col min="7687" max="7929" width="11.42578125" style="82"/>
    <col min="7930" max="7930" width="25.85546875" style="82" customWidth="1"/>
    <col min="7931" max="7931" width="11.7109375" style="82" bestFit="1" customWidth="1"/>
    <col min="7932" max="7932" width="12.7109375" style="82" bestFit="1" customWidth="1"/>
    <col min="7933" max="7940" width="11.7109375" style="82" bestFit="1" customWidth="1"/>
    <col min="7941" max="7941" width="13" style="82" customWidth="1"/>
    <col min="7942" max="7942" width="12.5703125" style="82" customWidth="1"/>
    <col min="7943" max="8185" width="11.42578125" style="82"/>
    <col min="8186" max="8186" width="25.85546875" style="82" customWidth="1"/>
    <col min="8187" max="8187" width="11.7109375" style="82" bestFit="1" customWidth="1"/>
    <col min="8188" max="8188" width="12.7109375" style="82" bestFit="1" customWidth="1"/>
    <col min="8189" max="8196" width="11.7109375" style="82" bestFit="1" customWidth="1"/>
    <col min="8197" max="8197" width="13" style="82" customWidth="1"/>
    <col min="8198" max="8198" width="12.5703125" style="82" customWidth="1"/>
    <col min="8199" max="8441" width="11.42578125" style="82"/>
    <col min="8442" max="8442" width="25.85546875" style="82" customWidth="1"/>
    <col min="8443" max="8443" width="11.7109375" style="82" bestFit="1" customWidth="1"/>
    <col min="8444" max="8444" width="12.7109375" style="82" bestFit="1" customWidth="1"/>
    <col min="8445" max="8452" width="11.7109375" style="82" bestFit="1" customWidth="1"/>
    <col min="8453" max="8453" width="13" style="82" customWidth="1"/>
    <col min="8454" max="8454" width="12.5703125" style="82" customWidth="1"/>
    <col min="8455" max="8697" width="11.42578125" style="82"/>
    <col min="8698" max="8698" width="25.85546875" style="82" customWidth="1"/>
    <col min="8699" max="8699" width="11.7109375" style="82" bestFit="1" customWidth="1"/>
    <col min="8700" max="8700" width="12.7109375" style="82" bestFit="1" customWidth="1"/>
    <col min="8701" max="8708" width="11.7109375" style="82" bestFit="1" customWidth="1"/>
    <col min="8709" max="8709" width="13" style="82" customWidth="1"/>
    <col min="8710" max="8710" width="12.5703125" style="82" customWidth="1"/>
    <col min="8711" max="8953" width="11.42578125" style="82"/>
    <col min="8954" max="8954" width="25.85546875" style="82" customWidth="1"/>
    <col min="8955" max="8955" width="11.7109375" style="82" bestFit="1" customWidth="1"/>
    <col min="8956" max="8956" width="12.7109375" style="82" bestFit="1" customWidth="1"/>
    <col min="8957" max="8964" width="11.7109375" style="82" bestFit="1" customWidth="1"/>
    <col min="8965" max="8965" width="13" style="82" customWidth="1"/>
    <col min="8966" max="8966" width="12.5703125" style="82" customWidth="1"/>
    <col min="8967" max="9209" width="11.42578125" style="82"/>
    <col min="9210" max="9210" width="25.85546875" style="82" customWidth="1"/>
    <col min="9211" max="9211" width="11.7109375" style="82" bestFit="1" customWidth="1"/>
    <col min="9212" max="9212" width="12.7109375" style="82" bestFit="1" customWidth="1"/>
    <col min="9213" max="9220" width="11.7109375" style="82" bestFit="1" customWidth="1"/>
    <col min="9221" max="9221" width="13" style="82" customWidth="1"/>
    <col min="9222" max="9222" width="12.5703125" style="82" customWidth="1"/>
    <col min="9223" max="9465" width="11.42578125" style="82"/>
    <col min="9466" max="9466" width="25.85546875" style="82" customWidth="1"/>
    <col min="9467" max="9467" width="11.7109375" style="82" bestFit="1" customWidth="1"/>
    <col min="9468" max="9468" width="12.7109375" style="82" bestFit="1" customWidth="1"/>
    <col min="9469" max="9476" width="11.7109375" style="82" bestFit="1" customWidth="1"/>
    <col min="9477" max="9477" width="13" style="82" customWidth="1"/>
    <col min="9478" max="9478" width="12.5703125" style="82" customWidth="1"/>
    <col min="9479" max="9721" width="11.42578125" style="82"/>
    <col min="9722" max="9722" width="25.85546875" style="82" customWidth="1"/>
    <col min="9723" max="9723" width="11.7109375" style="82" bestFit="1" customWidth="1"/>
    <col min="9724" max="9724" width="12.7109375" style="82" bestFit="1" customWidth="1"/>
    <col min="9725" max="9732" width="11.7109375" style="82" bestFit="1" customWidth="1"/>
    <col min="9733" max="9733" width="13" style="82" customWidth="1"/>
    <col min="9734" max="9734" width="12.5703125" style="82" customWidth="1"/>
    <col min="9735" max="9977" width="11.42578125" style="82"/>
    <col min="9978" max="9978" width="25.85546875" style="82" customWidth="1"/>
    <col min="9979" max="9979" width="11.7109375" style="82" bestFit="1" customWidth="1"/>
    <col min="9980" max="9980" width="12.7109375" style="82" bestFit="1" customWidth="1"/>
    <col min="9981" max="9988" width="11.7109375" style="82" bestFit="1" customWidth="1"/>
    <col min="9989" max="9989" width="13" style="82" customWidth="1"/>
    <col min="9990" max="9990" width="12.5703125" style="82" customWidth="1"/>
    <col min="9991" max="10233" width="11.42578125" style="82"/>
    <col min="10234" max="10234" width="25.85546875" style="82" customWidth="1"/>
    <col min="10235" max="10235" width="11.7109375" style="82" bestFit="1" customWidth="1"/>
    <col min="10236" max="10236" width="12.7109375" style="82" bestFit="1" customWidth="1"/>
    <col min="10237" max="10244" width="11.7109375" style="82" bestFit="1" customWidth="1"/>
    <col min="10245" max="10245" width="13" style="82" customWidth="1"/>
    <col min="10246" max="10246" width="12.5703125" style="82" customWidth="1"/>
    <col min="10247" max="10489" width="11.42578125" style="82"/>
    <col min="10490" max="10490" width="25.85546875" style="82" customWidth="1"/>
    <col min="10491" max="10491" width="11.7109375" style="82" bestFit="1" customWidth="1"/>
    <col min="10492" max="10492" width="12.7109375" style="82" bestFit="1" customWidth="1"/>
    <col min="10493" max="10500" width="11.7109375" style="82" bestFit="1" customWidth="1"/>
    <col min="10501" max="10501" width="13" style="82" customWidth="1"/>
    <col min="10502" max="10502" width="12.5703125" style="82" customWidth="1"/>
    <col min="10503" max="10745" width="11.42578125" style="82"/>
    <col min="10746" max="10746" width="25.85546875" style="82" customWidth="1"/>
    <col min="10747" max="10747" width="11.7109375" style="82" bestFit="1" customWidth="1"/>
    <col min="10748" max="10748" width="12.7109375" style="82" bestFit="1" customWidth="1"/>
    <col min="10749" max="10756" width="11.7109375" style="82" bestFit="1" customWidth="1"/>
    <col min="10757" max="10757" width="13" style="82" customWidth="1"/>
    <col min="10758" max="10758" width="12.5703125" style="82" customWidth="1"/>
    <col min="10759" max="11001" width="11.42578125" style="82"/>
    <col min="11002" max="11002" width="25.85546875" style="82" customWidth="1"/>
    <col min="11003" max="11003" width="11.7109375" style="82" bestFit="1" customWidth="1"/>
    <col min="11004" max="11004" width="12.7109375" style="82" bestFit="1" customWidth="1"/>
    <col min="11005" max="11012" width="11.7109375" style="82" bestFit="1" customWidth="1"/>
    <col min="11013" max="11013" width="13" style="82" customWidth="1"/>
    <col min="11014" max="11014" width="12.5703125" style="82" customWidth="1"/>
    <col min="11015" max="11257" width="11.42578125" style="82"/>
    <col min="11258" max="11258" width="25.85546875" style="82" customWidth="1"/>
    <col min="11259" max="11259" width="11.7109375" style="82" bestFit="1" customWidth="1"/>
    <col min="11260" max="11260" width="12.7109375" style="82" bestFit="1" customWidth="1"/>
    <col min="11261" max="11268" width="11.7109375" style="82" bestFit="1" customWidth="1"/>
    <col min="11269" max="11269" width="13" style="82" customWidth="1"/>
    <col min="11270" max="11270" width="12.5703125" style="82" customWidth="1"/>
    <col min="11271" max="11513" width="11.42578125" style="82"/>
    <col min="11514" max="11514" width="25.85546875" style="82" customWidth="1"/>
    <col min="11515" max="11515" width="11.7109375" style="82" bestFit="1" customWidth="1"/>
    <col min="11516" max="11516" width="12.7109375" style="82" bestFit="1" customWidth="1"/>
    <col min="11517" max="11524" width="11.7109375" style="82" bestFit="1" customWidth="1"/>
    <col min="11525" max="11525" width="13" style="82" customWidth="1"/>
    <col min="11526" max="11526" width="12.5703125" style="82" customWidth="1"/>
    <col min="11527" max="11769" width="11.42578125" style="82"/>
    <col min="11770" max="11770" width="25.85546875" style="82" customWidth="1"/>
    <col min="11771" max="11771" width="11.7109375" style="82" bestFit="1" customWidth="1"/>
    <col min="11772" max="11772" width="12.7109375" style="82" bestFit="1" customWidth="1"/>
    <col min="11773" max="11780" width="11.7109375" style="82" bestFit="1" customWidth="1"/>
    <col min="11781" max="11781" width="13" style="82" customWidth="1"/>
    <col min="11782" max="11782" width="12.5703125" style="82" customWidth="1"/>
    <col min="11783" max="12025" width="11.42578125" style="82"/>
    <col min="12026" max="12026" width="25.85546875" style="82" customWidth="1"/>
    <col min="12027" max="12027" width="11.7109375" style="82" bestFit="1" customWidth="1"/>
    <col min="12028" max="12028" width="12.7109375" style="82" bestFit="1" customWidth="1"/>
    <col min="12029" max="12036" width="11.7109375" style="82" bestFit="1" customWidth="1"/>
    <col min="12037" max="12037" width="13" style="82" customWidth="1"/>
    <col min="12038" max="12038" width="12.5703125" style="82" customWidth="1"/>
    <col min="12039" max="12281" width="11.42578125" style="82"/>
    <col min="12282" max="12282" width="25.85546875" style="82" customWidth="1"/>
    <col min="12283" max="12283" width="11.7109375" style="82" bestFit="1" customWidth="1"/>
    <col min="12284" max="12284" width="12.7109375" style="82" bestFit="1" customWidth="1"/>
    <col min="12285" max="12292" width="11.7109375" style="82" bestFit="1" customWidth="1"/>
    <col min="12293" max="12293" width="13" style="82" customWidth="1"/>
    <col min="12294" max="12294" width="12.5703125" style="82" customWidth="1"/>
    <col min="12295" max="12537" width="11.42578125" style="82"/>
    <col min="12538" max="12538" width="25.85546875" style="82" customWidth="1"/>
    <col min="12539" max="12539" width="11.7109375" style="82" bestFit="1" customWidth="1"/>
    <col min="12540" max="12540" width="12.7109375" style="82" bestFit="1" customWidth="1"/>
    <col min="12541" max="12548" width="11.7109375" style="82" bestFit="1" customWidth="1"/>
    <col min="12549" max="12549" width="13" style="82" customWidth="1"/>
    <col min="12550" max="12550" width="12.5703125" style="82" customWidth="1"/>
    <col min="12551" max="12793" width="11.42578125" style="82"/>
    <col min="12794" max="12794" width="25.85546875" style="82" customWidth="1"/>
    <col min="12795" max="12795" width="11.7109375" style="82" bestFit="1" customWidth="1"/>
    <col min="12796" max="12796" width="12.7109375" style="82" bestFit="1" customWidth="1"/>
    <col min="12797" max="12804" width="11.7109375" style="82" bestFit="1" customWidth="1"/>
    <col min="12805" max="12805" width="13" style="82" customWidth="1"/>
    <col min="12806" max="12806" width="12.5703125" style="82" customWidth="1"/>
    <col min="12807" max="13049" width="11.42578125" style="82"/>
    <col min="13050" max="13050" width="25.85546875" style="82" customWidth="1"/>
    <col min="13051" max="13051" width="11.7109375" style="82" bestFit="1" customWidth="1"/>
    <col min="13052" max="13052" width="12.7109375" style="82" bestFit="1" customWidth="1"/>
    <col min="13053" max="13060" width="11.7109375" style="82" bestFit="1" customWidth="1"/>
    <col min="13061" max="13061" width="13" style="82" customWidth="1"/>
    <col min="13062" max="13062" width="12.5703125" style="82" customWidth="1"/>
    <col min="13063" max="13305" width="11.42578125" style="82"/>
    <col min="13306" max="13306" width="25.85546875" style="82" customWidth="1"/>
    <col min="13307" max="13307" width="11.7109375" style="82" bestFit="1" customWidth="1"/>
    <col min="13308" max="13308" width="12.7109375" style="82" bestFit="1" customWidth="1"/>
    <col min="13309" max="13316" width="11.7109375" style="82" bestFit="1" customWidth="1"/>
    <col min="13317" max="13317" width="13" style="82" customWidth="1"/>
    <col min="13318" max="13318" width="12.5703125" style="82" customWidth="1"/>
    <col min="13319" max="13561" width="11.42578125" style="82"/>
    <col min="13562" max="13562" width="25.85546875" style="82" customWidth="1"/>
    <col min="13563" max="13563" width="11.7109375" style="82" bestFit="1" customWidth="1"/>
    <col min="13564" max="13564" width="12.7109375" style="82" bestFit="1" customWidth="1"/>
    <col min="13565" max="13572" width="11.7109375" style="82" bestFit="1" customWidth="1"/>
    <col min="13573" max="13573" width="13" style="82" customWidth="1"/>
    <col min="13574" max="13574" width="12.5703125" style="82" customWidth="1"/>
    <col min="13575" max="13817" width="11.42578125" style="82"/>
    <col min="13818" max="13818" width="25.85546875" style="82" customWidth="1"/>
    <col min="13819" max="13819" width="11.7109375" style="82" bestFit="1" customWidth="1"/>
    <col min="13820" max="13820" width="12.7109375" style="82" bestFit="1" customWidth="1"/>
    <col min="13821" max="13828" width="11.7109375" style="82" bestFit="1" customWidth="1"/>
    <col min="13829" max="13829" width="13" style="82" customWidth="1"/>
    <col min="13830" max="13830" width="12.5703125" style="82" customWidth="1"/>
    <col min="13831" max="14073" width="11.42578125" style="82"/>
    <col min="14074" max="14074" width="25.85546875" style="82" customWidth="1"/>
    <col min="14075" max="14075" width="11.7109375" style="82" bestFit="1" customWidth="1"/>
    <col min="14076" max="14076" width="12.7109375" style="82" bestFit="1" customWidth="1"/>
    <col min="14077" max="14084" width="11.7109375" style="82" bestFit="1" customWidth="1"/>
    <col min="14085" max="14085" width="13" style="82" customWidth="1"/>
    <col min="14086" max="14086" width="12.5703125" style="82" customWidth="1"/>
    <col min="14087" max="14329" width="11.42578125" style="82"/>
    <col min="14330" max="14330" width="25.85546875" style="82" customWidth="1"/>
    <col min="14331" max="14331" width="11.7109375" style="82" bestFit="1" customWidth="1"/>
    <col min="14332" max="14332" width="12.7109375" style="82" bestFit="1" customWidth="1"/>
    <col min="14333" max="14340" width="11.7109375" style="82" bestFit="1" customWidth="1"/>
    <col min="14341" max="14341" width="13" style="82" customWidth="1"/>
    <col min="14342" max="14342" width="12.5703125" style="82" customWidth="1"/>
    <col min="14343" max="14585" width="11.42578125" style="82"/>
    <col min="14586" max="14586" width="25.85546875" style="82" customWidth="1"/>
    <col min="14587" max="14587" width="11.7109375" style="82" bestFit="1" customWidth="1"/>
    <col min="14588" max="14588" width="12.7109375" style="82" bestFit="1" customWidth="1"/>
    <col min="14589" max="14596" width="11.7109375" style="82" bestFit="1" customWidth="1"/>
    <col min="14597" max="14597" width="13" style="82" customWidth="1"/>
    <col min="14598" max="14598" width="12.5703125" style="82" customWidth="1"/>
    <col min="14599" max="14841" width="11.42578125" style="82"/>
    <col min="14842" max="14842" width="25.85546875" style="82" customWidth="1"/>
    <col min="14843" max="14843" width="11.7109375" style="82" bestFit="1" customWidth="1"/>
    <col min="14844" max="14844" width="12.7109375" style="82" bestFit="1" customWidth="1"/>
    <col min="14845" max="14852" width="11.7109375" style="82" bestFit="1" customWidth="1"/>
    <col min="14853" max="14853" width="13" style="82" customWidth="1"/>
    <col min="14854" max="14854" width="12.5703125" style="82" customWidth="1"/>
    <col min="14855" max="15097" width="11.42578125" style="82"/>
    <col min="15098" max="15098" width="25.85546875" style="82" customWidth="1"/>
    <col min="15099" max="15099" width="11.7109375" style="82" bestFit="1" customWidth="1"/>
    <col min="15100" max="15100" width="12.7109375" style="82" bestFit="1" customWidth="1"/>
    <col min="15101" max="15108" width="11.7109375" style="82" bestFit="1" customWidth="1"/>
    <col min="15109" max="15109" width="13" style="82" customWidth="1"/>
    <col min="15110" max="15110" width="12.5703125" style="82" customWidth="1"/>
    <col min="15111" max="15353" width="11.42578125" style="82"/>
    <col min="15354" max="15354" width="25.85546875" style="82" customWidth="1"/>
    <col min="15355" max="15355" width="11.7109375" style="82" bestFit="1" customWidth="1"/>
    <col min="15356" max="15356" width="12.7109375" style="82" bestFit="1" customWidth="1"/>
    <col min="15357" max="15364" width="11.7109375" style="82" bestFit="1" customWidth="1"/>
    <col min="15365" max="15365" width="13" style="82" customWidth="1"/>
    <col min="15366" max="15366" width="12.5703125" style="82" customWidth="1"/>
    <col min="15367" max="15609" width="11.42578125" style="82"/>
    <col min="15610" max="15610" width="25.85546875" style="82" customWidth="1"/>
    <col min="15611" max="15611" width="11.7109375" style="82" bestFit="1" customWidth="1"/>
    <col min="15612" max="15612" width="12.7109375" style="82" bestFit="1" customWidth="1"/>
    <col min="15613" max="15620" width="11.7109375" style="82" bestFit="1" customWidth="1"/>
    <col min="15621" max="15621" width="13" style="82" customWidth="1"/>
    <col min="15622" max="15622" width="12.5703125" style="82" customWidth="1"/>
    <col min="15623" max="15865" width="11.42578125" style="82"/>
    <col min="15866" max="15866" width="25.85546875" style="82" customWidth="1"/>
    <col min="15867" max="15867" width="11.7109375" style="82" bestFit="1" customWidth="1"/>
    <col min="15868" max="15868" width="12.7109375" style="82" bestFit="1" customWidth="1"/>
    <col min="15869" max="15876" width="11.7109375" style="82" bestFit="1" customWidth="1"/>
    <col min="15877" max="15877" width="13" style="82" customWidth="1"/>
    <col min="15878" max="15878" width="12.5703125" style="82" customWidth="1"/>
    <col min="15879" max="16121" width="11.42578125" style="82"/>
    <col min="16122" max="16122" width="25.85546875" style="82" customWidth="1"/>
    <col min="16123" max="16123" width="11.7109375" style="82" bestFit="1" customWidth="1"/>
    <col min="16124" max="16124" width="12.7109375" style="82" bestFit="1" customWidth="1"/>
    <col min="16125" max="16132" width="11.7109375" style="82" bestFit="1" customWidth="1"/>
    <col min="16133" max="16133" width="13" style="82" customWidth="1"/>
    <col min="16134" max="16134" width="12.5703125" style="82" customWidth="1"/>
    <col min="16135" max="16384" width="11.42578125" style="82"/>
  </cols>
  <sheetData>
    <row r="1" spans="1:7" x14ac:dyDescent="0.25">
      <c r="A1" s="346"/>
      <c r="B1" s="346"/>
      <c r="C1" s="346"/>
      <c r="D1" s="346"/>
      <c r="E1" s="346"/>
      <c r="F1" s="346"/>
      <c r="G1" s="346"/>
    </row>
    <row r="2" spans="1:7" x14ac:dyDescent="0.25">
      <c r="A2" s="346" t="s">
        <v>103</v>
      </c>
      <c r="B2" s="346"/>
      <c r="C2" s="346"/>
      <c r="D2" s="346"/>
      <c r="E2" s="346"/>
      <c r="F2" s="346"/>
      <c r="G2" s="346"/>
    </row>
    <row r="3" spans="1:7" s="83" customFormat="1" ht="12.75" customHeight="1" x14ac:dyDescent="0.2">
      <c r="A3" s="347" t="s">
        <v>145</v>
      </c>
      <c r="B3" s="347"/>
      <c r="C3" s="347"/>
      <c r="D3" s="347"/>
      <c r="E3" s="347"/>
      <c r="F3" s="347"/>
      <c r="G3" s="347"/>
    </row>
    <row r="4" spans="1:7" x14ac:dyDescent="0.25">
      <c r="A4" s="346"/>
      <c r="B4" s="346"/>
      <c r="C4" s="346"/>
      <c r="D4" s="346"/>
      <c r="E4" s="346"/>
      <c r="F4" s="346"/>
      <c r="G4" s="346"/>
    </row>
    <row r="5" spans="1:7" s="83" customFormat="1" ht="15" x14ac:dyDescent="0.2">
      <c r="A5" s="157" t="s">
        <v>33</v>
      </c>
      <c r="B5" s="157">
        <v>0</v>
      </c>
      <c r="C5" s="157">
        <f>+B5+1</f>
        <v>1</v>
      </c>
      <c r="D5" s="157">
        <f>+C5+1</f>
        <v>2</v>
      </c>
      <c r="E5" s="157">
        <f>+D5+1</f>
        <v>3</v>
      </c>
      <c r="F5" s="157">
        <f>+E5+1</f>
        <v>4</v>
      </c>
      <c r="G5" s="157">
        <f>+F5+1</f>
        <v>5</v>
      </c>
    </row>
    <row r="6" spans="1:7" s="83" customFormat="1" ht="15" x14ac:dyDescent="0.2">
      <c r="A6" s="157"/>
      <c r="B6" s="157"/>
      <c r="C6" s="157"/>
      <c r="D6" s="157"/>
      <c r="E6" s="157"/>
      <c r="F6" s="157"/>
      <c r="G6" s="157"/>
    </row>
    <row r="7" spans="1:7" s="83" customFormat="1" ht="15" x14ac:dyDescent="0.2">
      <c r="A7" s="85" t="s">
        <v>104</v>
      </c>
      <c r="B7" s="86">
        <v>0</v>
      </c>
      <c r="C7" s="86">
        <f>+B29</f>
        <v>2244999.9000000004</v>
      </c>
      <c r="D7" s="86">
        <f>+C29</f>
        <v>4417751.2104752585</v>
      </c>
      <c r="E7" s="86">
        <f>+D29</f>
        <v>7461877.845830515</v>
      </c>
      <c r="F7" s="86">
        <f>+E29</f>
        <v>14451130.069098696</v>
      </c>
      <c r="G7" s="86">
        <f>+F29</f>
        <v>10631319.6862638</v>
      </c>
    </row>
    <row r="8" spans="1:7" s="83" customFormat="1" ht="15" x14ac:dyDescent="0.2">
      <c r="B8" s="87"/>
      <c r="C8" s="87"/>
      <c r="D8" s="87"/>
      <c r="E8" s="87"/>
      <c r="F8" s="87"/>
      <c r="G8" s="87"/>
    </row>
    <row r="9" spans="1:7" s="83" customFormat="1" ht="15" x14ac:dyDescent="0.2">
      <c r="A9" s="88" t="s">
        <v>105</v>
      </c>
      <c r="B9" s="87"/>
      <c r="C9" s="87"/>
      <c r="D9" s="87"/>
      <c r="E9" s="87"/>
      <c r="F9" s="87"/>
      <c r="G9" s="87"/>
    </row>
    <row r="10" spans="1:7" s="83" customFormat="1" ht="15" x14ac:dyDescent="0.2">
      <c r="B10" s="87"/>
      <c r="C10" s="87"/>
      <c r="D10" s="87"/>
      <c r="E10" s="87"/>
      <c r="F10" s="87"/>
      <c r="G10" s="87"/>
    </row>
    <row r="11" spans="1:7" s="83" customFormat="1" ht="15" x14ac:dyDescent="0.2">
      <c r="A11" s="89" t="s">
        <v>4</v>
      </c>
      <c r="B11" s="98"/>
      <c r="C11" s="98">
        <f>+PRESUPUESTOS!G14</f>
        <v>68627604.166666672</v>
      </c>
      <c r="D11" s="98">
        <f>+PRESUPUESTOS!H14</f>
        <v>88200196.875</v>
      </c>
      <c r="E11" s="98">
        <f>+PRESUPUESTOS!I14</f>
        <v>111132248.0625</v>
      </c>
      <c r="F11" s="98">
        <f>+PRESUPUESTOS!J14</f>
        <v>140026632.55875</v>
      </c>
      <c r="G11" s="98">
        <f>+PRESUPUESTOS!K14</f>
        <v>176433557.02402499</v>
      </c>
    </row>
    <row r="12" spans="1:7" s="83" customFormat="1" ht="15" x14ac:dyDescent="0.2">
      <c r="A12" s="89" t="s">
        <v>117</v>
      </c>
      <c r="B12" s="98"/>
      <c r="C12" s="98"/>
      <c r="D12" s="98">
        <f>+PRESUPUESTOS!G15</f>
        <v>3611979.1666666674</v>
      </c>
      <c r="E12" s="98">
        <f>+PRESUPUESTOS!H15</f>
        <v>4642115.625</v>
      </c>
      <c r="F12" s="98">
        <f>+PRESUPUESTOS!I15</f>
        <v>5849065.6875</v>
      </c>
      <c r="G12" s="98">
        <f>+PRESUPUESTOS!J15</f>
        <v>7369822.7662500013</v>
      </c>
    </row>
    <row r="13" spans="1:7" s="83" customFormat="1" ht="15" x14ac:dyDescent="0.2">
      <c r="A13" s="89" t="s">
        <v>106</v>
      </c>
      <c r="B13" s="98">
        <f>+'Bal. Inicial'!I10</f>
        <v>5000000</v>
      </c>
      <c r="C13" s="98"/>
      <c r="D13" s="98"/>
      <c r="E13" s="98"/>
      <c r="F13" s="98"/>
      <c r="G13" s="98"/>
    </row>
    <row r="14" spans="1:7" s="83" customFormat="1" ht="15" x14ac:dyDescent="0.2">
      <c r="A14" s="89" t="s">
        <v>115</v>
      </c>
      <c r="B14" s="98">
        <f>+'Bal. Inicial'!I19</f>
        <v>9640899</v>
      </c>
      <c r="C14" s="98"/>
      <c r="D14" s="98"/>
      <c r="E14" s="98"/>
      <c r="F14" s="98"/>
      <c r="G14" s="98"/>
    </row>
    <row r="15" spans="1:7" s="83" customFormat="1" ht="15" x14ac:dyDescent="0.2">
      <c r="A15" s="155" t="s">
        <v>107</v>
      </c>
      <c r="B15" s="156">
        <f>SUM(B13:B14)</f>
        <v>14640899</v>
      </c>
      <c r="C15" s="156">
        <f>SUM(C11:C13)</f>
        <v>68627604.166666672</v>
      </c>
      <c r="D15" s="156">
        <f>SUM(D11:D13)</f>
        <v>91812176.041666672</v>
      </c>
      <c r="E15" s="156">
        <f>SUM(E11:E13)</f>
        <v>115774363.6875</v>
      </c>
      <c r="F15" s="156">
        <f>SUM(F11:F13)</f>
        <v>145875698.24625</v>
      </c>
      <c r="G15" s="156">
        <f>SUM(G11:G13)</f>
        <v>183803379.79027501</v>
      </c>
    </row>
    <row r="16" spans="1:7" s="83" customFormat="1" ht="15" x14ac:dyDescent="0.2">
      <c r="A16" s="155" t="s">
        <v>108</v>
      </c>
      <c r="B16" s="156">
        <f>+B15+B7</f>
        <v>14640899</v>
      </c>
      <c r="C16" s="156">
        <f>+C15+C7</f>
        <v>70872604.066666678</v>
      </c>
      <c r="D16" s="156">
        <f t="shared" ref="D16:G16" si="0">+D15+D7</f>
        <v>96229927.252141923</v>
      </c>
      <c r="E16" s="156">
        <f t="shared" si="0"/>
        <v>123236241.53333052</v>
      </c>
      <c r="F16" s="156">
        <f t="shared" si="0"/>
        <v>160326828.31534868</v>
      </c>
      <c r="G16" s="156">
        <f t="shared" si="0"/>
        <v>194434699.47653881</v>
      </c>
    </row>
    <row r="17" spans="1:7" s="83" customFormat="1" ht="15" x14ac:dyDescent="0.2">
      <c r="B17" s="87"/>
      <c r="C17" s="87"/>
      <c r="D17" s="87"/>
      <c r="E17" s="87"/>
      <c r="F17" s="87"/>
      <c r="G17" s="87"/>
    </row>
    <row r="18" spans="1:7" s="83" customFormat="1" ht="15" x14ac:dyDescent="0.2">
      <c r="A18" s="88" t="s">
        <v>109</v>
      </c>
      <c r="B18" s="87"/>
      <c r="C18" s="87"/>
      <c r="D18" s="87"/>
      <c r="E18" s="87"/>
      <c r="F18" s="87"/>
      <c r="G18" s="87"/>
    </row>
    <row r="19" spans="1:7" s="83" customFormat="1" ht="15" x14ac:dyDescent="0.2">
      <c r="B19" s="87"/>
      <c r="C19" s="87"/>
      <c r="D19" s="87"/>
      <c r="E19" s="87"/>
      <c r="F19" s="87"/>
      <c r="G19" s="87"/>
    </row>
    <row r="20" spans="1:7" s="83" customFormat="1" ht="15" x14ac:dyDescent="0.2">
      <c r="A20" s="89" t="s">
        <v>116</v>
      </c>
      <c r="B20" s="98">
        <f>+'Bal. Inicial'!E19</f>
        <v>6329419.0999999996</v>
      </c>
      <c r="C20" s="98"/>
      <c r="D20" s="98">
        <v>1000000</v>
      </c>
      <c r="E20" s="98"/>
      <c r="F20" s="98">
        <v>1000000</v>
      </c>
      <c r="G20" s="98"/>
    </row>
    <row r="21" spans="1:7" s="83" customFormat="1" ht="15" x14ac:dyDescent="0.2">
      <c r="A21" s="89" t="s">
        <v>120</v>
      </c>
      <c r="B21" s="98">
        <f>+'Bal. Inicial'!E10+'Bal. Inicial'!E11</f>
        <v>6066480</v>
      </c>
      <c r="C21" s="98">
        <f>+PRESUPUESTOS!G20</f>
        <v>38220105.600000001</v>
      </c>
      <c r="D21" s="98">
        <f>+PRESUPUESTOS!H20</f>
        <v>54318414.078719996</v>
      </c>
      <c r="E21" s="98">
        <f>+PRESUPUESTOS!I20</f>
        <v>71700306.583910406</v>
      </c>
      <c r="F21" s="98">
        <f>+PRESUPUESTOS!J20</f>
        <v>94644404.690761745</v>
      </c>
      <c r="G21" s="98">
        <f>+PRESUPUESTOS!K20</f>
        <v>120415049.82342698</v>
      </c>
    </row>
    <row r="22" spans="1:7" s="83" customFormat="1" ht="15" x14ac:dyDescent="0.2">
      <c r="A22" s="89" t="s">
        <v>121</v>
      </c>
      <c r="B22" s="98"/>
      <c r="C22" s="98"/>
      <c r="D22" s="98">
        <f>+PRESUPUESTOS!G21</f>
        <v>4246678.4000000004</v>
      </c>
      <c r="E22" s="98">
        <f>+PRESUPUESTOS!H21</f>
        <v>5717727.7977600005</v>
      </c>
      <c r="F22" s="98">
        <f>+PRESUPUESTOS!I21</f>
        <v>7547400.6930432012</v>
      </c>
      <c r="G22" s="98">
        <f>+PRESUPUESTOS!J21</f>
        <v>9962568.9148170259</v>
      </c>
    </row>
    <row r="23" spans="1:7" s="83" customFormat="1" ht="15" x14ac:dyDescent="0.2">
      <c r="A23" s="89" t="s">
        <v>122</v>
      </c>
      <c r="B23" s="98"/>
      <c r="C23" s="98">
        <f>+GyP!B18</f>
        <v>26864193.427999999</v>
      </c>
      <c r="D23" s="98">
        <f>+GyP!C18</f>
        <v>27832403.099399999</v>
      </c>
      <c r="E23" s="98">
        <f>+GyP!D18</f>
        <v>29996523.25437</v>
      </c>
      <c r="F23" s="98">
        <f>+GyP!E18</f>
        <v>39133149.417088501</v>
      </c>
      <c r="G23" s="98">
        <f>+GyP!F18</f>
        <v>42395331.887942925</v>
      </c>
    </row>
    <row r="24" spans="1:7" s="83" customFormat="1" ht="15" x14ac:dyDescent="0.2">
      <c r="A24" s="89" t="s">
        <v>110</v>
      </c>
      <c r="B24" s="98"/>
      <c r="C24" s="98">
        <f>+GyP!B20</f>
        <v>614136.09573620209</v>
      </c>
      <c r="D24" s="98">
        <f>+GyP!C20</f>
        <v>508237.61319247208</v>
      </c>
      <c r="E24" s="98">
        <f>+GyP!D20</f>
        <v>387513.34309262037</v>
      </c>
      <c r="F24" s="98">
        <f>+GyP!E20</f>
        <v>249887.67517878933</v>
      </c>
      <c r="G24" s="98">
        <f>+GyP!F20</f>
        <v>92994.413757022223</v>
      </c>
    </row>
    <row r="25" spans="1:7" s="83" customFormat="1" ht="15" x14ac:dyDescent="0.2">
      <c r="A25" s="89" t="s">
        <v>111</v>
      </c>
      <c r="B25" s="98"/>
      <c r="C25" s="98">
        <f>+Amort!K8</f>
        <v>756417.73245521914</v>
      </c>
      <c r="D25" s="98">
        <f>+Amort!K9</f>
        <v>862316.21499894897</v>
      </c>
      <c r="E25" s="98">
        <f>+Amort!K10</f>
        <v>983040.48509880062</v>
      </c>
      <c r="F25" s="98">
        <f>+Amort!K11</f>
        <v>1120666.1530126317</v>
      </c>
      <c r="G25" s="98">
        <f>+Amort!K12</f>
        <v>1277559.4144343988</v>
      </c>
    </row>
    <row r="26" spans="1:7" s="83" customFormat="1" ht="15" x14ac:dyDescent="0.2">
      <c r="A26" s="89" t="s">
        <v>123</v>
      </c>
      <c r="B26" s="98"/>
      <c r="C26" s="98"/>
      <c r="D26" s="98">
        <f>+GyP!B22</f>
        <v>0</v>
      </c>
      <c r="E26" s="98">
        <f>+GyP!C22</f>
        <v>0</v>
      </c>
      <c r="F26" s="98">
        <f>+GyP!D22</f>
        <v>0</v>
      </c>
      <c r="G26" s="98">
        <f>+GyP!E22</f>
        <v>2684073.3070599888</v>
      </c>
    </row>
    <row r="27" spans="1:7" s="83" customFormat="1" ht="15" x14ac:dyDescent="0.2">
      <c r="A27" s="89" t="s">
        <v>171</v>
      </c>
      <c r="B27" s="98"/>
      <c r="C27" s="98"/>
      <c r="D27" s="98">
        <v>0</v>
      </c>
      <c r="E27" s="98"/>
      <c r="F27" s="98">
        <v>6000000</v>
      </c>
      <c r="G27" s="98">
        <v>6000000</v>
      </c>
    </row>
    <row r="28" spans="1:7" s="83" customFormat="1" ht="27.75" customHeight="1" x14ac:dyDescent="0.2">
      <c r="A28" s="153" t="s">
        <v>112</v>
      </c>
      <c r="B28" s="154">
        <f>SUM(B20:B27)</f>
        <v>12395899.1</v>
      </c>
      <c r="C28" s="154">
        <f>SUM(C20:C27)</f>
        <v>66454852.856191419</v>
      </c>
      <c r="D28" s="154">
        <f t="shared" ref="D28" si="1">SUM(D20:D27)</f>
        <v>88768049.406311408</v>
      </c>
      <c r="E28" s="154">
        <f>SUM(E20:E27)</f>
        <v>108785111.46423182</v>
      </c>
      <c r="F28" s="154">
        <f>SUM(F20:F27)</f>
        <v>149695508.62908489</v>
      </c>
      <c r="G28" s="154">
        <f>SUM(G21:G27)</f>
        <v>182827577.76143834</v>
      </c>
    </row>
    <row r="29" spans="1:7" s="83" customFormat="1" ht="16.5" customHeight="1" x14ac:dyDescent="0.2">
      <c r="A29" s="155" t="s">
        <v>113</v>
      </c>
      <c r="B29" s="156">
        <f>+B16-B28</f>
        <v>2244999.9000000004</v>
      </c>
      <c r="C29" s="156">
        <f>+C16-C28</f>
        <v>4417751.2104752585</v>
      </c>
      <c r="D29" s="156">
        <f t="shared" ref="D29:G29" si="2">+D16-D28</f>
        <v>7461877.845830515</v>
      </c>
      <c r="E29" s="156">
        <f t="shared" si="2"/>
        <v>14451130.069098696</v>
      </c>
      <c r="F29" s="156">
        <f t="shared" si="2"/>
        <v>10631319.6862638</v>
      </c>
      <c r="G29" s="156">
        <f t="shared" si="2"/>
        <v>11607121.715100467</v>
      </c>
    </row>
    <row r="30" spans="1:7" s="83" customFormat="1" ht="15" x14ac:dyDescent="0.2">
      <c r="B30" s="87"/>
      <c r="C30" s="87"/>
      <c r="D30" s="87"/>
      <c r="E30" s="87"/>
      <c r="F30" s="87"/>
      <c r="G30" s="87"/>
    </row>
    <row r="31" spans="1:7" x14ac:dyDescent="0.25">
      <c r="B31" s="90"/>
      <c r="C31" s="91"/>
      <c r="D31" s="92"/>
      <c r="E31" s="91"/>
      <c r="F31" s="91"/>
      <c r="G31" s="91"/>
    </row>
    <row r="32" spans="1:7" x14ac:dyDescent="0.25">
      <c r="B32" s="90"/>
      <c r="C32" s="87"/>
      <c r="D32" s="87"/>
      <c r="E32" s="91"/>
      <c r="F32" s="91"/>
      <c r="G32" s="91"/>
    </row>
    <row r="33" spans="1:7" x14ac:dyDescent="0.25">
      <c r="B33" s="90"/>
      <c r="C33" s="100"/>
      <c r="D33" s="87"/>
      <c r="E33" s="91"/>
      <c r="F33" s="91"/>
      <c r="G33" s="91"/>
    </row>
    <row r="34" spans="1:7" x14ac:dyDescent="0.25">
      <c r="B34" s="90"/>
      <c r="C34" s="87"/>
      <c r="D34" s="87"/>
      <c r="E34" s="91"/>
      <c r="F34" s="91"/>
      <c r="G34" s="91"/>
    </row>
    <row r="35" spans="1:7" x14ac:dyDescent="0.25">
      <c r="B35" s="90"/>
      <c r="C35" s="87"/>
      <c r="D35" s="87"/>
      <c r="E35" s="91"/>
      <c r="F35" s="91"/>
      <c r="G35" s="91"/>
    </row>
    <row r="36" spans="1:7" x14ac:dyDescent="0.25">
      <c r="B36" s="91"/>
      <c r="C36" s="92"/>
      <c r="D36" s="92"/>
      <c r="E36" s="92"/>
      <c r="F36" s="92"/>
      <c r="G36" s="92"/>
    </row>
    <row r="37" spans="1:7" x14ac:dyDescent="0.25">
      <c r="B37" s="91"/>
      <c r="C37" s="92"/>
      <c r="D37" s="92"/>
      <c r="E37" s="92"/>
      <c r="F37" s="92"/>
      <c r="G37" s="92"/>
    </row>
    <row r="38" spans="1:7" s="83" customFormat="1" ht="15" x14ac:dyDescent="0.2">
      <c r="A38" s="93" t="s">
        <v>114</v>
      </c>
      <c r="B38" s="94"/>
      <c r="D38" s="84"/>
      <c r="E38" s="84"/>
      <c r="F38" s="95"/>
    </row>
    <row r="39" spans="1:7" x14ac:dyDescent="0.25">
      <c r="C39" s="97"/>
      <c r="D39" s="97"/>
      <c r="E39" s="97"/>
      <c r="F39" s="97"/>
      <c r="G39" s="97"/>
    </row>
    <row r="40" spans="1:7" x14ac:dyDescent="0.25">
      <c r="C40" s="97"/>
      <c r="D40" s="97"/>
      <c r="E40" s="97"/>
      <c r="F40" s="97"/>
      <c r="G40" s="97"/>
    </row>
    <row r="41" spans="1:7" x14ac:dyDescent="0.25">
      <c r="C41" s="97"/>
      <c r="D41" s="97"/>
      <c r="E41" s="97"/>
      <c r="F41" s="97"/>
      <c r="G41" s="97"/>
    </row>
    <row r="42" spans="1:7" x14ac:dyDescent="0.25">
      <c r="C42" s="97"/>
      <c r="D42" s="97"/>
      <c r="E42" s="97"/>
      <c r="F42" s="97"/>
      <c r="G42" s="97"/>
    </row>
    <row r="43" spans="1:7" x14ac:dyDescent="0.25">
      <c r="C43" s="97"/>
      <c r="D43" s="97"/>
      <c r="E43" s="97"/>
      <c r="F43" s="97"/>
      <c r="G43" s="97"/>
    </row>
    <row r="44" spans="1:7" x14ac:dyDescent="0.25">
      <c r="C44" s="97"/>
      <c r="D44" s="97"/>
      <c r="E44" s="97"/>
      <c r="F44" s="97"/>
      <c r="G44" s="97"/>
    </row>
    <row r="45" spans="1:7" x14ac:dyDescent="0.25">
      <c r="C45" s="97"/>
      <c r="D45" s="97"/>
      <c r="E45" s="97"/>
      <c r="F45" s="97"/>
      <c r="G45" s="97"/>
    </row>
    <row r="46" spans="1:7" x14ac:dyDescent="0.25">
      <c r="C46" s="97"/>
      <c r="D46" s="97"/>
      <c r="E46" s="97"/>
      <c r="F46" s="97"/>
      <c r="G46" s="97"/>
    </row>
    <row r="47" spans="1:7" x14ac:dyDescent="0.25"/>
    <row r="48" spans="1:7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mergeCells count="4">
    <mergeCell ref="A1:G1"/>
    <mergeCell ref="A2:G2"/>
    <mergeCell ref="A3:G3"/>
    <mergeCell ref="A4:G4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7"/>
  <sheetViews>
    <sheetView workbookViewId="0">
      <selection activeCell="A2" sqref="A2:G20"/>
    </sheetView>
  </sheetViews>
  <sheetFormatPr baseColWidth="10" defaultRowHeight="15" x14ac:dyDescent="0.25"/>
  <cols>
    <col min="2" max="2" width="38.85546875" bestFit="1" customWidth="1"/>
    <col min="3" max="3" width="17.42578125" bestFit="1" customWidth="1"/>
    <col min="4" max="7" width="19" bestFit="1" customWidth="1"/>
    <col min="10" max="10" width="14.28515625" customWidth="1"/>
  </cols>
  <sheetData>
    <row r="2" spans="1:7" x14ac:dyDescent="0.25">
      <c r="B2" s="273" t="s">
        <v>153</v>
      </c>
      <c r="C2" s="273"/>
      <c r="D2" s="273"/>
      <c r="E2" s="273"/>
      <c r="F2" s="273"/>
      <c r="G2" s="273"/>
    </row>
    <row r="4" spans="1:7" x14ac:dyDescent="0.25">
      <c r="B4" s="348" t="s">
        <v>141</v>
      </c>
      <c r="C4" s="348"/>
      <c r="D4" s="348"/>
      <c r="E4" s="348"/>
      <c r="F4" s="348"/>
      <c r="G4" s="348"/>
    </row>
    <row r="5" spans="1:7" x14ac:dyDescent="0.25">
      <c r="B5" s="213" t="s">
        <v>142</v>
      </c>
      <c r="C5" s="214" t="s">
        <v>89</v>
      </c>
      <c r="D5" s="214" t="s">
        <v>90</v>
      </c>
      <c r="E5" s="214" t="s">
        <v>91</v>
      </c>
      <c r="F5" s="214" t="s">
        <v>92</v>
      </c>
      <c r="G5" s="214" t="s">
        <v>93</v>
      </c>
    </row>
    <row r="6" spans="1:7" x14ac:dyDescent="0.25">
      <c r="B6" s="4" t="s">
        <v>136</v>
      </c>
      <c r="C6" s="215">
        <f>+PRESUPUESTOS!G13</f>
        <v>72239583.333333343</v>
      </c>
      <c r="D6" s="215">
        <f>+PRESUPUESTOS!H13</f>
        <v>92842312.5</v>
      </c>
      <c r="E6" s="215">
        <f>+PRESUPUESTOS!I13</f>
        <v>116981313.75</v>
      </c>
      <c r="F6" s="215">
        <f>+PRESUPUESTOS!J13</f>
        <v>147396455.32500002</v>
      </c>
      <c r="G6" s="215">
        <f>+PRESUPUESTOS!K13</f>
        <v>185719533.70950001</v>
      </c>
    </row>
    <row r="7" spans="1:7" x14ac:dyDescent="0.25">
      <c r="B7" s="4" t="s">
        <v>137</v>
      </c>
      <c r="C7" s="215">
        <f>+GyP!B23</f>
        <v>2294469.809597142</v>
      </c>
      <c r="D7" s="215">
        <f>+GyP!C23</f>
        <v>7324393.8098075287</v>
      </c>
      <c r="E7" s="215">
        <f>+GyP!D23</f>
        <v>11123270.222105373</v>
      </c>
      <c r="F7" s="215">
        <f>+GyP!E23</f>
        <v>5703655.7775024753</v>
      </c>
      <c r="G7" s="215">
        <f>+GyP!F23</f>
        <v>11205395.900535261</v>
      </c>
    </row>
    <row r="8" spans="1:7" x14ac:dyDescent="0.25">
      <c r="B8" s="4" t="s">
        <v>138</v>
      </c>
      <c r="C8" s="215">
        <f>+BALANCE!G19</f>
        <v>20425629.477141924</v>
      </c>
      <c r="D8" s="215">
        <f>+BALANCE!H19</f>
        <v>25499892.570830517</v>
      </c>
      <c r="E8" s="215">
        <f>+BALANCE!I19</f>
        <v>33696094.856598698</v>
      </c>
      <c r="F8" s="215">
        <f>+BALANCE!J19</f>
        <v>38397041.552513801</v>
      </c>
      <c r="G8" s="215">
        <f>+BALANCE!K19</f>
        <v>47288997.500575468</v>
      </c>
    </row>
    <row r="9" spans="1:7" x14ac:dyDescent="0.25">
      <c r="B9" s="4" t="s">
        <v>139</v>
      </c>
      <c r="C9" s="215">
        <f>+BALANCE!G26</f>
        <v>8490260.6675447822</v>
      </c>
      <c r="D9" s="215">
        <f>+BALANCE!H26</f>
        <v>9098993.8503058329</v>
      </c>
      <c r="E9" s="215">
        <f>+BALANCE!I26</f>
        <v>9945626.2604902331</v>
      </c>
      <c r="F9" s="215">
        <f>+BALANCE!J26</f>
        <v>13924201.636311414</v>
      </c>
      <c r="G9" s="215">
        <f>+BALANCE!K26</f>
        <v>17948395.885070831</v>
      </c>
    </row>
    <row r="10" spans="1:7" x14ac:dyDescent="0.25">
      <c r="B10" s="4" t="s">
        <v>140</v>
      </c>
      <c r="C10" s="215">
        <f>+BALANCE!G32</f>
        <v>11935368.809597142</v>
      </c>
      <c r="D10" s="215">
        <f>+BALANCE!H32</f>
        <v>19259762.61940467</v>
      </c>
      <c r="E10" s="215">
        <f>+BALANCE!I32</f>
        <v>30383032.841510043</v>
      </c>
      <c r="F10" s="215">
        <f>+BALANCE!J32</f>
        <v>36086688.61901252</v>
      </c>
      <c r="G10" s="215">
        <f>+BALANCE!K32</f>
        <v>47292084.519547783</v>
      </c>
    </row>
    <row r="11" spans="1:7" x14ac:dyDescent="0.25">
      <c r="B11" s="21"/>
      <c r="C11" s="214" t="s">
        <v>89</v>
      </c>
      <c r="D11" s="214" t="s">
        <v>90</v>
      </c>
      <c r="E11" s="214" t="s">
        <v>91</v>
      </c>
      <c r="F11" s="214" t="s">
        <v>92</v>
      </c>
      <c r="G11" s="214" t="s">
        <v>93</v>
      </c>
    </row>
    <row r="12" spans="1:7" x14ac:dyDescent="0.25">
      <c r="B12" s="221" t="s">
        <v>212</v>
      </c>
      <c r="C12" s="222">
        <f>+C7/C10</f>
        <v>0.19224121568427577</v>
      </c>
      <c r="D12" s="222">
        <f t="shared" ref="D12:G12" si="0">+D7/D10</f>
        <v>0.38029512380531771</v>
      </c>
      <c r="E12" s="222">
        <f t="shared" si="0"/>
        <v>0.36610137902061207</v>
      </c>
      <c r="F12" s="222">
        <f t="shared" si="0"/>
        <v>0.15805428527175711</v>
      </c>
      <c r="G12" s="222">
        <f t="shared" si="0"/>
        <v>0.23694019864790705</v>
      </c>
    </row>
    <row r="13" spans="1:7" x14ac:dyDescent="0.25">
      <c r="B13" s="221" t="s">
        <v>213</v>
      </c>
      <c r="C13" s="222">
        <f>+C7/C8</f>
        <v>0.11233288120519642</v>
      </c>
      <c r="D13" s="222">
        <f t="shared" ref="D13:F13" si="1">+D7/D8</f>
        <v>0.2872323398799706</v>
      </c>
      <c r="E13" s="222">
        <f t="shared" si="1"/>
        <v>0.33010561815673145</v>
      </c>
      <c r="F13" s="222">
        <f t="shared" si="1"/>
        <v>0.14854414681146352</v>
      </c>
      <c r="G13" s="222">
        <f>+G7/G8</f>
        <v>0.23695566607008112</v>
      </c>
    </row>
    <row r="14" spans="1:7" x14ac:dyDescent="0.25">
      <c r="A14" s="349" t="s">
        <v>203</v>
      </c>
      <c r="B14" s="349"/>
      <c r="C14" s="349"/>
      <c r="D14" s="349"/>
      <c r="E14" s="349"/>
      <c r="F14" s="349"/>
      <c r="G14" s="349"/>
    </row>
    <row r="15" spans="1:7" x14ac:dyDescent="0.25">
      <c r="A15" s="168" t="s">
        <v>204</v>
      </c>
      <c r="B15" s="168" t="s">
        <v>142</v>
      </c>
      <c r="C15" s="168" t="s">
        <v>89</v>
      </c>
      <c r="D15" s="168" t="s">
        <v>90</v>
      </c>
      <c r="E15" s="168" t="s">
        <v>91</v>
      </c>
      <c r="F15" s="168" t="s">
        <v>92</v>
      </c>
      <c r="G15" s="168" t="s">
        <v>93</v>
      </c>
    </row>
    <row r="16" spans="1:7" ht="15.75" thickBot="1" x14ac:dyDescent="0.3">
      <c r="A16" s="350" t="s">
        <v>205</v>
      </c>
      <c r="B16" s="216" t="s">
        <v>206</v>
      </c>
      <c r="C16" s="219">
        <f>+BALANCE!G11/BALANCE!G26</f>
        <v>1.6602800466452905</v>
      </c>
      <c r="D16" s="219">
        <f>+BALANCE!H11/BALANCE!H26</f>
        <v>1.9969761239282269</v>
      </c>
      <c r="E16" s="219">
        <f>+BALANCE!I11/BALANCE!I26</f>
        <v>2.6510825026014047</v>
      </c>
      <c r="F16" s="219">
        <f>+BALANCE!J11/BALANCE!J26</f>
        <v>2.1593785581288705</v>
      </c>
      <c r="G16" s="219">
        <f>+BALANCE!K11/BALANCE!K26</f>
        <v>2.1706440313689193</v>
      </c>
    </row>
    <row r="17" spans="1:7" ht="15.75" thickBot="1" x14ac:dyDescent="0.3">
      <c r="A17" s="351"/>
      <c r="B17" s="217" t="s">
        <v>207</v>
      </c>
      <c r="C17" s="220">
        <f>+(BALANCE!G11-BALANCE!G9)/BALANCE!G26</f>
        <v>1.0576507281417413</v>
      </c>
      <c r="D17" s="220">
        <f>+(BALANCE!H11-BALANCE!H9)/BALANCE!H26</f>
        <v>1.4346634018652236</v>
      </c>
      <c r="E17" s="220">
        <f>+(BALANCE!I11-BALANCE!I9)/BALANCE!I26</f>
        <v>2.1366372715026238</v>
      </c>
      <c r="F17" s="220">
        <f>+(BALANCE!J11-BALANCE!J9)/BALANCE!J26</f>
        <v>1.7919262521627397</v>
      </c>
      <c r="G17" s="220">
        <f>+(BALANCE!K11-BALANCE!K9)/BALANCE!K26</f>
        <v>1.8855778877000133</v>
      </c>
    </row>
    <row r="18" spans="1:7" ht="15.75" thickBot="1" x14ac:dyDescent="0.3">
      <c r="A18" s="351" t="s">
        <v>208</v>
      </c>
      <c r="B18" s="217" t="s">
        <v>209</v>
      </c>
      <c r="C18" s="218">
        <f>+BALANCE!G26/BALANCE!G19</f>
        <v>0.41566702642119946</v>
      </c>
      <c r="D18" s="218">
        <f>+BALANCE!H26/BALANCE!H19</f>
        <v>0.356824791517523</v>
      </c>
      <c r="E18" s="218">
        <f>+BALANCE!I26/BALANCE!I19</f>
        <v>0.295156643605619</v>
      </c>
      <c r="F18" s="218">
        <f>+BALANCE!J26/BALANCE!J19</f>
        <v>0.3626373562470418</v>
      </c>
      <c r="G18" s="218">
        <f>+BALANCE!K26/BALANCE!K19</f>
        <v>0.37954697358201372</v>
      </c>
    </row>
    <row r="19" spans="1:7" ht="15.75" thickBot="1" x14ac:dyDescent="0.3">
      <c r="A19" s="351"/>
      <c r="B19" s="217" t="s">
        <v>210</v>
      </c>
      <c r="C19" s="218">
        <f>+BALANCE!G26/BALANCE!G34</f>
        <v>0.41566702642119946</v>
      </c>
      <c r="D19" s="218">
        <f>+BALANCE!H26/BALANCE!H34</f>
        <v>0.32085306208769454</v>
      </c>
      <c r="E19" s="218">
        <f>+BALANCE!I26/BALANCE!I34</f>
        <v>0.24661435519925176</v>
      </c>
      <c r="F19" s="218">
        <f>+BALANCE!J26/BALANCE!J34</f>
        <v>0.2784233906899729</v>
      </c>
      <c r="G19" s="218">
        <f>+BALANCE!K26/BALANCE!K34</f>
        <v>0.27511133844747404</v>
      </c>
    </row>
    <row r="20" spans="1:7" ht="15.75" thickBot="1" x14ac:dyDescent="0.3">
      <c r="A20" s="351"/>
      <c r="B20" s="217" t="s">
        <v>211</v>
      </c>
      <c r="C20" s="218">
        <f>+BALANCE!G26/BALANCE!G18</f>
        <v>1.3413965062836151</v>
      </c>
      <c r="D20" s="218">
        <f>+BALANCE!H26/BALANCE!H18</f>
        <v>1.2414345156365576</v>
      </c>
      <c r="E20" s="218">
        <f>+BALANCE!I26/BALANCE!I18</f>
        <v>1.3569460450815582</v>
      </c>
      <c r="F20" s="218">
        <f>+BALANCE!J26/BALANCE!J18</f>
        <v>1.6716894022431186</v>
      </c>
      <c r="G20" s="218">
        <f>+BALANCE!K26/BALANCE!K18</f>
        <v>2.1548196422330137</v>
      </c>
    </row>
    <row r="27" spans="1:7" ht="18" customHeight="1" x14ac:dyDescent="0.25"/>
  </sheetData>
  <mergeCells count="5">
    <mergeCell ref="B2:G2"/>
    <mergeCell ref="B4:G4"/>
    <mergeCell ref="A14:G14"/>
    <mergeCell ref="A16:A17"/>
    <mergeCell ref="A18:A2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51"/>
  <sheetViews>
    <sheetView topLeftCell="A15" zoomScale="70" zoomScaleNormal="70" workbookViewId="0">
      <selection activeCell="D35" sqref="D35"/>
    </sheetView>
  </sheetViews>
  <sheetFormatPr baseColWidth="10" defaultRowHeight="13.5" x14ac:dyDescent="0.25"/>
  <cols>
    <col min="1" max="2" width="11.42578125" style="182"/>
    <col min="3" max="3" width="28.140625" style="182" bestFit="1" customWidth="1"/>
    <col min="4" max="4" width="18.28515625" style="182" customWidth="1"/>
    <col min="5" max="5" width="18" style="182" bestFit="1" customWidth="1"/>
    <col min="6" max="6" width="22.7109375" style="182" bestFit="1" customWidth="1"/>
    <col min="7" max="7" width="21.42578125" style="182" bestFit="1" customWidth="1"/>
    <col min="8" max="8" width="22.7109375" style="182" bestFit="1" customWidth="1"/>
    <col min="9" max="12" width="21.42578125" style="182" bestFit="1" customWidth="1"/>
    <col min="13" max="258" width="11.42578125" style="182"/>
    <col min="259" max="259" width="15.5703125" style="182" customWidth="1"/>
    <col min="260" max="260" width="18.28515625" style="182" customWidth="1"/>
    <col min="261" max="261" width="22.140625" style="182" customWidth="1"/>
    <col min="262" max="263" width="19.28515625" style="182" customWidth="1"/>
    <col min="264" max="264" width="17.42578125" style="182" customWidth="1"/>
    <col min="265" max="265" width="18.42578125" style="182" customWidth="1"/>
    <col min="266" max="266" width="19.85546875" style="182" customWidth="1"/>
    <col min="267" max="267" width="22.140625" style="182" customWidth="1"/>
    <col min="268" max="268" width="18.140625" style="182" bestFit="1" customWidth="1"/>
    <col min="269" max="514" width="11.42578125" style="182"/>
    <col min="515" max="515" width="15.5703125" style="182" customWidth="1"/>
    <col min="516" max="516" width="18.28515625" style="182" customWidth="1"/>
    <col min="517" max="517" width="22.140625" style="182" customWidth="1"/>
    <col min="518" max="519" width="19.28515625" style="182" customWidth="1"/>
    <col min="520" max="520" width="17.42578125" style="182" customWidth="1"/>
    <col min="521" max="521" width="18.42578125" style="182" customWidth="1"/>
    <col min="522" max="522" width="19.85546875" style="182" customWidth="1"/>
    <col min="523" max="523" width="22.140625" style="182" customWidth="1"/>
    <col min="524" max="524" width="18.140625" style="182" bestFit="1" customWidth="1"/>
    <col min="525" max="770" width="11.42578125" style="182"/>
    <col min="771" max="771" width="15.5703125" style="182" customWidth="1"/>
    <col min="772" max="772" width="18.28515625" style="182" customWidth="1"/>
    <col min="773" max="773" width="22.140625" style="182" customWidth="1"/>
    <col min="774" max="775" width="19.28515625" style="182" customWidth="1"/>
    <col min="776" max="776" width="17.42578125" style="182" customWidth="1"/>
    <col min="777" max="777" width="18.42578125" style="182" customWidth="1"/>
    <col min="778" max="778" width="19.85546875" style="182" customWidth="1"/>
    <col min="779" max="779" width="22.140625" style="182" customWidth="1"/>
    <col min="780" max="780" width="18.140625" style="182" bestFit="1" customWidth="1"/>
    <col min="781" max="1026" width="11.42578125" style="182"/>
    <col min="1027" max="1027" width="15.5703125" style="182" customWidth="1"/>
    <col min="1028" max="1028" width="18.28515625" style="182" customWidth="1"/>
    <col min="1029" max="1029" width="22.140625" style="182" customWidth="1"/>
    <col min="1030" max="1031" width="19.28515625" style="182" customWidth="1"/>
    <col min="1032" max="1032" width="17.42578125" style="182" customWidth="1"/>
    <col min="1033" max="1033" width="18.42578125" style="182" customWidth="1"/>
    <col min="1034" max="1034" width="19.85546875" style="182" customWidth="1"/>
    <col min="1035" max="1035" width="22.140625" style="182" customWidth="1"/>
    <col min="1036" max="1036" width="18.140625" style="182" bestFit="1" customWidth="1"/>
    <col min="1037" max="1282" width="11.42578125" style="182"/>
    <col min="1283" max="1283" width="15.5703125" style="182" customWidth="1"/>
    <col min="1284" max="1284" width="18.28515625" style="182" customWidth="1"/>
    <col min="1285" max="1285" width="22.140625" style="182" customWidth="1"/>
    <col min="1286" max="1287" width="19.28515625" style="182" customWidth="1"/>
    <col min="1288" max="1288" width="17.42578125" style="182" customWidth="1"/>
    <col min="1289" max="1289" width="18.42578125" style="182" customWidth="1"/>
    <col min="1290" max="1290" width="19.85546875" style="182" customWidth="1"/>
    <col min="1291" max="1291" width="22.140625" style="182" customWidth="1"/>
    <col min="1292" max="1292" width="18.140625" style="182" bestFit="1" customWidth="1"/>
    <col min="1293" max="1538" width="11.42578125" style="182"/>
    <col min="1539" max="1539" width="15.5703125" style="182" customWidth="1"/>
    <col min="1540" max="1540" width="18.28515625" style="182" customWidth="1"/>
    <col min="1541" max="1541" width="22.140625" style="182" customWidth="1"/>
    <col min="1542" max="1543" width="19.28515625" style="182" customWidth="1"/>
    <col min="1544" max="1544" width="17.42578125" style="182" customWidth="1"/>
    <col min="1545" max="1545" width="18.42578125" style="182" customWidth="1"/>
    <col min="1546" max="1546" width="19.85546875" style="182" customWidth="1"/>
    <col min="1547" max="1547" width="22.140625" style="182" customWidth="1"/>
    <col min="1548" max="1548" width="18.140625" style="182" bestFit="1" customWidth="1"/>
    <col min="1549" max="1794" width="11.42578125" style="182"/>
    <col min="1795" max="1795" width="15.5703125" style="182" customWidth="1"/>
    <col min="1796" max="1796" width="18.28515625" style="182" customWidth="1"/>
    <col min="1797" max="1797" width="22.140625" style="182" customWidth="1"/>
    <col min="1798" max="1799" width="19.28515625" style="182" customWidth="1"/>
    <col min="1800" max="1800" width="17.42578125" style="182" customWidth="1"/>
    <col min="1801" max="1801" width="18.42578125" style="182" customWidth="1"/>
    <col min="1802" max="1802" width="19.85546875" style="182" customWidth="1"/>
    <col min="1803" max="1803" width="22.140625" style="182" customWidth="1"/>
    <col min="1804" max="1804" width="18.140625" style="182" bestFit="1" customWidth="1"/>
    <col min="1805" max="2050" width="11.42578125" style="182"/>
    <col min="2051" max="2051" width="15.5703125" style="182" customWidth="1"/>
    <col min="2052" max="2052" width="18.28515625" style="182" customWidth="1"/>
    <col min="2053" max="2053" width="22.140625" style="182" customWidth="1"/>
    <col min="2054" max="2055" width="19.28515625" style="182" customWidth="1"/>
    <col min="2056" max="2056" width="17.42578125" style="182" customWidth="1"/>
    <col min="2057" max="2057" width="18.42578125" style="182" customWidth="1"/>
    <col min="2058" max="2058" width="19.85546875" style="182" customWidth="1"/>
    <col min="2059" max="2059" width="22.140625" style="182" customWidth="1"/>
    <col min="2060" max="2060" width="18.140625" style="182" bestFit="1" customWidth="1"/>
    <col min="2061" max="2306" width="11.42578125" style="182"/>
    <col min="2307" max="2307" width="15.5703125" style="182" customWidth="1"/>
    <col min="2308" max="2308" width="18.28515625" style="182" customWidth="1"/>
    <col min="2309" max="2309" width="22.140625" style="182" customWidth="1"/>
    <col min="2310" max="2311" width="19.28515625" style="182" customWidth="1"/>
    <col min="2312" max="2312" width="17.42578125" style="182" customWidth="1"/>
    <col min="2313" max="2313" width="18.42578125" style="182" customWidth="1"/>
    <col min="2314" max="2314" width="19.85546875" style="182" customWidth="1"/>
    <col min="2315" max="2315" width="22.140625" style="182" customWidth="1"/>
    <col min="2316" max="2316" width="18.140625" style="182" bestFit="1" customWidth="1"/>
    <col min="2317" max="2562" width="11.42578125" style="182"/>
    <col min="2563" max="2563" width="15.5703125" style="182" customWidth="1"/>
    <col min="2564" max="2564" width="18.28515625" style="182" customWidth="1"/>
    <col min="2565" max="2565" width="22.140625" style="182" customWidth="1"/>
    <col min="2566" max="2567" width="19.28515625" style="182" customWidth="1"/>
    <col min="2568" max="2568" width="17.42578125" style="182" customWidth="1"/>
    <col min="2569" max="2569" width="18.42578125" style="182" customWidth="1"/>
    <col min="2570" max="2570" width="19.85546875" style="182" customWidth="1"/>
    <col min="2571" max="2571" width="22.140625" style="182" customWidth="1"/>
    <col min="2572" max="2572" width="18.140625" style="182" bestFit="1" customWidth="1"/>
    <col min="2573" max="2818" width="11.42578125" style="182"/>
    <col min="2819" max="2819" width="15.5703125" style="182" customWidth="1"/>
    <col min="2820" max="2820" width="18.28515625" style="182" customWidth="1"/>
    <col min="2821" max="2821" width="22.140625" style="182" customWidth="1"/>
    <col min="2822" max="2823" width="19.28515625" style="182" customWidth="1"/>
    <col min="2824" max="2824" width="17.42578125" style="182" customWidth="1"/>
    <col min="2825" max="2825" width="18.42578125" style="182" customWidth="1"/>
    <col min="2826" max="2826" width="19.85546875" style="182" customWidth="1"/>
    <col min="2827" max="2827" width="22.140625" style="182" customWidth="1"/>
    <col min="2828" max="2828" width="18.140625" style="182" bestFit="1" customWidth="1"/>
    <col min="2829" max="3074" width="11.42578125" style="182"/>
    <col min="3075" max="3075" width="15.5703125" style="182" customWidth="1"/>
    <col min="3076" max="3076" width="18.28515625" style="182" customWidth="1"/>
    <col min="3077" max="3077" width="22.140625" style="182" customWidth="1"/>
    <col min="3078" max="3079" width="19.28515625" style="182" customWidth="1"/>
    <col min="3080" max="3080" width="17.42578125" style="182" customWidth="1"/>
    <col min="3081" max="3081" width="18.42578125" style="182" customWidth="1"/>
    <col min="3082" max="3082" width="19.85546875" style="182" customWidth="1"/>
    <col min="3083" max="3083" width="22.140625" style="182" customWidth="1"/>
    <col min="3084" max="3084" width="18.140625" style="182" bestFit="1" customWidth="1"/>
    <col min="3085" max="3330" width="11.42578125" style="182"/>
    <col min="3331" max="3331" width="15.5703125" style="182" customWidth="1"/>
    <col min="3332" max="3332" width="18.28515625" style="182" customWidth="1"/>
    <col min="3333" max="3333" width="22.140625" style="182" customWidth="1"/>
    <col min="3334" max="3335" width="19.28515625" style="182" customWidth="1"/>
    <col min="3336" max="3336" width="17.42578125" style="182" customWidth="1"/>
    <col min="3337" max="3337" width="18.42578125" style="182" customWidth="1"/>
    <col min="3338" max="3338" width="19.85546875" style="182" customWidth="1"/>
    <col min="3339" max="3339" width="22.140625" style="182" customWidth="1"/>
    <col min="3340" max="3340" width="18.140625" style="182" bestFit="1" customWidth="1"/>
    <col min="3341" max="3586" width="11.42578125" style="182"/>
    <col min="3587" max="3587" width="15.5703125" style="182" customWidth="1"/>
    <col min="3588" max="3588" width="18.28515625" style="182" customWidth="1"/>
    <col min="3589" max="3589" width="22.140625" style="182" customWidth="1"/>
    <col min="3590" max="3591" width="19.28515625" style="182" customWidth="1"/>
    <col min="3592" max="3592" width="17.42578125" style="182" customWidth="1"/>
    <col min="3593" max="3593" width="18.42578125" style="182" customWidth="1"/>
    <col min="3594" max="3594" width="19.85546875" style="182" customWidth="1"/>
    <col min="3595" max="3595" width="22.140625" style="182" customWidth="1"/>
    <col min="3596" max="3596" width="18.140625" style="182" bestFit="1" customWidth="1"/>
    <col min="3597" max="3842" width="11.42578125" style="182"/>
    <col min="3843" max="3843" width="15.5703125" style="182" customWidth="1"/>
    <col min="3844" max="3844" width="18.28515625" style="182" customWidth="1"/>
    <col min="3845" max="3845" width="22.140625" style="182" customWidth="1"/>
    <col min="3846" max="3847" width="19.28515625" style="182" customWidth="1"/>
    <col min="3848" max="3848" width="17.42578125" style="182" customWidth="1"/>
    <col min="3849" max="3849" width="18.42578125" style="182" customWidth="1"/>
    <col min="3850" max="3850" width="19.85546875" style="182" customWidth="1"/>
    <col min="3851" max="3851" width="22.140625" style="182" customWidth="1"/>
    <col min="3852" max="3852" width="18.140625" style="182" bestFit="1" customWidth="1"/>
    <col min="3853" max="4098" width="11.42578125" style="182"/>
    <col min="4099" max="4099" width="15.5703125" style="182" customWidth="1"/>
    <col min="4100" max="4100" width="18.28515625" style="182" customWidth="1"/>
    <col min="4101" max="4101" width="22.140625" style="182" customWidth="1"/>
    <col min="4102" max="4103" width="19.28515625" style="182" customWidth="1"/>
    <col min="4104" max="4104" width="17.42578125" style="182" customWidth="1"/>
    <col min="4105" max="4105" width="18.42578125" style="182" customWidth="1"/>
    <col min="4106" max="4106" width="19.85546875" style="182" customWidth="1"/>
    <col min="4107" max="4107" width="22.140625" style="182" customWidth="1"/>
    <col min="4108" max="4108" width="18.140625" style="182" bestFit="1" customWidth="1"/>
    <col min="4109" max="4354" width="11.42578125" style="182"/>
    <col min="4355" max="4355" width="15.5703125" style="182" customWidth="1"/>
    <col min="4356" max="4356" width="18.28515625" style="182" customWidth="1"/>
    <col min="4357" max="4357" width="22.140625" style="182" customWidth="1"/>
    <col min="4358" max="4359" width="19.28515625" style="182" customWidth="1"/>
    <col min="4360" max="4360" width="17.42578125" style="182" customWidth="1"/>
    <col min="4361" max="4361" width="18.42578125" style="182" customWidth="1"/>
    <col min="4362" max="4362" width="19.85546875" style="182" customWidth="1"/>
    <col min="4363" max="4363" width="22.140625" style="182" customWidth="1"/>
    <col min="4364" max="4364" width="18.140625" style="182" bestFit="1" customWidth="1"/>
    <col min="4365" max="4610" width="11.42578125" style="182"/>
    <col min="4611" max="4611" width="15.5703125" style="182" customWidth="1"/>
    <col min="4612" max="4612" width="18.28515625" style="182" customWidth="1"/>
    <col min="4613" max="4613" width="22.140625" style="182" customWidth="1"/>
    <col min="4614" max="4615" width="19.28515625" style="182" customWidth="1"/>
    <col min="4616" max="4616" width="17.42578125" style="182" customWidth="1"/>
    <col min="4617" max="4617" width="18.42578125" style="182" customWidth="1"/>
    <col min="4618" max="4618" width="19.85546875" style="182" customWidth="1"/>
    <col min="4619" max="4619" width="22.140625" style="182" customWidth="1"/>
    <col min="4620" max="4620" width="18.140625" style="182" bestFit="1" customWidth="1"/>
    <col min="4621" max="4866" width="11.42578125" style="182"/>
    <col min="4867" max="4867" width="15.5703125" style="182" customWidth="1"/>
    <col min="4868" max="4868" width="18.28515625" style="182" customWidth="1"/>
    <col min="4869" max="4869" width="22.140625" style="182" customWidth="1"/>
    <col min="4870" max="4871" width="19.28515625" style="182" customWidth="1"/>
    <col min="4872" max="4872" width="17.42578125" style="182" customWidth="1"/>
    <col min="4873" max="4873" width="18.42578125" style="182" customWidth="1"/>
    <col min="4874" max="4874" width="19.85546875" style="182" customWidth="1"/>
    <col min="4875" max="4875" width="22.140625" style="182" customWidth="1"/>
    <col min="4876" max="4876" width="18.140625" style="182" bestFit="1" customWidth="1"/>
    <col min="4877" max="5122" width="11.42578125" style="182"/>
    <col min="5123" max="5123" width="15.5703125" style="182" customWidth="1"/>
    <col min="5124" max="5124" width="18.28515625" style="182" customWidth="1"/>
    <col min="5125" max="5125" width="22.140625" style="182" customWidth="1"/>
    <col min="5126" max="5127" width="19.28515625" style="182" customWidth="1"/>
    <col min="5128" max="5128" width="17.42578125" style="182" customWidth="1"/>
    <col min="5129" max="5129" width="18.42578125" style="182" customWidth="1"/>
    <col min="5130" max="5130" width="19.85546875" style="182" customWidth="1"/>
    <col min="5131" max="5131" width="22.140625" style="182" customWidth="1"/>
    <col min="5132" max="5132" width="18.140625" style="182" bestFit="1" customWidth="1"/>
    <col min="5133" max="5378" width="11.42578125" style="182"/>
    <col min="5379" max="5379" width="15.5703125" style="182" customWidth="1"/>
    <col min="5380" max="5380" width="18.28515625" style="182" customWidth="1"/>
    <col min="5381" max="5381" width="22.140625" style="182" customWidth="1"/>
    <col min="5382" max="5383" width="19.28515625" style="182" customWidth="1"/>
    <col min="5384" max="5384" width="17.42578125" style="182" customWidth="1"/>
    <col min="5385" max="5385" width="18.42578125" style="182" customWidth="1"/>
    <col min="5386" max="5386" width="19.85546875" style="182" customWidth="1"/>
    <col min="5387" max="5387" width="22.140625" style="182" customWidth="1"/>
    <col min="5388" max="5388" width="18.140625" style="182" bestFit="1" customWidth="1"/>
    <col min="5389" max="5634" width="11.42578125" style="182"/>
    <col min="5635" max="5635" width="15.5703125" style="182" customWidth="1"/>
    <col min="5636" max="5636" width="18.28515625" style="182" customWidth="1"/>
    <col min="5637" max="5637" width="22.140625" style="182" customWidth="1"/>
    <col min="5638" max="5639" width="19.28515625" style="182" customWidth="1"/>
    <col min="5640" max="5640" width="17.42578125" style="182" customWidth="1"/>
    <col min="5641" max="5641" width="18.42578125" style="182" customWidth="1"/>
    <col min="5642" max="5642" width="19.85546875" style="182" customWidth="1"/>
    <col min="5643" max="5643" width="22.140625" style="182" customWidth="1"/>
    <col min="5644" max="5644" width="18.140625" style="182" bestFit="1" customWidth="1"/>
    <col min="5645" max="5890" width="11.42578125" style="182"/>
    <col min="5891" max="5891" width="15.5703125" style="182" customWidth="1"/>
    <col min="5892" max="5892" width="18.28515625" style="182" customWidth="1"/>
    <col min="5893" max="5893" width="22.140625" style="182" customWidth="1"/>
    <col min="5894" max="5895" width="19.28515625" style="182" customWidth="1"/>
    <col min="5896" max="5896" width="17.42578125" style="182" customWidth="1"/>
    <col min="5897" max="5897" width="18.42578125" style="182" customWidth="1"/>
    <col min="5898" max="5898" width="19.85546875" style="182" customWidth="1"/>
    <col min="5899" max="5899" width="22.140625" style="182" customWidth="1"/>
    <col min="5900" max="5900" width="18.140625" style="182" bestFit="1" customWidth="1"/>
    <col min="5901" max="6146" width="11.42578125" style="182"/>
    <col min="6147" max="6147" width="15.5703125" style="182" customWidth="1"/>
    <col min="6148" max="6148" width="18.28515625" style="182" customWidth="1"/>
    <col min="6149" max="6149" width="22.140625" style="182" customWidth="1"/>
    <col min="6150" max="6151" width="19.28515625" style="182" customWidth="1"/>
    <col min="6152" max="6152" width="17.42578125" style="182" customWidth="1"/>
    <col min="6153" max="6153" width="18.42578125" style="182" customWidth="1"/>
    <col min="6154" max="6154" width="19.85546875" style="182" customWidth="1"/>
    <col min="6155" max="6155" width="22.140625" style="182" customWidth="1"/>
    <col min="6156" max="6156" width="18.140625" style="182" bestFit="1" customWidth="1"/>
    <col min="6157" max="6402" width="11.42578125" style="182"/>
    <col min="6403" max="6403" width="15.5703125" style="182" customWidth="1"/>
    <col min="6404" max="6404" width="18.28515625" style="182" customWidth="1"/>
    <col min="6405" max="6405" width="22.140625" style="182" customWidth="1"/>
    <col min="6406" max="6407" width="19.28515625" style="182" customWidth="1"/>
    <col min="6408" max="6408" width="17.42578125" style="182" customWidth="1"/>
    <col min="6409" max="6409" width="18.42578125" style="182" customWidth="1"/>
    <col min="6410" max="6410" width="19.85546875" style="182" customWidth="1"/>
    <col min="6411" max="6411" width="22.140625" style="182" customWidth="1"/>
    <col min="6412" max="6412" width="18.140625" style="182" bestFit="1" customWidth="1"/>
    <col min="6413" max="6658" width="11.42578125" style="182"/>
    <col min="6659" max="6659" width="15.5703125" style="182" customWidth="1"/>
    <col min="6660" max="6660" width="18.28515625" style="182" customWidth="1"/>
    <col min="6661" max="6661" width="22.140625" style="182" customWidth="1"/>
    <col min="6662" max="6663" width="19.28515625" style="182" customWidth="1"/>
    <col min="6664" max="6664" width="17.42578125" style="182" customWidth="1"/>
    <col min="6665" max="6665" width="18.42578125" style="182" customWidth="1"/>
    <col min="6666" max="6666" width="19.85546875" style="182" customWidth="1"/>
    <col min="6667" max="6667" width="22.140625" style="182" customWidth="1"/>
    <col min="6668" max="6668" width="18.140625" style="182" bestFit="1" customWidth="1"/>
    <col min="6669" max="6914" width="11.42578125" style="182"/>
    <col min="6915" max="6915" width="15.5703125" style="182" customWidth="1"/>
    <col min="6916" max="6916" width="18.28515625" style="182" customWidth="1"/>
    <col min="6917" max="6917" width="22.140625" style="182" customWidth="1"/>
    <col min="6918" max="6919" width="19.28515625" style="182" customWidth="1"/>
    <col min="6920" max="6920" width="17.42578125" style="182" customWidth="1"/>
    <col min="6921" max="6921" width="18.42578125" style="182" customWidth="1"/>
    <col min="6922" max="6922" width="19.85546875" style="182" customWidth="1"/>
    <col min="6923" max="6923" width="22.140625" style="182" customWidth="1"/>
    <col min="6924" max="6924" width="18.140625" style="182" bestFit="1" customWidth="1"/>
    <col min="6925" max="7170" width="11.42578125" style="182"/>
    <col min="7171" max="7171" width="15.5703125" style="182" customWidth="1"/>
    <col min="7172" max="7172" width="18.28515625" style="182" customWidth="1"/>
    <col min="7173" max="7173" width="22.140625" style="182" customWidth="1"/>
    <col min="7174" max="7175" width="19.28515625" style="182" customWidth="1"/>
    <col min="7176" max="7176" width="17.42578125" style="182" customWidth="1"/>
    <col min="7177" max="7177" width="18.42578125" style="182" customWidth="1"/>
    <col min="7178" max="7178" width="19.85546875" style="182" customWidth="1"/>
    <col min="7179" max="7179" width="22.140625" style="182" customWidth="1"/>
    <col min="7180" max="7180" width="18.140625" style="182" bestFit="1" customWidth="1"/>
    <col min="7181" max="7426" width="11.42578125" style="182"/>
    <col min="7427" max="7427" width="15.5703125" style="182" customWidth="1"/>
    <col min="7428" max="7428" width="18.28515625" style="182" customWidth="1"/>
    <col min="7429" max="7429" width="22.140625" style="182" customWidth="1"/>
    <col min="7430" max="7431" width="19.28515625" style="182" customWidth="1"/>
    <col min="7432" max="7432" width="17.42578125" style="182" customWidth="1"/>
    <col min="7433" max="7433" width="18.42578125" style="182" customWidth="1"/>
    <col min="7434" max="7434" width="19.85546875" style="182" customWidth="1"/>
    <col min="7435" max="7435" width="22.140625" style="182" customWidth="1"/>
    <col min="7436" max="7436" width="18.140625" style="182" bestFit="1" customWidth="1"/>
    <col min="7437" max="7682" width="11.42578125" style="182"/>
    <col min="7683" max="7683" width="15.5703125" style="182" customWidth="1"/>
    <col min="7684" max="7684" width="18.28515625" style="182" customWidth="1"/>
    <col min="7685" max="7685" width="22.140625" style="182" customWidth="1"/>
    <col min="7686" max="7687" width="19.28515625" style="182" customWidth="1"/>
    <col min="7688" max="7688" width="17.42578125" style="182" customWidth="1"/>
    <col min="7689" max="7689" width="18.42578125" style="182" customWidth="1"/>
    <col min="7690" max="7690" width="19.85546875" style="182" customWidth="1"/>
    <col min="7691" max="7691" width="22.140625" style="182" customWidth="1"/>
    <col min="7692" max="7692" width="18.140625" style="182" bestFit="1" customWidth="1"/>
    <col min="7693" max="7938" width="11.42578125" style="182"/>
    <col min="7939" max="7939" width="15.5703125" style="182" customWidth="1"/>
    <col min="7940" max="7940" width="18.28515625" style="182" customWidth="1"/>
    <col min="7941" max="7941" width="22.140625" style="182" customWidth="1"/>
    <col min="7942" max="7943" width="19.28515625" style="182" customWidth="1"/>
    <col min="7944" max="7944" width="17.42578125" style="182" customWidth="1"/>
    <col min="7945" max="7945" width="18.42578125" style="182" customWidth="1"/>
    <col min="7946" max="7946" width="19.85546875" style="182" customWidth="1"/>
    <col min="7947" max="7947" width="22.140625" style="182" customWidth="1"/>
    <col min="7948" max="7948" width="18.140625" style="182" bestFit="1" customWidth="1"/>
    <col min="7949" max="8194" width="11.42578125" style="182"/>
    <col min="8195" max="8195" width="15.5703125" style="182" customWidth="1"/>
    <col min="8196" max="8196" width="18.28515625" style="182" customWidth="1"/>
    <col min="8197" max="8197" width="22.140625" style="182" customWidth="1"/>
    <col min="8198" max="8199" width="19.28515625" style="182" customWidth="1"/>
    <col min="8200" max="8200" width="17.42578125" style="182" customWidth="1"/>
    <col min="8201" max="8201" width="18.42578125" style="182" customWidth="1"/>
    <col min="8202" max="8202" width="19.85546875" style="182" customWidth="1"/>
    <col min="8203" max="8203" width="22.140625" style="182" customWidth="1"/>
    <col min="8204" max="8204" width="18.140625" style="182" bestFit="1" customWidth="1"/>
    <col min="8205" max="8450" width="11.42578125" style="182"/>
    <col min="8451" max="8451" width="15.5703125" style="182" customWidth="1"/>
    <col min="8452" max="8452" width="18.28515625" style="182" customWidth="1"/>
    <col min="8453" max="8453" width="22.140625" style="182" customWidth="1"/>
    <col min="8454" max="8455" width="19.28515625" style="182" customWidth="1"/>
    <col min="8456" max="8456" width="17.42578125" style="182" customWidth="1"/>
    <col min="8457" max="8457" width="18.42578125" style="182" customWidth="1"/>
    <col min="8458" max="8458" width="19.85546875" style="182" customWidth="1"/>
    <col min="8459" max="8459" width="22.140625" style="182" customWidth="1"/>
    <col min="8460" max="8460" width="18.140625" style="182" bestFit="1" customWidth="1"/>
    <col min="8461" max="8706" width="11.42578125" style="182"/>
    <col min="8707" max="8707" width="15.5703125" style="182" customWidth="1"/>
    <col min="8708" max="8708" width="18.28515625" style="182" customWidth="1"/>
    <col min="8709" max="8709" width="22.140625" style="182" customWidth="1"/>
    <col min="8710" max="8711" width="19.28515625" style="182" customWidth="1"/>
    <col min="8712" max="8712" width="17.42578125" style="182" customWidth="1"/>
    <col min="8713" max="8713" width="18.42578125" style="182" customWidth="1"/>
    <col min="8714" max="8714" width="19.85546875" style="182" customWidth="1"/>
    <col min="8715" max="8715" width="22.140625" style="182" customWidth="1"/>
    <col min="8716" max="8716" width="18.140625" style="182" bestFit="1" customWidth="1"/>
    <col min="8717" max="8962" width="11.42578125" style="182"/>
    <col min="8963" max="8963" width="15.5703125" style="182" customWidth="1"/>
    <col min="8964" max="8964" width="18.28515625" style="182" customWidth="1"/>
    <col min="8965" max="8965" width="22.140625" style="182" customWidth="1"/>
    <col min="8966" max="8967" width="19.28515625" style="182" customWidth="1"/>
    <col min="8968" max="8968" width="17.42578125" style="182" customWidth="1"/>
    <col min="8969" max="8969" width="18.42578125" style="182" customWidth="1"/>
    <col min="8970" max="8970" width="19.85546875" style="182" customWidth="1"/>
    <col min="8971" max="8971" width="22.140625" style="182" customWidth="1"/>
    <col min="8972" max="8972" width="18.140625" style="182" bestFit="1" customWidth="1"/>
    <col min="8973" max="9218" width="11.42578125" style="182"/>
    <col min="9219" max="9219" width="15.5703125" style="182" customWidth="1"/>
    <col min="9220" max="9220" width="18.28515625" style="182" customWidth="1"/>
    <col min="9221" max="9221" width="22.140625" style="182" customWidth="1"/>
    <col min="9222" max="9223" width="19.28515625" style="182" customWidth="1"/>
    <col min="9224" max="9224" width="17.42578125" style="182" customWidth="1"/>
    <col min="9225" max="9225" width="18.42578125" style="182" customWidth="1"/>
    <col min="9226" max="9226" width="19.85546875" style="182" customWidth="1"/>
    <col min="9227" max="9227" width="22.140625" style="182" customWidth="1"/>
    <col min="9228" max="9228" width="18.140625" style="182" bestFit="1" customWidth="1"/>
    <col min="9229" max="9474" width="11.42578125" style="182"/>
    <col min="9475" max="9475" width="15.5703125" style="182" customWidth="1"/>
    <col min="9476" max="9476" width="18.28515625" style="182" customWidth="1"/>
    <col min="9477" max="9477" width="22.140625" style="182" customWidth="1"/>
    <col min="9478" max="9479" width="19.28515625" style="182" customWidth="1"/>
    <col min="9480" max="9480" width="17.42578125" style="182" customWidth="1"/>
    <col min="9481" max="9481" width="18.42578125" style="182" customWidth="1"/>
    <col min="9482" max="9482" width="19.85546875" style="182" customWidth="1"/>
    <col min="9483" max="9483" width="22.140625" style="182" customWidth="1"/>
    <col min="9484" max="9484" width="18.140625" style="182" bestFit="1" customWidth="1"/>
    <col min="9485" max="9730" width="11.42578125" style="182"/>
    <col min="9731" max="9731" width="15.5703125" style="182" customWidth="1"/>
    <col min="9732" max="9732" width="18.28515625" style="182" customWidth="1"/>
    <col min="9733" max="9733" width="22.140625" style="182" customWidth="1"/>
    <col min="9734" max="9735" width="19.28515625" style="182" customWidth="1"/>
    <col min="9736" max="9736" width="17.42578125" style="182" customWidth="1"/>
    <col min="9737" max="9737" width="18.42578125" style="182" customWidth="1"/>
    <col min="9738" max="9738" width="19.85546875" style="182" customWidth="1"/>
    <col min="9739" max="9739" width="22.140625" style="182" customWidth="1"/>
    <col min="9740" max="9740" width="18.140625" style="182" bestFit="1" customWidth="1"/>
    <col min="9741" max="9986" width="11.42578125" style="182"/>
    <col min="9987" max="9987" width="15.5703125" style="182" customWidth="1"/>
    <col min="9988" max="9988" width="18.28515625" style="182" customWidth="1"/>
    <col min="9989" max="9989" width="22.140625" style="182" customWidth="1"/>
    <col min="9990" max="9991" width="19.28515625" style="182" customWidth="1"/>
    <col min="9992" max="9992" width="17.42578125" style="182" customWidth="1"/>
    <col min="9993" max="9993" width="18.42578125" style="182" customWidth="1"/>
    <col min="9994" max="9994" width="19.85546875" style="182" customWidth="1"/>
    <col min="9995" max="9995" width="22.140625" style="182" customWidth="1"/>
    <col min="9996" max="9996" width="18.140625" style="182" bestFit="1" customWidth="1"/>
    <col min="9997" max="10242" width="11.42578125" style="182"/>
    <col min="10243" max="10243" width="15.5703125" style="182" customWidth="1"/>
    <col min="10244" max="10244" width="18.28515625" style="182" customWidth="1"/>
    <col min="10245" max="10245" width="22.140625" style="182" customWidth="1"/>
    <col min="10246" max="10247" width="19.28515625" style="182" customWidth="1"/>
    <col min="10248" max="10248" width="17.42578125" style="182" customWidth="1"/>
    <col min="10249" max="10249" width="18.42578125" style="182" customWidth="1"/>
    <col min="10250" max="10250" width="19.85546875" style="182" customWidth="1"/>
    <col min="10251" max="10251" width="22.140625" style="182" customWidth="1"/>
    <col min="10252" max="10252" width="18.140625" style="182" bestFit="1" customWidth="1"/>
    <col min="10253" max="10498" width="11.42578125" style="182"/>
    <col min="10499" max="10499" width="15.5703125" style="182" customWidth="1"/>
    <col min="10500" max="10500" width="18.28515625" style="182" customWidth="1"/>
    <col min="10501" max="10501" width="22.140625" style="182" customWidth="1"/>
    <col min="10502" max="10503" width="19.28515625" style="182" customWidth="1"/>
    <col min="10504" max="10504" width="17.42578125" style="182" customWidth="1"/>
    <col min="10505" max="10505" width="18.42578125" style="182" customWidth="1"/>
    <col min="10506" max="10506" width="19.85546875" style="182" customWidth="1"/>
    <col min="10507" max="10507" width="22.140625" style="182" customWidth="1"/>
    <col min="10508" max="10508" width="18.140625" style="182" bestFit="1" customWidth="1"/>
    <col min="10509" max="10754" width="11.42578125" style="182"/>
    <col min="10755" max="10755" width="15.5703125" style="182" customWidth="1"/>
    <col min="10756" max="10756" width="18.28515625" style="182" customWidth="1"/>
    <col min="10757" max="10757" width="22.140625" style="182" customWidth="1"/>
    <col min="10758" max="10759" width="19.28515625" style="182" customWidth="1"/>
    <col min="10760" max="10760" width="17.42578125" style="182" customWidth="1"/>
    <col min="10761" max="10761" width="18.42578125" style="182" customWidth="1"/>
    <col min="10762" max="10762" width="19.85546875" style="182" customWidth="1"/>
    <col min="10763" max="10763" width="22.140625" style="182" customWidth="1"/>
    <col min="10764" max="10764" width="18.140625" style="182" bestFit="1" customWidth="1"/>
    <col min="10765" max="11010" width="11.42578125" style="182"/>
    <col min="11011" max="11011" width="15.5703125" style="182" customWidth="1"/>
    <col min="11012" max="11012" width="18.28515625" style="182" customWidth="1"/>
    <col min="11013" max="11013" width="22.140625" style="182" customWidth="1"/>
    <col min="11014" max="11015" width="19.28515625" style="182" customWidth="1"/>
    <col min="11016" max="11016" width="17.42578125" style="182" customWidth="1"/>
    <col min="11017" max="11017" width="18.42578125" style="182" customWidth="1"/>
    <col min="11018" max="11018" width="19.85546875" style="182" customWidth="1"/>
    <col min="11019" max="11019" width="22.140625" style="182" customWidth="1"/>
    <col min="11020" max="11020" width="18.140625" style="182" bestFit="1" customWidth="1"/>
    <col min="11021" max="11266" width="11.42578125" style="182"/>
    <col min="11267" max="11267" width="15.5703125" style="182" customWidth="1"/>
    <col min="11268" max="11268" width="18.28515625" style="182" customWidth="1"/>
    <col min="11269" max="11269" width="22.140625" style="182" customWidth="1"/>
    <col min="11270" max="11271" width="19.28515625" style="182" customWidth="1"/>
    <col min="11272" max="11272" width="17.42578125" style="182" customWidth="1"/>
    <col min="11273" max="11273" width="18.42578125" style="182" customWidth="1"/>
    <col min="11274" max="11274" width="19.85546875" style="182" customWidth="1"/>
    <col min="11275" max="11275" width="22.140625" style="182" customWidth="1"/>
    <col min="11276" max="11276" width="18.140625" style="182" bestFit="1" customWidth="1"/>
    <col min="11277" max="11522" width="11.42578125" style="182"/>
    <col min="11523" max="11523" width="15.5703125" style="182" customWidth="1"/>
    <col min="11524" max="11524" width="18.28515625" style="182" customWidth="1"/>
    <col min="11525" max="11525" width="22.140625" style="182" customWidth="1"/>
    <col min="11526" max="11527" width="19.28515625" style="182" customWidth="1"/>
    <col min="11528" max="11528" width="17.42578125" style="182" customWidth="1"/>
    <col min="11529" max="11529" width="18.42578125" style="182" customWidth="1"/>
    <col min="11530" max="11530" width="19.85546875" style="182" customWidth="1"/>
    <col min="11531" max="11531" width="22.140625" style="182" customWidth="1"/>
    <col min="11532" max="11532" width="18.140625" style="182" bestFit="1" customWidth="1"/>
    <col min="11533" max="11778" width="11.42578125" style="182"/>
    <col min="11779" max="11779" width="15.5703125" style="182" customWidth="1"/>
    <col min="11780" max="11780" width="18.28515625" style="182" customWidth="1"/>
    <col min="11781" max="11781" width="22.140625" style="182" customWidth="1"/>
    <col min="11782" max="11783" width="19.28515625" style="182" customWidth="1"/>
    <col min="11784" max="11784" width="17.42578125" style="182" customWidth="1"/>
    <col min="11785" max="11785" width="18.42578125" style="182" customWidth="1"/>
    <col min="11786" max="11786" width="19.85546875" style="182" customWidth="1"/>
    <col min="11787" max="11787" width="22.140625" style="182" customWidth="1"/>
    <col min="11788" max="11788" width="18.140625" style="182" bestFit="1" customWidth="1"/>
    <col min="11789" max="12034" width="11.42578125" style="182"/>
    <col min="12035" max="12035" width="15.5703125" style="182" customWidth="1"/>
    <col min="12036" max="12036" width="18.28515625" style="182" customWidth="1"/>
    <col min="12037" max="12037" width="22.140625" style="182" customWidth="1"/>
    <col min="12038" max="12039" width="19.28515625" style="182" customWidth="1"/>
    <col min="12040" max="12040" width="17.42578125" style="182" customWidth="1"/>
    <col min="12041" max="12041" width="18.42578125" style="182" customWidth="1"/>
    <col min="12042" max="12042" width="19.85546875" style="182" customWidth="1"/>
    <col min="12043" max="12043" width="22.140625" style="182" customWidth="1"/>
    <col min="12044" max="12044" width="18.140625" style="182" bestFit="1" customWidth="1"/>
    <col min="12045" max="12290" width="11.42578125" style="182"/>
    <col min="12291" max="12291" width="15.5703125" style="182" customWidth="1"/>
    <col min="12292" max="12292" width="18.28515625" style="182" customWidth="1"/>
    <col min="12293" max="12293" width="22.140625" style="182" customWidth="1"/>
    <col min="12294" max="12295" width="19.28515625" style="182" customWidth="1"/>
    <col min="12296" max="12296" width="17.42578125" style="182" customWidth="1"/>
    <col min="12297" max="12297" width="18.42578125" style="182" customWidth="1"/>
    <col min="12298" max="12298" width="19.85546875" style="182" customWidth="1"/>
    <col min="12299" max="12299" width="22.140625" style="182" customWidth="1"/>
    <col min="12300" max="12300" width="18.140625" style="182" bestFit="1" customWidth="1"/>
    <col min="12301" max="12546" width="11.42578125" style="182"/>
    <col min="12547" max="12547" width="15.5703125" style="182" customWidth="1"/>
    <col min="12548" max="12548" width="18.28515625" style="182" customWidth="1"/>
    <col min="12549" max="12549" width="22.140625" style="182" customWidth="1"/>
    <col min="12550" max="12551" width="19.28515625" style="182" customWidth="1"/>
    <col min="12552" max="12552" width="17.42578125" style="182" customWidth="1"/>
    <col min="12553" max="12553" width="18.42578125" style="182" customWidth="1"/>
    <col min="12554" max="12554" width="19.85546875" style="182" customWidth="1"/>
    <col min="12555" max="12555" width="22.140625" style="182" customWidth="1"/>
    <col min="12556" max="12556" width="18.140625" style="182" bestFit="1" customWidth="1"/>
    <col min="12557" max="12802" width="11.42578125" style="182"/>
    <col min="12803" max="12803" width="15.5703125" style="182" customWidth="1"/>
    <col min="12804" max="12804" width="18.28515625" style="182" customWidth="1"/>
    <col min="12805" max="12805" width="22.140625" style="182" customWidth="1"/>
    <col min="12806" max="12807" width="19.28515625" style="182" customWidth="1"/>
    <col min="12808" max="12808" width="17.42578125" style="182" customWidth="1"/>
    <col min="12809" max="12809" width="18.42578125" style="182" customWidth="1"/>
    <col min="12810" max="12810" width="19.85546875" style="182" customWidth="1"/>
    <col min="12811" max="12811" width="22.140625" style="182" customWidth="1"/>
    <col min="12812" max="12812" width="18.140625" style="182" bestFit="1" customWidth="1"/>
    <col min="12813" max="13058" width="11.42578125" style="182"/>
    <col min="13059" max="13059" width="15.5703125" style="182" customWidth="1"/>
    <col min="13060" max="13060" width="18.28515625" style="182" customWidth="1"/>
    <col min="13061" max="13061" width="22.140625" style="182" customWidth="1"/>
    <col min="13062" max="13063" width="19.28515625" style="182" customWidth="1"/>
    <col min="13064" max="13064" width="17.42578125" style="182" customWidth="1"/>
    <col min="13065" max="13065" width="18.42578125" style="182" customWidth="1"/>
    <col min="13066" max="13066" width="19.85546875" style="182" customWidth="1"/>
    <col min="13067" max="13067" width="22.140625" style="182" customWidth="1"/>
    <col min="13068" max="13068" width="18.140625" style="182" bestFit="1" customWidth="1"/>
    <col min="13069" max="13314" width="11.42578125" style="182"/>
    <col min="13315" max="13315" width="15.5703125" style="182" customWidth="1"/>
    <col min="13316" max="13316" width="18.28515625" style="182" customWidth="1"/>
    <col min="13317" max="13317" width="22.140625" style="182" customWidth="1"/>
    <col min="13318" max="13319" width="19.28515625" style="182" customWidth="1"/>
    <col min="13320" max="13320" width="17.42578125" style="182" customWidth="1"/>
    <col min="13321" max="13321" width="18.42578125" style="182" customWidth="1"/>
    <col min="13322" max="13322" width="19.85546875" style="182" customWidth="1"/>
    <col min="13323" max="13323" width="22.140625" style="182" customWidth="1"/>
    <col min="13324" max="13324" width="18.140625" style="182" bestFit="1" customWidth="1"/>
    <col min="13325" max="13570" width="11.42578125" style="182"/>
    <col min="13571" max="13571" width="15.5703125" style="182" customWidth="1"/>
    <col min="13572" max="13572" width="18.28515625" style="182" customWidth="1"/>
    <col min="13573" max="13573" width="22.140625" style="182" customWidth="1"/>
    <col min="13574" max="13575" width="19.28515625" style="182" customWidth="1"/>
    <col min="13576" max="13576" width="17.42578125" style="182" customWidth="1"/>
    <col min="13577" max="13577" width="18.42578125" style="182" customWidth="1"/>
    <col min="13578" max="13578" width="19.85546875" style="182" customWidth="1"/>
    <col min="13579" max="13579" width="22.140625" style="182" customWidth="1"/>
    <col min="13580" max="13580" width="18.140625" style="182" bestFit="1" customWidth="1"/>
    <col min="13581" max="13826" width="11.42578125" style="182"/>
    <col min="13827" max="13827" width="15.5703125" style="182" customWidth="1"/>
    <col min="13828" max="13828" width="18.28515625" style="182" customWidth="1"/>
    <col min="13829" max="13829" width="22.140625" style="182" customWidth="1"/>
    <col min="13830" max="13831" width="19.28515625" style="182" customWidth="1"/>
    <col min="13832" max="13832" width="17.42578125" style="182" customWidth="1"/>
    <col min="13833" max="13833" width="18.42578125" style="182" customWidth="1"/>
    <col min="13834" max="13834" width="19.85546875" style="182" customWidth="1"/>
    <col min="13835" max="13835" width="22.140625" style="182" customWidth="1"/>
    <col min="13836" max="13836" width="18.140625" style="182" bestFit="1" customWidth="1"/>
    <col min="13837" max="14082" width="11.42578125" style="182"/>
    <col min="14083" max="14083" width="15.5703125" style="182" customWidth="1"/>
    <col min="14084" max="14084" width="18.28515625" style="182" customWidth="1"/>
    <col min="14085" max="14085" width="22.140625" style="182" customWidth="1"/>
    <col min="14086" max="14087" width="19.28515625" style="182" customWidth="1"/>
    <col min="14088" max="14088" width="17.42578125" style="182" customWidth="1"/>
    <col min="14089" max="14089" width="18.42578125" style="182" customWidth="1"/>
    <col min="14090" max="14090" width="19.85546875" style="182" customWidth="1"/>
    <col min="14091" max="14091" width="22.140625" style="182" customWidth="1"/>
    <col min="14092" max="14092" width="18.140625" style="182" bestFit="1" customWidth="1"/>
    <col min="14093" max="14338" width="11.42578125" style="182"/>
    <col min="14339" max="14339" width="15.5703125" style="182" customWidth="1"/>
    <col min="14340" max="14340" width="18.28515625" style="182" customWidth="1"/>
    <col min="14341" max="14341" width="22.140625" style="182" customWidth="1"/>
    <col min="14342" max="14343" width="19.28515625" style="182" customWidth="1"/>
    <col min="14344" max="14344" width="17.42578125" style="182" customWidth="1"/>
    <col min="14345" max="14345" width="18.42578125" style="182" customWidth="1"/>
    <col min="14346" max="14346" width="19.85546875" style="182" customWidth="1"/>
    <col min="14347" max="14347" width="22.140625" style="182" customWidth="1"/>
    <col min="14348" max="14348" width="18.140625" style="182" bestFit="1" customWidth="1"/>
    <col min="14349" max="14594" width="11.42578125" style="182"/>
    <col min="14595" max="14595" width="15.5703125" style="182" customWidth="1"/>
    <col min="14596" max="14596" width="18.28515625" style="182" customWidth="1"/>
    <col min="14597" max="14597" width="22.140625" style="182" customWidth="1"/>
    <col min="14598" max="14599" width="19.28515625" style="182" customWidth="1"/>
    <col min="14600" max="14600" width="17.42578125" style="182" customWidth="1"/>
    <col min="14601" max="14601" width="18.42578125" style="182" customWidth="1"/>
    <col min="14602" max="14602" width="19.85546875" style="182" customWidth="1"/>
    <col min="14603" max="14603" width="22.140625" style="182" customWidth="1"/>
    <col min="14604" max="14604" width="18.140625" style="182" bestFit="1" customWidth="1"/>
    <col min="14605" max="14850" width="11.42578125" style="182"/>
    <col min="14851" max="14851" width="15.5703125" style="182" customWidth="1"/>
    <col min="14852" max="14852" width="18.28515625" style="182" customWidth="1"/>
    <col min="14853" max="14853" width="22.140625" style="182" customWidth="1"/>
    <col min="14854" max="14855" width="19.28515625" style="182" customWidth="1"/>
    <col min="14856" max="14856" width="17.42578125" style="182" customWidth="1"/>
    <col min="14857" max="14857" width="18.42578125" style="182" customWidth="1"/>
    <col min="14858" max="14858" width="19.85546875" style="182" customWidth="1"/>
    <col min="14859" max="14859" width="22.140625" style="182" customWidth="1"/>
    <col min="14860" max="14860" width="18.140625" style="182" bestFit="1" customWidth="1"/>
    <col min="14861" max="15106" width="11.42578125" style="182"/>
    <col min="15107" max="15107" width="15.5703125" style="182" customWidth="1"/>
    <col min="15108" max="15108" width="18.28515625" style="182" customWidth="1"/>
    <col min="15109" max="15109" width="22.140625" style="182" customWidth="1"/>
    <col min="15110" max="15111" width="19.28515625" style="182" customWidth="1"/>
    <col min="15112" max="15112" width="17.42578125" style="182" customWidth="1"/>
    <col min="15113" max="15113" width="18.42578125" style="182" customWidth="1"/>
    <col min="15114" max="15114" width="19.85546875" style="182" customWidth="1"/>
    <col min="15115" max="15115" width="22.140625" style="182" customWidth="1"/>
    <col min="15116" max="15116" width="18.140625" style="182" bestFit="1" customWidth="1"/>
    <col min="15117" max="15362" width="11.42578125" style="182"/>
    <col min="15363" max="15363" width="15.5703125" style="182" customWidth="1"/>
    <col min="15364" max="15364" width="18.28515625" style="182" customWidth="1"/>
    <col min="15365" max="15365" width="22.140625" style="182" customWidth="1"/>
    <col min="15366" max="15367" width="19.28515625" style="182" customWidth="1"/>
    <col min="15368" max="15368" width="17.42578125" style="182" customWidth="1"/>
    <col min="15369" max="15369" width="18.42578125" style="182" customWidth="1"/>
    <col min="15370" max="15370" width="19.85546875" style="182" customWidth="1"/>
    <col min="15371" max="15371" width="22.140625" style="182" customWidth="1"/>
    <col min="15372" max="15372" width="18.140625" style="182" bestFit="1" customWidth="1"/>
    <col min="15373" max="15618" width="11.42578125" style="182"/>
    <col min="15619" max="15619" width="15.5703125" style="182" customWidth="1"/>
    <col min="15620" max="15620" width="18.28515625" style="182" customWidth="1"/>
    <col min="15621" max="15621" width="22.140625" style="182" customWidth="1"/>
    <col min="15622" max="15623" width="19.28515625" style="182" customWidth="1"/>
    <col min="15624" max="15624" width="17.42578125" style="182" customWidth="1"/>
    <col min="15625" max="15625" width="18.42578125" style="182" customWidth="1"/>
    <col min="15626" max="15626" width="19.85546875" style="182" customWidth="1"/>
    <col min="15627" max="15627" width="22.140625" style="182" customWidth="1"/>
    <col min="15628" max="15628" width="18.140625" style="182" bestFit="1" customWidth="1"/>
    <col min="15629" max="15874" width="11.42578125" style="182"/>
    <col min="15875" max="15875" width="15.5703125" style="182" customWidth="1"/>
    <col min="15876" max="15876" width="18.28515625" style="182" customWidth="1"/>
    <col min="15877" max="15877" width="22.140625" style="182" customWidth="1"/>
    <col min="15878" max="15879" width="19.28515625" style="182" customWidth="1"/>
    <col min="15880" max="15880" width="17.42578125" style="182" customWidth="1"/>
    <col min="15881" max="15881" width="18.42578125" style="182" customWidth="1"/>
    <col min="15882" max="15882" width="19.85546875" style="182" customWidth="1"/>
    <col min="15883" max="15883" width="22.140625" style="182" customWidth="1"/>
    <col min="15884" max="15884" width="18.140625" style="182" bestFit="1" customWidth="1"/>
    <col min="15885" max="16130" width="11.42578125" style="182"/>
    <col min="16131" max="16131" width="15.5703125" style="182" customWidth="1"/>
    <col min="16132" max="16132" width="18.28515625" style="182" customWidth="1"/>
    <col min="16133" max="16133" width="22.140625" style="182" customWidth="1"/>
    <col min="16134" max="16135" width="19.28515625" style="182" customWidth="1"/>
    <col min="16136" max="16136" width="17.42578125" style="182" customWidth="1"/>
    <col min="16137" max="16137" width="18.42578125" style="182" customWidth="1"/>
    <col min="16138" max="16138" width="19.85546875" style="182" customWidth="1"/>
    <col min="16139" max="16139" width="22.140625" style="182" customWidth="1"/>
    <col min="16140" max="16140" width="18.140625" style="182" bestFit="1" customWidth="1"/>
    <col min="16141" max="16384" width="11.42578125" style="182"/>
  </cols>
  <sheetData>
    <row r="1" spans="1:11" x14ac:dyDescent="0.25">
      <c r="A1" s="182" t="s">
        <v>178</v>
      </c>
    </row>
    <row r="3" spans="1:11" ht="18.75" x14ac:dyDescent="0.3">
      <c r="B3" s="183"/>
      <c r="C3" s="183"/>
      <c r="D3" s="354"/>
      <c r="E3" s="354"/>
      <c r="F3" s="354"/>
      <c r="G3" s="184"/>
      <c r="H3" s="183"/>
      <c r="I3" s="183"/>
      <c r="J3" s="183"/>
    </row>
    <row r="4" spans="1:11" x14ac:dyDescent="0.25">
      <c r="B4" s="183"/>
      <c r="C4" s="183"/>
      <c r="D4" s="183"/>
      <c r="E4" s="183"/>
      <c r="F4" s="183"/>
      <c r="G4" s="183"/>
      <c r="H4" s="183"/>
      <c r="I4" s="183"/>
      <c r="J4" s="183"/>
    </row>
    <row r="5" spans="1:11" ht="20.25" x14ac:dyDescent="0.3">
      <c r="B5" s="355" t="s">
        <v>179</v>
      </c>
      <c r="C5" s="355"/>
      <c r="D5" s="355"/>
      <c r="E5" s="355"/>
      <c r="F5" s="355"/>
      <c r="G5" s="355"/>
      <c r="H5" s="355"/>
      <c r="I5" s="355"/>
      <c r="J5" s="355"/>
    </row>
    <row r="6" spans="1:11" ht="15.75" x14ac:dyDescent="0.25">
      <c r="B6" s="185"/>
      <c r="C6" s="185"/>
      <c r="D6" s="185"/>
      <c r="E6" s="185"/>
      <c r="F6" s="185"/>
      <c r="G6" s="185"/>
      <c r="H6" s="185"/>
      <c r="I6" s="185"/>
      <c r="J6" s="185"/>
    </row>
    <row r="7" spans="1:11" ht="15.75" x14ac:dyDescent="0.25">
      <c r="B7" s="185"/>
      <c r="C7" s="185"/>
      <c r="D7" s="185"/>
      <c r="E7" s="185"/>
      <c r="F7" s="185"/>
      <c r="G7" s="185"/>
      <c r="H7" s="185"/>
      <c r="I7" s="185"/>
      <c r="J7" s="185"/>
    </row>
    <row r="8" spans="1:11" ht="15.75" x14ac:dyDescent="0.25">
      <c r="B8" s="185"/>
      <c r="C8" s="185"/>
      <c r="D8" s="185"/>
      <c r="E8" s="185"/>
      <c r="F8" s="185"/>
      <c r="G8" s="185"/>
      <c r="H8" s="185"/>
      <c r="I8" s="185"/>
      <c r="J8" s="185"/>
    </row>
    <row r="9" spans="1:11" ht="15.75" x14ac:dyDescent="0.25">
      <c r="B9" s="185"/>
      <c r="C9" s="185"/>
      <c r="D9" s="185"/>
      <c r="E9" s="185"/>
      <c r="F9" s="185"/>
      <c r="G9" s="185"/>
      <c r="H9" s="185"/>
      <c r="I9" s="185"/>
      <c r="J9" s="185"/>
    </row>
    <row r="10" spans="1:11" ht="15.75" x14ac:dyDescent="0.25"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1" ht="15.75" x14ac:dyDescent="0.25">
      <c r="B11" s="185"/>
      <c r="C11" s="185"/>
      <c r="D11" s="185"/>
      <c r="E11" s="185"/>
      <c r="F11" s="185"/>
      <c r="G11" s="185"/>
      <c r="H11" s="185"/>
      <c r="I11" s="185"/>
      <c r="J11" s="185"/>
    </row>
    <row r="12" spans="1:11" ht="15.75" x14ac:dyDescent="0.25">
      <c r="B12" s="185"/>
      <c r="C12" s="185"/>
      <c r="D12" s="185"/>
      <c r="E12" s="185"/>
      <c r="F12" s="185"/>
      <c r="G12" s="185"/>
      <c r="H12" s="185"/>
      <c r="I12" s="185"/>
      <c r="J12" s="185"/>
    </row>
    <row r="13" spans="1:11" ht="15.75" x14ac:dyDescent="0.25">
      <c r="B13" s="185"/>
      <c r="C13" s="185"/>
      <c r="D13" s="185"/>
      <c r="E13" s="185"/>
      <c r="F13" s="186"/>
      <c r="G13" s="186"/>
      <c r="H13" s="185"/>
      <c r="I13" s="185"/>
      <c r="J13" s="185"/>
    </row>
    <row r="14" spans="1:11" ht="15.75" x14ac:dyDescent="0.25">
      <c r="B14" s="185"/>
      <c r="C14" s="185"/>
      <c r="D14" s="185"/>
      <c r="E14" s="185"/>
      <c r="F14" s="185"/>
      <c r="G14" s="185"/>
      <c r="H14" s="185"/>
      <c r="I14" s="185"/>
      <c r="J14" s="185"/>
    </row>
    <row r="15" spans="1:11" ht="15.75" x14ac:dyDescent="0.25">
      <c r="B15" s="187" t="s">
        <v>180</v>
      </c>
      <c r="C15" s="187" t="s">
        <v>144</v>
      </c>
      <c r="D15" s="187"/>
      <c r="E15" s="187"/>
      <c r="F15" s="188">
        <f>+E17/(E20-E22)</f>
        <v>2696.6968092517764</v>
      </c>
      <c r="G15" s="189"/>
      <c r="H15" s="185"/>
      <c r="I15" s="185"/>
      <c r="J15" s="185"/>
      <c r="K15" s="190"/>
    </row>
    <row r="16" spans="1:11" ht="15.75" x14ac:dyDescent="0.25">
      <c r="B16" s="185"/>
      <c r="C16" s="185"/>
      <c r="D16" s="185"/>
      <c r="E16" s="185"/>
      <c r="F16" s="185"/>
      <c r="G16" s="185"/>
      <c r="H16" s="185"/>
      <c r="I16" s="185"/>
      <c r="J16" s="185"/>
    </row>
    <row r="17" spans="2:13" ht="15.75" x14ac:dyDescent="0.25">
      <c r="B17" s="185" t="s">
        <v>181</v>
      </c>
      <c r="C17" s="185" t="s">
        <v>143</v>
      </c>
      <c r="D17" s="185"/>
      <c r="E17" s="191">
        <v>19354193</v>
      </c>
      <c r="F17" s="191"/>
      <c r="G17" s="191"/>
      <c r="H17" s="185"/>
      <c r="I17" s="185"/>
      <c r="J17" s="185"/>
      <c r="K17" s="192"/>
    </row>
    <row r="18" spans="2:13" ht="15.75" x14ac:dyDescent="0.25">
      <c r="B18" s="185"/>
      <c r="C18" s="185"/>
      <c r="D18" s="185"/>
      <c r="E18" s="191"/>
      <c r="F18" s="193"/>
      <c r="G18" s="193"/>
      <c r="H18" s="185"/>
      <c r="I18" s="185"/>
      <c r="J18" s="185"/>
      <c r="K18" s="192"/>
    </row>
    <row r="19" spans="2:13" ht="15.75" x14ac:dyDescent="0.25">
      <c r="B19" s="185"/>
      <c r="C19" s="185"/>
      <c r="D19" s="185"/>
      <c r="E19" s="185"/>
      <c r="F19" s="185"/>
      <c r="G19" s="185"/>
      <c r="H19" s="185"/>
      <c r="I19" s="185"/>
      <c r="J19" s="185"/>
      <c r="K19" s="194">
        <f>+'[1]COSTOS FIJOS Y VARIABLES'!D41+'[1]COSTOS FIJOS Y VARIABLES'!D60+'[1]COSTOS FIJOS Y VARIABLES'!D82</f>
        <v>34721400</v>
      </c>
      <c r="L19" s="192">
        <f>+K19/9146</f>
        <v>3796.3481303301992</v>
      </c>
    </row>
    <row r="20" spans="2:13" ht="15.75" x14ac:dyDescent="0.25">
      <c r="B20" s="185" t="s">
        <v>182</v>
      </c>
      <c r="C20" s="185" t="s">
        <v>183</v>
      </c>
      <c r="D20" s="185"/>
      <c r="E20" s="191">
        <f>3500*5</f>
        <v>17500</v>
      </c>
      <c r="F20" s="191"/>
      <c r="G20" s="191"/>
      <c r="H20" s="185"/>
      <c r="I20" s="185"/>
      <c r="J20" s="185"/>
      <c r="K20" s="194">
        <f>+'[1]COSTOS FIJOS Y VARIABLES'!D47+'[1]COSTOS FIJOS Y VARIABLES'!D71+'[1]COSTOS FIJOS Y VARIABLES'!D104</f>
        <v>92748600</v>
      </c>
      <c r="L20" s="192">
        <f>+K20/9146</f>
        <v>10140.892193308549</v>
      </c>
    </row>
    <row r="21" spans="2:13" ht="15.75" x14ac:dyDescent="0.25">
      <c r="B21" s="185"/>
      <c r="C21" s="185"/>
      <c r="D21" s="185"/>
      <c r="E21" s="185"/>
      <c r="F21" s="185"/>
      <c r="G21" s="185"/>
      <c r="H21" s="185"/>
      <c r="I21" s="185"/>
      <c r="J21" s="185"/>
    </row>
    <row r="22" spans="2:13" ht="15.75" x14ac:dyDescent="0.25">
      <c r="B22" s="185" t="s">
        <v>184</v>
      </c>
      <c r="C22" s="185" t="s">
        <v>185</v>
      </c>
      <c r="D22" s="185"/>
      <c r="E22" s="191">
        <v>10323</v>
      </c>
      <c r="F22" s="191"/>
      <c r="G22" s="191"/>
      <c r="H22" s="185"/>
      <c r="I22" s="185"/>
      <c r="J22" s="185"/>
    </row>
    <row r="23" spans="2:13" ht="15.75" x14ac:dyDescent="0.25">
      <c r="B23" s="185"/>
      <c r="C23" s="185"/>
      <c r="D23" s="185"/>
      <c r="E23" s="191"/>
      <c r="F23" s="195"/>
      <c r="G23" s="195"/>
      <c r="H23" s="185"/>
      <c r="I23" s="185"/>
      <c r="J23" s="185"/>
    </row>
    <row r="24" spans="2:13" ht="15.75" x14ac:dyDescent="0.25">
      <c r="B24" s="185"/>
      <c r="C24" s="185"/>
      <c r="D24" s="185"/>
      <c r="E24" s="185"/>
      <c r="F24" s="191"/>
      <c r="G24" s="191"/>
      <c r="H24" s="185"/>
      <c r="I24" s="185"/>
      <c r="J24" s="185"/>
    </row>
    <row r="25" spans="2:13" ht="15.75" x14ac:dyDescent="0.25">
      <c r="B25" s="185"/>
      <c r="C25" s="185" t="s">
        <v>186</v>
      </c>
      <c r="D25" s="185"/>
      <c r="E25" s="196">
        <f>+F15</f>
        <v>2696.6968092517764</v>
      </c>
      <c r="F25" s="197"/>
      <c r="G25" s="197"/>
      <c r="H25" s="185"/>
      <c r="I25" s="185"/>
      <c r="J25" s="185"/>
    </row>
    <row r="26" spans="2:13" ht="15.75" x14ac:dyDescent="0.25">
      <c r="B26" s="185"/>
      <c r="C26" s="185"/>
      <c r="D26" s="185"/>
      <c r="E26" s="185"/>
      <c r="F26" s="185"/>
      <c r="G26" s="185"/>
      <c r="H26" s="185"/>
      <c r="I26" s="185"/>
      <c r="J26" s="185"/>
    </row>
    <row r="27" spans="2:13" ht="14.25" thickBot="1" x14ac:dyDescent="0.3"/>
    <row r="28" spans="2:13" x14ac:dyDescent="0.25">
      <c r="B28" s="352" t="s">
        <v>187</v>
      </c>
      <c r="C28" s="353"/>
      <c r="D28" s="353"/>
      <c r="E28" s="353"/>
      <c r="F28" s="353"/>
      <c r="G28" s="353"/>
      <c r="H28" s="353"/>
      <c r="I28" s="353"/>
      <c r="J28" s="353"/>
      <c r="K28" s="353"/>
      <c r="L28" s="198"/>
      <c r="M28" s="199"/>
    </row>
    <row r="29" spans="2:13" ht="14.25" thickBot="1" x14ac:dyDescent="0.3">
      <c r="B29" s="200" t="s">
        <v>188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2"/>
    </row>
    <row r="31" spans="2:13" x14ac:dyDescent="0.25">
      <c r="B31" s="203" t="s">
        <v>189</v>
      </c>
      <c r="C31" s="203"/>
      <c r="D31" s="203"/>
      <c r="E31" s="203"/>
    </row>
    <row r="33" spans="2:12" ht="15" x14ac:dyDescent="0.25">
      <c r="B33" s="182" t="s">
        <v>190</v>
      </c>
      <c r="D33" s="204">
        <f>+E20</f>
        <v>17500</v>
      </c>
    </row>
    <row r="34" spans="2:12" ht="15" x14ac:dyDescent="0.25">
      <c r="B34" s="182" t="s">
        <v>191</v>
      </c>
      <c r="D34" s="204">
        <f>+E22</f>
        <v>10323</v>
      </c>
    </row>
    <row r="35" spans="2:12" ht="15" x14ac:dyDescent="0.25">
      <c r="B35" s="182" t="s">
        <v>192</v>
      </c>
      <c r="D35" s="204">
        <f>+E17</f>
        <v>19354193</v>
      </c>
      <c r="F35" s="205"/>
    </row>
    <row r="36" spans="2:12" ht="15" x14ac:dyDescent="0.25">
      <c r="B36" s="182" t="s">
        <v>193</v>
      </c>
      <c r="D36" s="206">
        <f>E25</f>
        <v>2696.6968092517764</v>
      </c>
    </row>
    <row r="38" spans="2:12" x14ac:dyDescent="0.25">
      <c r="B38" s="182" t="s">
        <v>194</v>
      </c>
    </row>
    <row r="39" spans="2:12" x14ac:dyDescent="0.25">
      <c r="B39" s="182" t="s">
        <v>195</v>
      </c>
      <c r="E39" s="182">
        <v>900</v>
      </c>
      <c r="F39" s="207">
        <f>+D36</f>
        <v>2696.6968092517764</v>
      </c>
      <c r="G39" s="182">
        <v>3885</v>
      </c>
      <c r="H39" s="182">
        <v>5180</v>
      </c>
      <c r="I39" s="182">
        <v>6475</v>
      </c>
      <c r="J39" s="182">
        <v>7770</v>
      </c>
      <c r="K39" s="182">
        <v>9065</v>
      </c>
      <c r="L39" s="182">
        <v>10360</v>
      </c>
    </row>
    <row r="41" spans="2:12" ht="15" x14ac:dyDescent="0.25">
      <c r="B41" s="182" t="s">
        <v>196</v>
      </c>
      <c r="E41" s="208">
        <f>E39*D33</f>
        <v>15750000</v>
      </c>
      <c r="F41" s="204">
        <f>+F39*D33</f>
        <v>47192194.161906086</v>
      </c>
      <c r="G41" s="204">
        <f>G39*D33</f>
        <v>67987500</v>
      </c>
      <c r="H41" s="204">
        <f>H39*D33</f>
        <v>90650000</v>
      </c>
      <c r="I41" s="204">
        <f>I39*D33</f>
        <v>113312500</v>
      </c>
      <c r="J41" s="204">
        <f>J39*D33</f>
        <v>135975000</v>
      </c>
      <c r="K41" s="204">
        <f>K39*D33</f>
        <v>158637500</v>
      </c>
      <c r="L41" s="204">
        <f>L39*D33</f>
        <v>181300000</v>
      </c>
    </row>
    <row r="42" spans="2:12" x14ac:dyDescent="0.25">
      <c r="B42" s="209" t="s">
        <v>197</v>
      </c>
      <c r="E42" s="208">
        <f>D35</f>
        <v>19354193</v>
      </c>
      <c r="F42" s="208">
        <f>E42</f>
        <v>19354193</v>
      </c>
      <c r="G42" s="208">
        <f>F42</f>
        <v>19354193</v>
      </c>
      <c r="H42" s="208">
        <f>F42</f>
        <v>19354193</v>
      </c>
      <c r="I42" s="208">
        <f>H42</f>
        <v>19354193</v>
      </c>
      <c r="J42" s="208">
        <f>I42</f>
        <v>19354193</v>
      </c>
      <c r="K42" s="208">
        <f>J42</f>
        <v>19354193</v>
      </c>
      <c r="L42" s="208">
        <f>K42</f>
        <v>19354193</v>
      </c>
    </row>
    <row r="43" spans="2:12" ht="15" x14ac:dyDescent="0.25">
      <c r="B43" s="209" t="s">
        <v>198</v>
      </c>
      <c r="E43" s="208">
        <f>E39*D34</f>
        <v>9290700</v>
      </c>
      <c r="F43" s="208">
        <f>F39*D34</f>
        <v>27838001.161906086</v>
      </c>
      <c r="G43" s="208">
        <f>G39*D34</f>
        <v>40104855</v>
      </c>
      <c r="H43" s="208">
        <f>H39*D34</f>
        <v>53473140</v>
      </c>
      <c r="I43" s="208">
        <f>I39*D34</f>
        <v>66841425</v>
      </c>
      <c r="J43" s="208">
        <f>J39*D34</f>
        <v>80209710</v>
      </c>
      <c r="K43" s="208">
        <f>K39*D34</f>
        <v>93577995</v>
      </c>
      <c r="L43" s="204">
        <f>L39*D34</f>
        <v>106946280</v>
      </c>
    </row>
    <row r="44" spans="2:12" x14ac:dyDescent="0.25">
      <c r="B44" s="209" t="s">
        <v>199</v>
      </c>
      <c r="E44" s="208">
        <f t="shared" ref="E44:L44" si="0">+E41-E42-E43</f>
        <v>-12894893</v>
      </c>
      <c r="F44" s="210">
        <f t="shared" si="0"/>
        <v>0</v>
      </c>
      <c r="G44" s="208">
        <f t="shared" si="0"/>
        <v>8528452</v>
      </c>
      <c r="H44" s="208">
        <f t="shared" si="0"/>
        <v>17822667</v>
      </c>
      <c r="I44" s="208">
        <f t="shared" si="0"/>
        <v>27116882</v>
      </c>
      <c r="J44" s="208">
        <f t="shared" si="0"/>
        <v>36411097</v>
      </c>
      <c r="K44" s="208">
        <f t="shared" si="0"/>
        <v>45705312</v>
      </c>
      <c r="L44" s="208">
        <f t="shared" si="0"/>
        <v>54999527</v>
      </c>
    </row>
    <row r="46" spans="2:12" x14ac:dyDescent="0.25">
      <c r="E46" s="208"/>
      <c r="F46" s="208"/>
      <c r="G46" s="208"/>
      <c r="H46" s="208"/>
      <c r="I46" s="208"/>
      <c r="J46" s="208"/>
      <c r="K46" s="208"/>
      <c r="L46" s="208"/>
    </row>
    <row r="47" spans="2:12" x14ac:dyDescent="0.25">
      <c r="E47" s="182">
        <v>1295</v>
      </c>
      <c r="F47" s="182">
        <v>2590</v>
      </c>
      <c r="G47" s="182">
        <v>3885</v>
      </c>
      <c r="H47" s="182">
        <v>5180</v>
      </c>
      <c r="I47" s="182">
        <v>6475</v>
      </c>
      <c r="J47" s="182">
        <v>7770</v>
      </c>
      <c r="K47" s="182">
        <v>9065</v>
      </c>
      <c r="L47" s="182">
        <v>10360</v>
      </c>
    </row>
    <row r="48" spans="2:12" ht="15" x14ac:dyDescent="0.25">
      <c r="B48" s="182" t="s">
        <v>196</v>
      </c>
      <c r="E48" s="208">
        <f t="shared" ref="E48:L48" si="1">E41</f>
        <v>15750000</v>
      </c>
      <c r="F48" s="208">
        <f t="shared" si="1"/>
        <v>47192194.161906086</v>
      </c>
      <c r="G48" s="204">
        <f t="shared" si="1"/>
        <v>67987500</v>
      </c>
      <c r="H48" s="208">
        <f t="shared" si="1"/>
        <v>90650000</v>
      </c>
      <c r="I48" s="208">
        <f t="shared" si="1"/>
        <v>113312500</v>
      </c>
      <c r="J48" s="208">
        <f t="shared" si="1"/>
        <v>135975000</v>
      </c>
      <c r="K48" s="208">
        <f t="shared" si="1"/>
        <v>158637500</v>
      </c>
      <c r="L48" s="208">
        <f t="shared" si="1"/>
        <v>181300000</v>
      </c>
    </row>
    <row r="49" spans="2:12" x14ac:dyDescent="0.25">
      <c r="B49" s="182" t="s">
        <v>200</v>
      </c>
      <c r="E49" s="208">
        <f t="shared" ref="E49:L49" si="2">E42+E43</f>
        <v>28644893</v>
      </c>
      <c r="F49" s="208">
        <f t="shared" si="2"/>
        <v>47192194.161906086</v>
      </c>
      <c r="G49" s="208">
        <f t="shared" si="2"/>
        <v>59459048</v>
      </c>
      <c r="H49" s="208">
        <f t="shared" si="2"/>
        <v>72827333</v>
      </c>
      <c r="I49" s="208">
        <f t="shared" si="2"/>
        <v>86195618</v>
      </c>
      <c r="J49" s="208">
        <f t="shared" si="2"/>
        <v>99563903</v>
      </c>
      <c r="K49" s="208">
        <f t="shared" si="2"/>
        <v>112932188</v>
      </c>
      <c r="L49" s="208">
        <f t="shared" si="2"/>
        <v>126300473</v>
      </c>
    </row>
    <row r="50" spans="2:12" x14ac:dyDescent="0.25">
      <c r="B50" s="182" t="s">
        <v>201</v>
      </c>
      <c r="E50" s="208">
        <f t="shared" ref="E50:L50" si="3">E44</f>
        <v>-12894893</v>
      </c>
      <c r="F50" s="208">
        <f t="shared" si="3"/>
        <v>0</v>
      </c>
      <c r="G50" s="208">
        <f t="shared" si="3"/>
        <v>8528452</v>
      </c>
      <c r="H50" s="208">
        <f t="shared" si="3"/>
        <v>17822667</v>
      </c>
      <c r="I50" s="208">
        <f t="shared" si="3"/>
        <v>27116882</v>
      </c>
      <c r="J50" s="208">
        <f t="shared" si="3"/>
        <v>36411097</v>
      </c>
      <c r="K50" s="208">
        <f t="shared" si="3"/>
        <v>45705312</v>
      </c>
      <c r="L50" s="208">
        <f t="shared" si="3"/>
        <v>54999527</v>
      </c>
    </row>
    <row r="51" spans="2:12" x14ac:dyDescent="0.25">
      <c r="G51" s="208"/>
    </row>
  </sheetData>
  <mergeCells count="3">
    <mergeCell ref="B28:K28"/>
    <mergeCell ref="D3:F3"/>
    <mergeCell ref="B5:J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85725</xdr:colOff>
                <xdr:row>5</xdr:row>
                <xdr:rowOff>9525</xdr:rowOff>
              </from>
              <to>
                <xdr:col>3</xdr:col>
                <xdr:colOff>447675</xdr:colOff>
                <xdr:row>11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12"/>
  <sheetViews>
    <sheetView tabSelected="1" workbookViewId="0">
      <selection activeCell="L8" sqref="L8"/>
    </sheetView>
  </sheetViews>
  <sheetFormatPr baseColWidth="10" defaultRowHeight="15" x14ac:dyDescent="0.25"/>
  <cols>
    <col min="1" max="1" width="29.42578125" bestFit="1" customWidth="1"/>
    <col min="2" max="2" width="20.7109375" customWidth="1"/>
    <col min="3" max="3" width="17.85546875" customWidth="1"/>
    <col min="4" max="7" width="14.42578125" customWidth="1"/>
  </cols>
  <sheetData>
    <row r="1" spans="1:7" s="73" customFormat="1" ht="16.5" x14ac:dyDescent="0.3">
      <c r="A1" s="71"/>
      <c r="B1" s="72"/>
      <c r="C1" s="72"/>
      <c r="D1" s="72"/>
      <c r="E1" s="72"/>
      <c r="F1" s="72"/>
      <c r="G1" s="72"/>
    </row>
    <row r="2" spans="1:7" s="73" customFormat="1" ht="16.5" x14ac:dyDescent="0.3">
      <c r="A2" s="356" t="s">
        <v>165</v>
      </c>
      <c r="B2" s="356"/>
      <c r="C2" s="356"/>
      <c r="D2" s="356"/>
      <c r="E2" s="356"/>
      <c r="F2" s="356"/>
      <c r="G2" s="356"/>
    </row>
    <row r="3" spans="1:7" s="73" customFormat="1" ht="16.5" x14ac:dyDescent="0.3">
      <c r="A3" s="158" t="s">
        <v>96</v>
      </c>
      <c r="B3" s="159" t="s">
        <v>124</v>
      </c>
      <c r="C3" s="159" t="s">
        <v>89</v>
      </c>
      <c r="D3" s="159" t="s">
        <v>90</v>
      </c>
      <c r="E3" s="159" t="s">
        <v>91</v>
      </c>
      <c r="F3" s="159" t="s">
        <v>92</v>
      </c>
      <c r="G3" s="159" t="s">
        <v>93</v>
      </c>
    </row>
    <row r="4" spans="1:7" s="73" customFormat="1" ht="16.5" x14ac:dyDescent="0.3">
      <c r="A4" s="74" t="s">
        <v>4</v>
      </c>
      <c r="B4" s="75"/>
      <c r="C4" s="75">
        <f>+'FLUJO-CAJA CON'!C7+'FLUJO-CAJA CON'!C15</f>
        <v>70872604.066666678</v>
      </c>
      <c r="D4" s="75">
        <f>+'FLUJO-CAJA CON'!D7+'FLUJO-CAJA CON'!D15</f>
        <v>96229927.252141923</v>
      </c>
      <c r="E4" s="75">
        <f>+'FLUJO-CAJA CON'!E7+'FLUJO-CAJA CON'!E15</f>
        <v>123236241.53333052</v>
      </c>
      <c r="F4" s="75">
        <f>+'FLUJO-CAJA CON'!F7+'FLUJO-CAJA CON'!F15</f>
        <v>160326828.31534868</v>
      </c>
      <c r="G4" s="75">
        <f>+'FLUJO-CAJA CON'!G7+'FLUJO-CAJA CON'!G15</f>
        <v>194434699.47653881</v>
      </c>
    </row>
    <row r="5" spans="1:7" s="73" customFormat="1" ht="16.5" x14ac:dyDescent="0.3">
      <c r="A5" s="74" t="s">
        <v>97</v>
      </c>
      <c r="B5" s="75"/>
      <c r="C5" s="75">
        <f>-'FLUJO-CAJA CON'!C28</f>
        <v>-66454852.856191419</v>
      </c>
      <c r="D5" s="75">
        <f>-'FLUJO-CAJA CON'!D28</f>
        <v>-88768049.406311408</v>
      </c>
      <c r="E5" s="75">
        <f>-'FLUJO-CAJA CON'!E28</f>
        <v>-108785111.46423182</v>
      </c>
      <c r="F5" s="75">
        <f>-'FLUJO-CAJA CON'!F28</f>
        <v>-149695508.62908489</v>
      </c>
      <c r="G5" s="75">
        <f>-'FLUJO-CAJA CON'!G28</f>
        <v>-182827577.76143834</v>
      </c>
    </row>
    <row r="6" spans="1:7" s="73" customFormat="1" ht="16.5" x14ac:dyDescent="0.3">
      <c r="A6" s="160" t="s">
        <v>98</v>
      </c>
      <c r="B6" s="163">
        <f>-'FLUJO-CAJA CON'!B16</f>
        <v>-14640899</v>
      </c>
      <c r="C6" s="163">
        <f>SUM(C4:C5)</f>
        <v>4417751.2104752585</v>
      </c>
      <c r="D6" s="163">
        <f>SUM(D4:D5)</f>
        <v>7461877.845830515</v>
      </c>
      <c r="E6" s="163">
        <f>SUM(E4:E5)</f>
        <v>14451130.069098696</v>
      </c>
      <c r="F6" s="163">
        <f>SUM(F4:F5)</f>
        <v>10631319.6862638</v>
      </c>
      <c r="G6" s="163">
        <f>SUM(G4:G5)</f>
        <v>11607121.715100467</v>
      </c>
    </row>
    <row r="7" spans="1:7" s="73" customFormat="1" ht="16.5" x14ac:dyDescent="0.3">
      <c r="A7" s="71"/>
      <c r="B7" s="72"/>
      <c r="C7" s="72"/>
      <c r="D7" s="72"/>
      <c r="E7" s="72"/>
      <c r="F7" s="72"/>
      <c r="G7" s="72"/>
    </row>
    <row r="8" spans="1:7" s="73" customFormat="1" ht="16.5" x14ac:dyDescent="0.3">
      <c r="A8" s="160" t="s">
        <v>99</v>
      </c>
      <c r="B8" s="161">
        <f>NPV(C8,C6:G6)+B6</f>
        <v>21926848.564382032</v>
      </c>
      <c r="C8" s="102">
        <v>0.09</v>
      </c>
      <c r="D8" s="72"/>
      <c r="E8" s="72"/>
      <c r="F8" s="72"/>
      <c r="G8" s="72"/>
    </row>
    <row r="9" spans="1:7" s="73" customFormat="1" ht="16.5" x14ac:dyDescent="0.3">
      <c r="A9" s="160" t="s">
        <v>100</v>
      </c>
      <c r="B9" s="162">
        <f>IRR(B6:G6,C8)</f>
        <v>0.48217572309306189</v>
      </c>
      <c r="C9" s="72"/>
      <c r="D9" s="72"/>
      <c r="E9" s="72"/>
      <c r="F9" s="72"/>
      <c r="G9" s="72"/>
    </row>
    <row r="10" spans="1:7" s="73" customFormat="1" ht="16.5" x14ac:dyDescent="0.3">
      <c r="A10" s="211"/>
      <c r="B10" s="212"/>
      <c r="C10" s="72"/>
      <c r="D10" s="72"/>
      <c r="E10" s="72"/>
      <c r="F10" s="72"/>
      <c r="G10" s="72"/>
    </row>
    <row r="11" spans="1:7" s="73" customFormat="1" ht="46.5" customHeight="1" x14ac:dyDescent="0.3">
      <c r="A11" s="71"/>
      <c r="B11" s="73" t="s">
        <v>125</v>
      </c>
      <c r="F11" s="72"/>
      <c r="G11" s="72"/>
    </row>
    <row r="12" spans="1:7" x14ac:dyDescent="0.25">
      <c r="C12" s="101"/>
    </row>
  </sheetData>
  <mergeCells count="1">
    <mergeCell ref="A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O35"/>
  <sheetViews>
    <sheetView topLeftCell="N2" zoomScale="110" zoomScaleNormal="110" workbookViewId="0">
      <selection activeCell="V17" sqref="V17"/>
    </sheetView>
  </sheetViews>
  <sheetFormatPr baseColWidth="10" defaultRowHeight="15" x14ac:dyDescent="0.25"/>
  <cols>
    <col min="2" max="2" width="29.7109375" bestFit="1" customWidth="1"/>
    <col min="3" max="3" width="18.85546875" customWidth="1"/>
    <col min="4" max="4" width="20.7109375" customWidth="1"/>
    <col min="5" max="6" width="21.85546875" customWidth="1"/>
    <col min="7" max="9" width="20.85546875" customWidth="1"/>
    <col min="10" max="10" width="18.7109375" bestFit="1" customWidth="1"/>
    <col min="11" max="11" width="20.85546875" bestFit="1" customWidth="1"/>
    <col min="12" max="12" width="20.85546875" customWidth="1"/>
    <col min="13" max="13" width="22.7109375" bestFit="1" customWidth="1"/>
    <col min="14" max="14" width="20.5703125" bestFit="1" customWidth="1"/>
    <col min="15" max="15" width="13" bestFit="1" customWidth="1"/>
    <col min="16" max="16" width="12.5703125" bestFit="1" customWidth="1"/>
  </cols>
  <sheetData>
    <row r="1" spans="2:15" x14ac:dyDescent="0.25">
      <c r="E1" s="273" t="s">
        <v>278</v>
      </c>
      <c r="F1" s="273"/>
      <c r="G1" s="273" t="s">
        <v>255</v>
      </c>
      <c r="H1" s="273"/>
      <c r="I1" s="273" t="s">
        <v>256</v>
      </c>
      <c r="J1" s="273"/>
      <c r="K1" s="273" t="s">
        <v>257</v>
      </c>
      <c r="L1" s="273"/>
      <c r="M1" s="273" t="s">
        <v>279</v>
      </c>
      <c r="N1" s="273"/>
    </row>
    <row r="2" spans="2:15" x14ac:dyDescent="0.25">
      <c r="E2" s="253"/>
      <c r="F2" s="253"/>
      <c r="G2">
        <v>1.05</v>
      </c>
    </row>
    <row r="3" spans="2:15" x14ac:dyDescent="0.25">
      <c r="B3" s="237" t="s">
        <v>68</v>
      </c>
      <c r="C3" s="240" t="s">
        <v>240</v>
      </c>
      <c r="D3" s="240" t="s">
        <v>218</v>
      </c>
      <c r="E3" s="240" t="s">
        <v>258</v>
      </c>
      <c r="F3" s="240" t="s">
        <v>259</v>
      </c>
      <c r="G3" s="240" t="s">
        <v>270</v>
      </c>
      <c r="H3" s="240" t="s">
        <v>271</v>
      </c>
      <c r="I3" s="240" t="s">
        <v>272</v>
      </c>
      <c r="J3" s="240" t="s">
        <v>273</v>
      </c>
      <c r="K3" s="240" t="s">
        <v>274</v>
      </c>
      <c r="L3" s="240" t="s">
        <v>277</v>
      </c>
      <c r="M3" s="240" t="s">
        <v>276</v>
      </c>
      <c r="N3" s="247" t="s">
        <v>275</v>
      </c>
      <c r="O3" s="250"/>
    </row>
    <row r="4" spans="2:15" x14ac:dyDescent="0.25">
      <c r="B4" s="238" t="s">
        <v>241</v>
      </c>
      <c r="C4" s="238" t="s">
        <v>242</v>
      </c>
      <c r="D4" s="241">
        <v>1900</v>
      </c>
      <c r="E4" s="241">
        <f>500*D4</f>
        <v>950000</v>
      </c>
      <c r="F4" s="241">
        <f>+E4*8.3</f>
        <v>7885000.0000000009</v>
      </c>
      <c r="G4" s="241">
        <f>(612*D4)*$G$2</f>
        <v>1220940</v>
      </c>
      <c r="H4" s="5">
        <f>G4*8.3</f>
        <v>10133802</v>
      </c>
      <c r="I4" s="5">
        <f>+(D4*734)*G2</f>
        <v>1464330</v>
      </c>
      <c r="J4" s="5">
        <f>I4*8.3</f>
        <v>12153939.000000002</v>
      </c>
      <c r="K4" s="5">
        <f>+D4*881</f>
        <v>1673900</v>
      </c>
      <c r="L4" s="5">
        <f>+K4*8.3</f>
        <v>13893370.000000002</v>
      </c>
      <c r="M4" s="5">
        <f>+D4*1058</f>
        <v>2010200</v>
      </c>
      <c r="N4" s="248">
        <f>+M4*8.3</f>
        <v>16684660.000000002</v>
      </c>
      <c r="O4" s="23"/>
    </row>
    <row r="5" spans="2:15" x14ac:dyDescent="0.25">
      <c r="B5" s="238" t="s">
        <v>243</v>
      </c>
      <c r="C5" s="238" t="s">
        <v>244</v>
      </c>
      <c r="D5" s="241">
        <v>90000</v>
      </c>
      <c r="E5" s="241">
        <f>15*D5</f>
        <v>1350000</v>
      </c>
      <c r="F5" s="241">
        <f t="shared" ref="F5:F13" si="0">+E5*8.3</f>
        <v>11205000.000000002</v>
      </c>
      <c r="G5" s="241">
        <f>(18*D5)*$G$2</f>
        <v>1701000</v>
      </c>
      <c r="H5" s="5">
        <f>G5*8.3</f>
        <v>14118300.000000002</v>
      </c>
      <c r="I5" s="5">
        <f>+(E28*D5)*$G$2</f>
        <v>2080890</v>
      </c>
      <c r="J5" s="5">
        <f t="shared" ref="J5:J13" si="1">I5*8.3</f>
        <v>17271387</v>
      </c>
      <c r="K5" s="5">
        <f>+(E31*D5)*G2</f>
        <v>2497635</v>
      </c>
      <c r="L5" s="5">
        <f>+K5*8.3</f>
        <v>20730370.5</v>
      </c>
      <c r="M5" s="5">
        <f>+(E35*D5)*G2</f>
        <v>2999430</v>
      </c>
      <c r="N5" s="5">
        <f>+M5*8.3</f>
        <v>24895269.000000004</v>
      </c>
      <c r="O5" s="23"/>
    </row>
    <row r="6" spans="2:15" x14ac:dyDescent="0.25">
      <c r="B6" s="238" t="s">
        <v>245</v>
      </c>
      <c r="C6" s="238" t="s">
        <v>244</v>
      </c>
      <c r="D6" s="241">
        <v>90000</v>
      </c>
      <c r="E6" s="241">
        <f>20*D6</f>
        <v>1800000</v>
      </c>
      <c r="F6" s="241">
        <f>+E6*8.3</f>
        <v>14940000.000000002</v>
      </c>
      <c r="G6" s="241">
        <f>(37*D6)*$G$2</f>
        <v>3496500</v>
      </c>
      <c r="H6" s="5">
        <f t="shared" ref="H6:H13" si="2">G6*8.3</f>
        <v>29020950.000000004</v>
      </c>
      <c r="I6" s="5">
        <f>+(F28*D6)*G2</f>
        <v>4161780</v>
      </c>
      <c r="J6" s="5">
        <f>I6*8.3</f>
        <v>34542774</v>
      </c>
      <c r="K6" s="5">
        <f>+(F31*D6)*G2</f>
        <v>4995270</v>
      </c>
      <c r="L6" s="5">
        <f t="shared" ref="L6:L13" si="3">+K6*8.3</f>
        <v>41460741</v>
      </c>
      <c r="M6" s="5">
        <f>+(F35*D6)*G2</f>
        <v>5998860</v>
      </c>
      <c r="N6" s="5">
        <f t="shared" ref="N6:N13" si="4">+M6*8.3</f>
        <v>49790538.000000007</v>
      </c>
      <c r="O6" s="23"/>
    </row>
    <row r="7" spans="2:15" x14ac:dyDescent="0.25">
      <c r="B7" s="238" t="s">
        <v>246</v>
      </c>
      <c r="C7" s="239" t="s">
        <v>244</v>
      </c>
      <c r="D7" s="241">
        <v>70000</v>
      </c>
      <c r="E7" s="241">
        <f>11*D7</f>
        <v>770000</v>
      </c>
      <c r="F7" s="241">
        <f t="shared" si="0"/>
        <v>6391000.0000000009</v>
      </c>
      <c r="G7" s="241">
        <f>(13.5*D7)*$G$2</f>
        <v>992250</v>
      </c>
      <c r="H7" s="5">
        <f t="shared" si="2"/>
        <v>8235675.0000000009</v>
      </c>
      <c r="I7" s="5">
        <f>+(G28*D7)*G2</f>
        <v>1780317</v>
      </c>
      <c r="J7" s="5">
        <f t="shared" si="1"/>
        <v>14776631.100000001</v>
      </c>
      <c r="K7" s="5">
        <f>+(G31*D7)*G2</f>
        <v>2136865.5</v>
      </c>
      <c r="L7" s="5">
        <f t="shared" si="3"/>
        <v>17735983.650000002</v>
      </c>
      <c r="M7" s="5">
        <f>+(G35*D7)*G2</f>
        <v>2566179</v>
      </c>
      <c r="N7" s="5">
        <f t="shared" si="4"/>
        <v>21299285.700000003</v>
      </c>
      <c r="O7" s="23"/>
    </row>
    <row r="8" spans="2:15" x14ac:dyDescent="0.25">
      <c r="B8" s="238" t="s">
        <v>247</v>
      </c>
      <c r="C8" s="238" t="s">
        <v>248</v>
      </c>
      <c r="D8" s="241">
        <v>6000</v>
      </c>
      <c r="E8" s="241">
        <f>15*D8</f>
        <v>90000</v>
      </c>
      <c r="F8" s="241">
        <f t="shared" si="0"/>
        <v>747000.00000000012</v>
      </c>
      <c r="G8" s="241">
        <f>(18*D8)*$G$2</f>
        <v>113400</v>
      </c>
      <c r="H8" s="5">
        <f t="shared" si="2"/>
        <v>941220.00000000012</v>
      </c>
      <c r="I8" s="5">
        <f>+(22*D8)*G2</f>
        <v>138600</v>
      </c>
      <c r="J8" s="5">
        <f t="shared" si="1"/>
        <v>1150380</v>
      </c>
      <c r="K8" s="5">
        <f>+(H31*D8)*G2</f>
        <v>166509</v>
      </c>
      <c r="L8" s="5">
        <f t="shared" si="3"/>
        <v>1382024.7000000002</v>
      </c>
      <c r="M8" s="5">
        <f>+(H35*D8)*G2</f>
        <v>199962</v>
      </c>
      <c r="N8" s="5">
        <f t="shared" si="4"/>
        <v>1659684.6</v>
      </c>
      <c r="O8" s="23"/>
    </row>
    <row r="9" spans="2:15" x14ac:dyDescent="0.25">
      <c r="B9" s="238" t="s">
        <v>249</v>
      </c>
      <c r="C9" s="238" t="s">
        <v>242</v>
      </c>
      <c r="D9" s="241">
        <v>5000</v>
      </c>
      <c r="E9" s="241">
        <f>15*D9</f>
        <v>75000</v>
      </c>
      <c r="F9" s="241">
        <f>+E9*8.3</f>
        <v>622500</v>
      </c>
      <c r="G9" s="241">
        <f>(18*D9)*$G$2</f>
        <v>94500</v>
      </c>
      <c r="H9" s="5">
        <f t="shared" si="2"/>
        <v>784350.00000000012</v>
      </c>
      <c r="I9" s="5">
        <f>+(22*D9)*G2</f>
        <v>115500</v>
      </c>
      <c r="J9" s="5">
        <f t="shared" si="1"/>
        <v>958650.00000000012</v>
      </c>
      <c r="K9" s="5">
        <f>+(I31*D9)*G2</f>
        <v>138757.5</v>
      </c>
      <c r="L9" s="5">
        <f t="shared" si="3"/>
        <v>1151687.25</v>
      </c>
      <c r="M9" s="5">
        <f>+(I35*D9)*G2</f>
        <v>166635</v>
      </c>
      <c r="N9" s="5">
        <f t="shared" si="4"/>
        <v>1383070.5000000002</v>
      </c>
      <c r="O9" s="23"/>
    </row>
    <row r="10" spans="2:15" x14ac:dyDescent="0.25">
      <c r="B10" s="238" t="s">
        <v>250</v>
      </c>
      <c r="C10" s="246" t="s">
        <v>266</v>
      </c>
      <c r="D10" s="241">
        <v>208</v>
      </c>
      <c r="E10" s="241">
        <f>60*D10</f>
        <v>12480</v>
      </c>
      <c r="F10" s="241">
        <f t="shared" si="0"/>
        <v>103584.00000000001</v>
      </c>
      <c r="G10" s="241">
        <f>(73*D10)*$G$2</f>
        <v>15943.2</v>
      </c>
      <c r="H10" s="5">
        <f t="shared" si="2"/>
        <v>132328.56000000003</v>
      </c>
      <c r="I10" s="5">
        <f>+(J28*D10)*G2</f>
        <v>19236.671999999999</v>
      </c>
      <c r="J10" s="5">
        <f t="shared" si="1"/>
        <v>159664.37760000001</v>
      </c>
      <c r="K10" s="5">
        <f>+(J31*D10)*G2</f>
        <v>23089.248</v>
      </c>
      <c r="L10" s="5">
        <f t="shared" si="3"/>
        <v>191640.75840000002</v>
      </c>
      <c r="M10" s="5">
        <f>+(J35*D10)*G2</f>
        <v>27728.064000000002</v>
      </c>
      <c r="N10" s="5">
        <f t="shared" si="4"/>
        <v>230142.93120000005</v>
      </c>
      <c r="O10" s="23"/>
    </row>
    <row r="11" spans="2:15" x14ac:dyDescent="0.25">
      <c r="B11" s="238" t="s">
        <v>251</v>
      </c>
      <c r="C11" s="238" t="s">
        <v>252</v>
      </c>
      <c r="D11" s="241">
        <v>3000</v>
      </c>
      <c r="E11" s="241">
        <f>3*D11</f>
        <v>9000</v>
      </c>
      <c r="F11" s="241">
        <f t="shared" si="0"/>
        <v>74700</v>
      </c>
      <c r="G11" s="241">
        <f>(4*D11)*$G$2</f>
        <v>12600</v>
      </c>
      <c r="H11" s="5">
        <f t="shared" si="2"/>
        <v>104580.00000000001</v>
      </c>
      <c r="I11" s="5">
        <f>+(K28*D11)*G2</f>
        <v>13872.6</v>
      </c>
      <c r="J11" s="5">
        <f t="shared" si="1"/>
        <v>115142.58000000002</v>
      </c>
      <c r="K11" s="5">
        <f>+(K31*D11)*G2</f>
        <v>16650.900000000001</v>
      </c>
      <c r="L11" s="5">
        <f t="shared" si="3"/>
        <v>138202.47000000003</v>
      </c>
      <c r="M11" s="5">
        <f>+(K35*D11)*G2</f>
        <v>19996.2</v>
      </c>
      <c r="N11" s="5">
        <f t="shared" si="4"/>
        <v>165968.46000000002</v>
      </c>
      <c r="O11" s="23"/>
    </row>
    <row r="12" spans="2:15" x14ac:dyDescent="0.25">
      <c r="B12" s="238" t="s">
        <v>253</v>
      </c>
      <c r="C12" s="239" t="s">
        <v>244</v>
      </c>
      <c r="D12" s="241">
        <v>5000</v>
      </c>
      <c r="E12" s="241">
        <f>3*D12</f>
        <v>15000</v>
      </c>
      <c r="F12" s="241">
        <f t="shared" si="0"/>
        <v>124500.00000000001</v>
      </c>
      <c r="G12" s="241">
        <f>(4*D12)*$G$2</f>
        <v>21000</v>
      </c>
      <c r="H12" s="5">
        <f t="shared" si="2"/>
        <v>174300.00000000003</v>
      </c>
      <c r="I12" s="5">
        <f>+(L28*D12)*G2</f>
        <v>23121</v>
      </c>
      <c r="J12" s="5">
        <f t="shared" si="1"/>
        <v>191904.30000000002</v>
      </c>
      <c r="K12" s="5">
        <f>+(L31*D12)*G2</f>
        <v>27751.500000000004</v>
      </c>
      <c r="L12" s="5">
        <f t="shared" si="3"/>
        <v>230337.45000000004</v>
      </c>
      <c r="M12" s="5">
        <f>+(L35*D12)*G2</f>
        <v>33327</v>
      </c>
      <c r="N12" s="5">
        <f t="shared" si="4"/>
        <v>276614.10000000003</v>
      </c>
      <c r="O12" s="23"/>
    </row>
    <row r="13" spans="2:15" x14ac:dyDescent="0.25">
      <c r="B13" s="238" t="s">
        <v>254</v>
      </c>
      <c r="C13" s="238" t="s">
        <v>244</v>
      </c>
      <c r="D13" s="241">
        <v>15000</v>
      </c>
      <c r="E13" s="241">
        <f>3*D13</f>
        <v>45000</v>
      </c>
      <c r="F13" s="241">
        <f t="shared" si="0"/>
        <v>373500.00000000006</v>
      </c>
      <c r="G13" s="241">
        <f>(4*D13)*$G$2</f>
        <v>63000</v>
      </c>
      <c r="H13" s="5">
        <f t="shared" si="2"/>
        <v>522900.00000000006</v>
      </c>
      <c r="I13" s="5">
        <f>+(M28*D13)*G2</f>
        <v>69363</v>
      </c>
      <c r="J13" s="5">
        <f t="shared" si="1"/>
        <v>575712.9</v>
      </c>
      <c r="K13" s="5">
        <f>+(M31*D13)*G2</f>
        <v>83254.5</v>
      </c>
      <c r="L13" s="5">
        <f t="shared" si="3"/>
        <v>691012.35000000009</v>
      </c>
      <c r="M13" s="5">
        <f>+(M35*D13)*G2</f>
        <v>99981</v>
      </c>
      <c r="N13" s="5">
        <f t="shared" si="4"/>
        <v>829842.3</v>
      </c>
      <c r="O13" s="23"/>
    </row>
    <row r="14" spans="2:15" x14ac:dyDescent="0.25">
      <c r="E14" s="249">
        <f>+SUM(E4:E13)</f>
        <v>5116480</v>
      </c>
      <c r="F14" s="249">
        <f t="shared" ref="F14:N14" si="5">+SUM(F4:F13)</f>
        <v>42466784.000000007</v>
      </c>
      <c r="G14" s="249">
        <f>+SUM(G4:G13)</f>
        <v>7731133.2000000002</v>
      </c>
      <c r="H14" s="249">
        <f t="shared" si="5"/>
        <v>64168405.560000002</v>
      </c>
      <c r="I14" s="249">
        <f t="shared" si="5"/>
        <v>9867010.2719999999</v>
      </c>
      <c r="J14" s="249">
        <f t="shared" si="5"/>
        <v>81896185.257599995</v>
      </c>
      <c r="K14" s="249">
        <f t="shared" si="5"/>
        <v>11759683.148</v>
      </c>
      <c r="L14" s="249">
        <f t="shared" si="5"/>
        <v>97605370.128399998</v>
      </c>
      <c r="M14" s="249">
        <f t="shared" si="5"/>
        <v>14122298.263999999</v>
      </c>
      <c r="N14" s="249">
        <f t="shared" si="5"/>
        <v>117215075.59119999</v>
      </c>
      <c r="O14" s="252"/>
    </row>
    <row r="15" spans="2:15" x14ac:dyDescent="0.25">
      <c r="E15" s="254">
        <v>500</v>
      </c>
      <c r="F15" s="254"/>
      <c r="G15" s="255">
        <v>612</v>
      </c>
      <c r="H15" s="254"/>
      <c r="I15">
        <v>734</v>
      </c>
      <c r="J15" s="134"/>
      <c r="K15" s="134">
        <v>881</v>
      </c>
      <c r="L15" s="251"/>
      <c r="M15" s="134">
        <v>1058</v>
      </c>
      <c r="N15" s="134"/>
      <c r="O15" s="134"/>
    </row>
    <row r="16" spans="2:15" x14ac:dyDescent="0.25">
      <c r="E16" s="101">
        <f>E14/E15</f>
        <v>10232.959999999999</v>
      </c>
      <c r="F16" s="101"/>
      <c r="G16" s="242">
        <f>+G14/G15</f>
        <v>12632.570588235294</v>
      </c>
      <c r="I16" s="3">
        <f>+I14/I15</f>
        <v>13442.793286103542</v>
      </c>
      <c r="J16" s="21"/>
      <c r="K16" s="23">
        <f>+K14/K15</f>
        <v>13348.108</v>
      </c>
      <c r="L16" s="23"/>
      <c r="M16" s="23">
        <f>+M14/M15</f>
        <v>13348.107999999998</v>
      </c>
      <c r="N16" s="21"/>
      <c r="O16" s="21"/>
    </row>
    <row r="17" spans="2:14" x14ac:dyDescent="0.25">
      <c r="J17" s="3"/>
      <c r="K17" s="3"/>
      <c r="N17" s="3"/>
    </row>
    <row r="18" spans="2:14" x14ac:dyDescent="0.25">
      <c r="B18" s="3">
        <f>25000/120</f>
        <v>208.33333333333334</v>
      </c>
      <c r="F18" s="260">
        <f>+F14/500</f>
        <v>84933.568000000014</v>
      </c>
    </row>
    <row r="19" spans="2:14" x14ac:dyDescent="0.25">
      <c r="F19" s="261">
        <f>+F18/8.1</f>
        <v>10485.625679012348</v>
      </c>
    </row>
    <row r="20" spans="2:14" x14ac:dyDescent="0.25">
      <c r="E20" t="s">
        <v>260</v>
      </c>
      <c r="F20" t="s">
        <v>261</v>
      </c>
      <c r="G20" t="s">
        <v>262</v>
      </c>
      <c r="H20" t="s">
        <v>263</v>
      </c>
      <c r="I20" t="s">
        <v>264</v>
      </c>
      <c r="J20" t="s">
        <v>265</v>
      </c>
      <c r="K20" t="s">
        <v>267</v>
      </c>
      <c r="L20" t="s">
        <v>268</v>
      </c>
      <c r="M20" t="s">
        <v>269</v>
      </c>
    </row>
    <row r="21" spans="2:14" x14ac:dyDescent="0.25">
      <c r="D21" s="274">
        <v>612</v>
      </c>
      <c r="E21">
        <f>15*80</f>
        <v>1200</v>
      </c>
      <c r="F21">
        <f>30*80</f>
        <v>2400</v>
      </c>
      <c r="G21" s="243">
        <f>120*11</f>
        <v>1320</v>
      </c>
    </row>
    <row r="22" spans="2:14" x14ac:dyDescent="0.25">
      <c r="D22" s="274"/>
      <c r="E22">
        <f>+E21/500</f>
        <v>2.4</v>
      </c>
      <c r="F22">
        <f>+F21/500</f>
        <v>4.8</v>
      </c>
      <c r="G22">
        <f>+G21/500</f>
        <v>2.64</v>
      </c>
    </row>
    <row r="23" spans="2:14" x14ac:dyDescent="0.25">
      <c r="D23" s="274"/>
      <c r="E23" s="243">
        <f>+E22*612</f>
        <v>1468.8</v>
      </c>
      <c r="F23" s="243">
        <f>+F22*612</f>
        <v>2937.6</v>
      </c>
      <c r="G23" s="243">
        <f>+G22*612</f>
        <v>1615.68</v>
      </c>
      <c r="H23">
        <f>15/500</f>
        <v>0.03</v>
      </c>
      <c r="I23">
        <f>15/500</f>
        <v>0.03</v>
      </c>
      <c r="J23">
        <f>60/500</f>
        <v>0.12</v>
      </c>
      <c r="K23">
        <f>3/500</f>
        <v>6.0000000000000001E-3</v>
      </c>
      <c r="L23">
        <f>3/500</f>
        <v>6.0000000000000001E-3</v>
      </c>
      <c r="M23">
        <f>3/500</f>
        <v>6.0000000000000001E-3</v>
      </c>
    </row>
    <row r="24" spans="2:14" x14ac:dyDescent="0.25">
      <c r="E24" s="243">
        <f>+E23/80</f>
        <v>18.36</v>
      </c>
      <c r="F24" s="243">
        <f>+F23/80</f>
        <v>36.72</v>
      </c>
      <c r="G24" s="244">
        <f>+G23/120</f>
        <v>13.464</v>
      </c>
      <c r="H24" s="243">
        <f t="shared" ref="H24:M24" si="6">+H23*612</f>
        <v>18.36</v>
      </c>
      <c r="I24" s="243">
        <f t="shared" si="6"/>
        <v>18.36</v>
      </c>
      <c r="J24" s="243">
        <f t="shared" si="6"/>
        <v>73.44</v>
      </c>
      <c r="K24">
        <f t="shared" si="6"/>
        <v>3.6720000000000002</v>
      </c>
      <c r="L24" s="245">
        <f t="shared" si="6"/>
        <v>3.6720000000000002</v>
      </c>
      <c r="M24" s="245">
        <f t="shared" si="6"/>
        <v>3.6720000000000002</v>
      </c>
    </row>
    <row r="27" spans="2:14" x14ac:dyDescent="0.25">
      <c r="D27" s="274">
        <v>734</v>
      </c>
      <c r="E27" s="243">
        <f>+E22*734</f>
        <v>1761.6</v>
      </c>
      <c r="F27" s="243">
        <f>+F22*734</f>
        <v>3523.2</v>
      </c>
      <c r="G27" s="243">
        <f t="shared" ref="G27" si="7">+G22*734</f>
        <v>1937.76</v>
      </c>
    </row>
    <row r="28" spans="2:14" x14ac:dyDescent="0.25">
      <c r="D28" s="274"/>
      <c r="E28" s="243">
        <f>+E27/80</f>
        <v>22.02</v>
      </c>
      <c r="F28" s="243">
        <f t="shared" ref="F28:G28" si="8">+F27/80</f>
        <v>44.04</v>
      </c>
      <c r="G28" s="243">
        <f t="shared" si="8"/>
        <v>24.222000000000001</v>
      </c>
      <c r="H28" s="243">
        <f>+H23*734</f>
        <v>22.02</v>
      </c>
      <c r="I28" s="243">
        <f t="shared" ref="I28" si="9">+I23*734</f>
        <v>22.02</v>
      </c>
      <c r="J28" s="243">
        <f>+J23*734</f>
        <v>88.08</v>
      </c>
      <c r="K28" s="245">
        <f>+K23*734</f>
        <v>4.4039999999999999</v>
      </c>
      <c r="L28" s="245">
        <f>+L23*734</f>
        <v>4.4039999999999999</v>
      </c>
      <c r="M28" s="245">
        <f>+M23*734</f>
        <v>4.4039999999999999</v>
      </c>
    </row>
    <row r="30" spans="2:14" x14ac:dyDescent="0.25">
      <c r="D30" s="274">
        <v>881</v>
      </c>
      <c r="E30" s="243">
        <f>+E22*881</f>
        <v>2114.4</v>
      </c>
      <c r="F30" s="243">
        <f t="shared" ref="F30:G30" si="10">+F22*881</f>
        <v>4228.8</v>
      </c>
      <c r="G30" s="243">
        <f t="shared" si="10"/>
        <v>2325.84</v>
      </c>
    </row>
    <row r="31" spans="2:14" x14ac:dyDescent="0.25">
      <c r="D31" s="274"/>
      <c r="E31" s="243">
        <f>+E30/80</f>
        <v>26.43</v>
      </c>
      <c r="F31" s="243">
        <f t="shared" ref="F31:G31" si="11">+F30/80</f>
        <v>52.86</v>
      </c>
      <c r="G31" s="243">
        <f t="shared" si="11"/>
        <v>29.073</v>
      </c>
      <c r="H31" s="244">
        <f t="shared" ref="H31:M31" si="12">+H23*$D$30</f>
        <v>26.43</v>
      </c>
      <c r="I31" s="244">
        <f t="shared" si="12"/>
        <v>26.43</v>
      </c>
      <c r="J31" s="244">
        <f t="shared" si="12"/>
        <v>105.72</v>
      </c>
      <c r="K31" s="244">
        <f t="shared" si="12"/>
        <v>5.2860000000000005</v>
      </c>
      <c r="L31" s="244">
        <f t="shared" si="12"/>
        <v>5.2860000000000005</v>
      </c>
      <c r="M31" s="244">
        <f t="shared" si="12"/>
        <v>5.2860000000000005</v>
      </c>
    </row>
    <row r="33" spans="4:13" x14ac:dyDescent="0.25">
      <c r="D33" s="274">
        <v>1058</v>
      </c>
    </row>
    <row r="34" spans="4:13" x14ac:dyDescent="0.25">
      <c r="D34" s="274"/>
      <c r="E34">
        <f>+E22*$D$33</f>
        <v>2539.1999999999998</v>
      </c>
      <c r="F34">
        <f>+F22*$D$33</f>
        <v>5078.3999999999996</v>
      </c>
      <c r="G34">
        <f>+G22*$D$33</f>
        <v>2793.1200000000003</v>
      </c>
    </row>
    <row r="35" spans="4:13" x14ac:dyDescent="0.25">
      <c r="E35">
        <f>+E34/80</f>
        <v>31.74</v>
      </c>
      <c r="F35">
        <f>+F34/80</f>
        <v>63.48</v>
      </c>
      <c r="G35">
        <f t="shared" ref="G35" si="13">+G34/80</f>
        <v>34.914000000000001</v>
      </c>
      <c r="H35">
        <f t="shared" ref="H35:M35" si="14">+H23*$D$33</f>
        <v>31.74</v>
      </c>
      <c r="I35">
        <f t="shared" si="14"/>
        <v>31.74</v>
      </c>
      <c r="J35">
        <f t="shared" si="14"/>
        <v>126.96</v>
      </c>
      <c r="K35">
        <f t="shared" si="14"/>
        <v>6.3479999999999999</v>
      </c>
      <c r="L35">
        <f t="shared" si="14"/>
        <v>6.3479999999999999</v>
      </c>
      <c r="M35">
        <f t="shared" si="14"/>
        <v>6.3479999999999999</v>
      </c>
    </row>
  </sheetData>
  <mergeCells count="9">
    <mergeCell ref="K1:L1"/>
    <mergeCell ref="M1:N1"/>
    <mergeCell ref="D33:D34"/>
    <mergeCell ref="D21:D23"/>
    <mergeCell ref="D27:D28"/>
    <mergeCell ref="D30:D31"/>
    <mergeCell ref="E1:F1"/>
    <mergeCell ref="G1:H1"/>
    <mergeCell ref="I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69"/>
  <sheetViews>
    <sheetView workbookViewId="0">
      <selection activeCell="C2" sqref="C2"/>
    </sheetView>
  </sheetViews>
  <sheetFormatPr baseColWidth="10" defaultRowHeight="15" x14ac:dyDescent="0.25"/>
  <cols>
    <col min="1" max="1" width="5" style="8" customWidth="1"/>
    <col min="2" max="2" width="16.28515625" bestFit="1" customWidth="1"/>
    <col min="3" max="3" width="14.42578125" customWidth="1"/>
    <col min="4" max="4" width="15.7109375" customWidth="1"/>
    <col min="5" max="5" width="18.7109375" customWidth="1"/>
    <col min="8" max="8" width="5.7109375" style="3" customWidth="1"/>
    <col min="9" max="11" width="13.7109375" bestFit="1" customWidth="1"/>
    <col min="12" max="12" width="15" bestFit="1" customWidth="1"/>
    <col min="257" max="257" width="5" customWidth="1"/>
    <col min="258" max="258" width="16.28515625" bestFit="1" customWidth="1"/>
    <col min="259" max="259" width="13.85546875" bestFit="1" customWidth="1"/>
    <col min="260" max="260" width="14.7109375" bestFit="1" customWidth="1"/>
    <col min="261" max="261" width="18.7109375" customWidth="1"/>
    <col min="264" max="264" width="31.140625" customWidth="1"/>
    <col min="513" max="513" width="5" customWidth="1"/>
    <col min="514" max="514" width="16.28515625" bestFit="1" customWidth="1"/>
    <col min="515" max="515" width="13.85546875" bestFit="1" customWidth="1"/>
    <col min="516" max="516" width="14.7109375" bestFit="1" customWidth="1"/>
    <col min="517" max="517" width="18.7109375" customWidth="1"/>
    <col min="520" max="520" width="31.140625" customWidth="1"/>
    <col min="769" max="769" width="5" customWidth="1"/>
    <col min="770" max="770" width="16.28515625" bestFit="1" customWidth="1"/>
    <col min="771" max="771" width="13.85546875" bestFit="1" customWidth="1"/>
    <col min="772" max="772" width="14.7109375" bestFit="1" customWidth="1"/>
    <col min="773" max="773" width="18.7109375" customWidth="1"/>
    <col min="776" max="776" width="31.140625" customWidth="1"/>
    <col min="1025" max="1025" width="5" customWidth="1"/>
    <col min="1026" max="1026" width="16.28515625" bestFit="1" customWidth="1"/>
    <col min="1027" max="1027" width="13.85546875" bestFit="1" customWidth="1"/>
    <col min="1028" max="1028" width="14.7109375" bestFit="1" customWidth="1"/>
    <col min="1029" max="1029" width="18.7109375" customWidth="1"/>
    <col min="1032" max="1032" width="31.140625" customWidth="1"/>
    <col min="1281" max="1281" width="5" customWidth="1"/>
    <col min="1282" max="1282" width="16.28515625" bestFit="1" customWidth="1"/>
    <col min="1283" max="1283" width="13.85546875" bestFit="1" customWidth="1"/>
    <col min="1284" max="1284" width="14.7109375" bestFit="1" customWidth="1"/>
    <col min="1285" max="1285" width="18.7109375" customWidth="1"/>
    <col min="1288" max="1288" width="31.140625" customWidth="1"/>
    <col min="1537" max="1537" width="5" customWidth="1"/>
    <col min="1538" max="1538" width="16.28515625" bestFit="1" customWidth="1"/>
    <col min="1539" max="1539" width="13.85546875" bestFit="1" customWidth="1"/>
    <col min="1540" max="1540" width="14.7109375" bestFit="1" customWidth="1"/>
    <col min="1541" max="1541" width="18.7109375" customWidth="1"/>
    <col min="1544" max="1544" width="31.140625" customWidth="1"/>
    <col min="1793" max="1793" width="5" customWidth="1"/>
    <col min="1794" max="1794" width="16.28515625" bestFit="1" customWidth="1"/>
    <col min="1795" max="1795" width="13.85546875" bestFit="1" customWidth="1"/>
    <col min="1796" max="1796" width="14.7109375" bestFit="1" customWidth="1"/>
    <col min="1797" max="1797" width="18.7109375" customWidth="1"/>
    <col min="1800" max="1800" width="31.140625" customWidth="1"/>
    <col min="2049" max="2049" width="5" customWidth="1"/>
    <col min="2050" max="2050" width="16.28515625" bestFit="1" customWidth="1"/>
    <col min="2051" max="2051" width="13.85546875" bestFit="1" customWidth="1"/>
    <col min="2052" max="2052" width="14.7109375" bestFit="1" customWidth="1"/>
    <col min="2053" max="2053" width="18.7109375" customWidth="1"/>
    <col min="2056" max="2056" width="31.140625" customWidth="1"/>
    <col min="2305" max="2305" width="5" customWidth="1"/>
    <col min="2306" max="2306" width="16.28515625" bestFit="1" customWidth="1"/>
    <col min="2307" max="2307" width="13.85546875" bestFit="1" customWidth="1"/>
    <col min="2308" max="2308" width="14.7109375" bestFit="1" customWidth="1"/>
    <col min="2309" max="2309" width="18.7109375" customWidth="1"/>
    <col min="2312" max="2312" width="31.140625" customWidth="1"/>
    <col min="2561" max="2561" width="5" customWidth="1"/>
    <col min="2562" max="2562" width="16.28515625" bestFit="1" customWidth="1"/>
    <col min="2563" max="2563" width="13.85546875" bestFit="1" customWidth="1"/>
    <col min="2564" max="2564" width="14.7109375" bestFit="1" customWidth="1"/>
    <col min="2565" max="2565" width="18.7109375" customWidth="1"/>
    <col min="2568" max="2568" width="31.140625" customWidth="1"/>
    <col min="2817" max="2817" width="5" customWidth="1"/>
    <col min="2818" max="2818" width="16.28515625" bestFit="1" customWidth="1"/>
    <col min="2819" max="2819" width="13.85546875" bestFit="1" customWidth="1"/>
    <col min="2820" max="2820" width="14.7109375" bestFit="1" customWidth="1"/>
    <col min="2821" max="2821" width="18.7109375" customWidth="1"/>
    <col min="2824" max="2824" width="31.140625" customWidth="1"/>
    <col min="3073" max="3073" width="5" customWidth="1"/>
    <col min="3074" max="3074" width="16.28515625" bestFit="1" customWidth="1"/>
    <col min="3075" max="3075" width="13.85546875" bestFit="1" customWidth="1"/>
    <col min="3076" max="3076" width="14.7109375" bestFit="1" customWidth="1"/>
    <col min="3077" max="3077" width="18.7109375" customWidth="1"/>
    <col min="3080" max="3080" width="31.140625" customWidth="1"/>
    <col min="3329" max="3329" width="5" customWidth="1"/>
    <col min="3330" max="3330" width="16.28515625" bestFit="1" customWidth="1"/>
    <col min="3331" max="3331" width="13.85546875" bestFit="1" customWidth="1"/>
    <col min="3332" max="3332" width="14.7109375" bestFit="1" customWidth="1"/>
    <col min="3333" max="3333" width="18.7109375" customWidth="1"/>
    <col min="3336" max="3336" width="31.140625" customWidth="1"/>
    <col min="3585" max="3585" width="5" customWidth="1"/>
    <col min="3586" max="3586" width="16.28515625" bestFit="1" customWidth="1"/>
    <col min="3587" max="3587" width="13.85546875" bestFit="1" customWidth="1"/>
    <col min="3588" max="3588" width="14.7109375" bestFit="1" customWidth="1"/>
    <col min="3589" max="3589" width="18.7109375" customWidth="1"/>
    <col min="3592" max="3592" width="31.140625" customWidth="1"/>
    <col min="3841" max="3841" width="5" customWidth="1"/>
    <col min="3842" max="3842" width="16.28515625" bestFit="1" customWidth="1"/>
    <col min="3843" max="3843" width="13.85546875" bestFit="1" customWidth="1"/>
    <col min="3844" max="3844" width="14.7109375" bestFit="1" customWidth="1"/>
    <col min="3845" max="3845" width="18.7109375" customWidth="1"/>
    <col min="3848" max="3848" width="31.140625" customWidth="1"/>
    <col min="4097" max="4097" width="5" customWidth="1"/>
    <col min="4098" max="4098" width="16.28515625" bestFit="1" customWidth="1"/>
    <col min="4099" max="4099" width="13.85546875" bestFit="1" customWidth="1"/>
    <col min="4100" max="4100" width="14.7109375" bestFit="1" customWidth="1"/>
    <col min="4101" max="4101" width="18.7109375" customWidth="1"/>
    <col min="4104" max="4104" width="31.140625" customWidth="1"/>
    <col min="4353" max="4353" width="5" customWidth="1"/>
    <col min="4354" max="4354" width="16.28515625" bestFit="1" customWidth="1"/>
    <col min="4355" max="4355" width="13.85546875" bestFit="1" customWidth="1"/>
    <col min="4356" max="4356" width="14.7109375" bestFit="1" customWidth="1"/>
    <col min="4357" max="4357" width="18.7109375" customWidth="1"/>
    <col min="4360" max="4360" width="31.140625" customWidth="1"/>
    <col min="4609" max="4609" width="5" customWidth="1"/>
    <col min="4610" max="4610" width="16.28515625" bestFit="1" customWidth="1"/>
    <col min="4611" max="4611" width="13.85546875" bestFit="1" customWidth="1"/>
    <col min="4612" max="4612" width="14.7109375" bestFit="1" customWidth="1"/>
    <col min="4613" max="4613" width="18.7109375" customWidth="1"/>
    <col min="4616" max="4616" width="31.140625" customWidth="1"/>
    <col min="4865" max="4865" width="5" customWidth="1"/>
    <col min="4866" max="4866" width="16.28515625" bestFit="1" customWidth="1"/>
    <col min="4867" max="4867" width="13.85546875" bestFit="1" customWidth="1"/>
    <col min="4868" max="4868" width="14.7109375" bestFit="1" customWidth="1"/>
    <col min="4869" max="4869" width="18.7109375" customWidth="1"/>
    <col min="4872" max="4872" width="31.140625" customWidth="1"/>
    <col min="5121" max="5121" width="5" customWidth="1"/>
    <col min="5122" max="5122" width="16.28515625" bestFit="1" customWidth="1"/>
    <col min="5123" max="5123" width="13.85546875" bestFit="1" customWidth="1"/>
    <col min="5124" max="5124" width="14.7109375" bestFit="1" customWidth="1"/>
    <col min="5125" max="5125" width="18.7109375" customWidth="1"/>
    <col min="5128" max="5128" width="31.140625" customWidth="1"/>
    <col min="5377" max="5377" width="5" customWidth="1"/>
    <col min="5378" max="5378" width="16.28515625" bestFit="1" customWidth="1"/>
    <col min="5379" max="5379" width="13.85546875" bestFit="1" customWidth="1"/>
    <col min="5380" max="5380" width="14.7109375" bestFit="1" customWidth="1"/>
    <col min="5381" max="5381" width="18.7109375" customWidth="1"/>
    <col min="5384" max="5384" width="31.140625" customWidth="1"/>
    <col min="5633" max="5633" width="5" customWidth="1"/>
    <col min="5634" max="5634" width="16.28515625" bestFit="1" customWidth="1"/>
    <col min="5635" max="5635" width="13.85546875" bestFit="1" customWidth="1"/>
    <col min="5636" max="5636" width="14.7109375" bestFit="1" customWidth="1"/>
    <col min="5637" max="5637" width="18.7109375" customWidth="1"/>
    <col min="5640" max="5640" width="31.140625" customWidth="1"/>
    <col min="5889" max="5889" width="5" customWidth="1"/>
    <col min="5890" max="5890" width="16.28515625" bestFit="1" customWidth="1"/>
    <col min="5891" max="5891" width="13.85546875" bestFit="1" customWidth="1"/>
    <col min="5892" max="5892" width="14.7109375" bestFit="1" customWidth="1"/>
    <col min="5893" max="5893" width="18.7109375" customWidth="1"/>
    <col min="5896" max="5896" width="31.140625" customWidth="1"/>
    <col min="6145" max="6145" width="5" customWidth="1"/>
    <col min="6146" max="6146" width="16.28515625" bestFit="1" customWidth="1"/>
    <col min="6147" max="6147" width="13.85546875" bestFit="1" customWidth="1"/>
    <col min="6148" max="6148" width="14.7109375" bestFit="1" customWidth="1"/>
    <col min="6149" max="6149" width="18.7109375" customWidth="1"/>
    <col min="6152" max="6152" width="31.140625" customWidth="1"/>
    <col min="6401" max="6401" width="5" customWidth="1"/>
    <col min="6402" max="6402" width="16.28515625" bestFit="1" customWidth="1"/>
    <col min="6403" max="6403" width="13.85546875" bestFit="1" customWidth="1"/>
    <col min="6404" max="6404" width="14.7109375" bestFit="1" customWidth="1"/>
    <col min="6405" max="6405" width="18.7109375" customWidth="1"/>
    <col min="6408" max="6408" width="31.140625" customWidth="1"/>
    <col min="6657" max="6657" width="5" customWidth="1"/>
    <col min="6658" max="6658" width="16.28515625" bestFit="1" customWidth="1"/>
    <col min="6659" max="6659" width="13.85546875" bestFit="1" customWidth="1"/>
    <col min="6660" max="6660" width="14.7109375" bestFit="1" customWidth="1"/>
    <col min="6661" max="6661" width="18.7109375" customWidth="1"/>
    <col min="6664" max="6664" width="31.140625" customWidth="1"/>
    <col min="6913" max="6913" width="5" customWidth="1"/>
    <col min="6914" max="6914" width="16.28515625" bestFit="1" customWidth="1"/>
    <col min="6915" max="6915" width="13.85546875" bestFit="1" customWidth="1"/>
    <col min="6916" max="6916" width="14.7109375" bestFit="1" customWidth="1"/>
    <col min="6917" max="6917" width="18.7109375" customWidth="1"/>
    <col min="6920" max="6920" width="31.140625" customWidth="1"/>
    <col min="7169" max="7169" width="5" customWidth="1"/>
    <col min="7170" max="7170" width="16.28515625" bestFit="1" customWidth="1"/>
    <col min="7171" max="7171" width="13.85546875" bestFit="1" customWidth="1"/>
    <col min="7172" max="7172" width="14.7109375" bestFit="1" customWidth="1"/>
    <col min="7173" max="7173" width="18.7109375" customWidth="1"/>
    <col min="7176" max="7176" width="31.140625" customWidth="1"/>
    <col min="7425" max="7425" width="5" customWidth="1"/>
    <col min="7426" max="7426" width="16.28515625" bestFit="1" customWidth="1"/>
    <col min="7427" max="7427" width="13.85546875" bestFit="1" customWidth="1"/>
    <col min="7428" max="7428" width="14.7109375" bestFit="1" customWidth="1"/>
    <col min="7429" max="7429" width="18.7109375" customWidth="1"/>
    <col min="7432" max="7432" width="31.140625" customWidth="1"/>
    <col min="7681" max="7681" width="5" customWidth="1"/>
    <col min="7682" max="7682" width="16.28515625" bestFit="1" customWidth="1"/>
    <col min="7683" max="7683" width="13.85546875" bestFit="1" customWidth="1"/>
    <col min="7684" max="7684" width="14.7109375" bestFit="1" customWidth="1"/>
    <col min="7685" max="7685" width="18.7109375" customWidth="1"/>
    <col min="7688" max="7688" width="31.140625" customWidth="1"/>
    <col min="7937" max="7937" width="5" customWidth="1"/>
    <col min="7938" max="7938" width="16.28515625" bestFit="1" customWidth="1"/>
    <col min="7939" max="7939" width="13.85546875" bestFit="1" customWidth="1"/>
    <col min="7940" max="7940" width="14.7109375" bestFit="1" customWidth="1"/>
    <col min="7941" max="7941" width="18.7109375" customWidth="1"/>
    <col min="7944" max="7944" width="31.140625" customWidth="1"/>
    <col min="8193" max="8193" width="5" customWidth="1"/>
    <col min="8194" max="8194" width="16.28515625" bestFit="1" customWidth="1"/>
    <col min="8195" max="8195" width="13.85546875" bestFit="1" customWidth="1"/>
    <col min="8196" max="8196" width="14.7109375" bestFit="1" customWidth="1"/>
    <col min="8197" max="8197" width="18.7109375" customWidth="1"/>
    <col min="8200" max="8200" width="31.140625" customWidth="1"/>
    <col min="8449" max="8449" width="5" customWidth="1"/>
    <col min="8450" max="8450" width="16.28515625" bestFit="1" customWidth="1"/>
    <col min="8451" max="8451" width="13.85546875" bestFit="1" customWidth="1"/>
    <col min="8452" max="8452" width="14.7109375" bestFit="1" customWidth="1"/>
    <col min="8453" max="8453" width="18.7109375" customWidth="1"/>
    <col min="8456" max="8456" width="31.140625" customWidth="1"/>
    <col min="8705" max="8705" width="5" customWidth="1"/>
    <col min="8706" max="8706" width="16.28515625" bestFit="1" customWidth="1"/>
    <col min="8707" max="8707" width="13.85546875" bestFit="1" customWidth="1"/>
    <col min="8708" max="8708" width="14.7109375" bestFit="1" customWidth="1"/>
    <col min="8709" max="8709" width="18.7109375" customWidth="1"/>
    <col min="8712" max="8712" width="31.140625" customWidth="1"/>
    <col min="8961" max="8961" width="5" customWidth="1"/>
    <col min="8962" max="8962" width="16.28515625" bestFit="1" customWidth="1"/>
    <col min="8963" max="8963" width="13.85546875" bestFit="1" customWidth="1"/>
    <col min="8964" max="8964" width="14.7109375" bestFit="1" customWidth="1"/>
    <col min="8965" max="8965" width="18.7109375" customWidth="1"/>
    <col min="8968" max="8968" width="31.140625" customWidth="1"/>
    <col min="9217" max="9217" width="5" customWidth="1"/>
    <col min="9218" max="9218" width="16.28515625" bestFit="1" customWidth="1"/>
    <col min="9219" max="9219" width="13.85546875" bestFit="1" customWidth="1"/>
    <col min="9220" max="9220" width="14.7109375" bestFit="1" customWidth="1"/>
    <col min="9221" max="9221" width="18.7109375" customWidth="1"/>
    <col min="9224" max="9224" width="31.140625" customWidth="1"/>
    <col min="9473" max="9473" width="5" customWidth="1"/>
    <col min="9474" max="9474" width="16.28515625" bestFit="1" customWidth="1"/>
    <col min="9475" max="9475" width="13.85546875" bestFit="1" customWidth="1"/>
    <col min="9476" max="9476" width="14.7109375" bestFit="1" customWidth="1"/>
    <col min="9477" max="9477" width="18.7109375" customWidth="1"/>
    <col min="9480" max="9480" width="31.140625" customWidth="1"/>
    <col min="9729" max="9729" width="5" customWidth="1"/>
    <col min="9730" max="9730" width="16.28515625" bestFit="1" customWidth="1"/>
    <col min="9731" max="9731" width="13.85546875" bestFit="1" customWidth="1"/>
    <col min="9732" max="9732" width="14.7109375" bestFit="1" customWidth="1"/>
    <col min="9733" max="9733" width="18.7109375" customWidth="1"/>
    <col min="9736" max="9736" width="31.140625" customWidth="1"/>
    <col min="9985" max="9985" width="5" customWidth="1"/>
    <col min="9986" max="9986" width="16.28515625" bestFit="1" customWidth="1"/>
    <col min="9987" max="9987" width="13.85546875" bestFit="1" customWidth="1"/>
    <col min="9988" max="9988" width="14.7109375" bestFit="1" customWidth="1"/>
    <col min="9989" max="9989" width="18.7109375" customWidth="1"/>
    <col min="9992" max="9992" width="31.140625" customWidth="1"/>
    <col min="10241" max="10241" width="5" customWidth="1"/>
    <col min="10242" max="10242" width="16.28515625" bestFit="1" customWidth="1"/>
    <col min="10243" max="10243" width="13.85546875" bestFit="1" customWidth="1"/>
    <col min="10244" max="10244" width="14.7109375" bestFit="1" customWidth="1"/>
    <col min="10245" max="10245" width="18.7109375" customWidth="1"/>
    <col min="10248" max="10248" width="31.140625" customWidth="1"/>
    <col min="10497" max="10497" width="5" customWidth="1"/>
    <col min="10498" max="10498" width="16.28515625" bestFit="1" customWidth="1"/>
    <col min="10499" max="10499" width="13.85546875" bestFit="1" customWidth="1"/>
    <col min="10500" max="10500" width="14.7109375" bestFit="1" customWidth="1"/>
    <col min="10501" max="10501" width="18.7109375" customWidth="1"/>
    <col min="10504" max="10504" width="31.140625" customWidth="1"/>
    <col min="10753" max="10753" width="5" customWidth="1"/>
    <col min="10754" max="10754" width="16.28515625" bestFit="1" customWidth="1"/>
    <col min="10755" max="10755" width="13.85546875" bestFit="1" customWidth="1"/>
    <col min="10756" max="10756" width="14.7109375" bestFit="1" customWidth="1"/>
    <col min="10757" max="10757" width="18.7109375" customWidth="1"/>
    <col min="10760" max="10760" width="31.140625" customWidth="1"/>
    <col min="11009" max="11009" width="5" customWidth="1"/>
    <col min="11010" max="11010" width="16.28515625" bestFit="1" customWidth="1"/>
    <col min="11011" max="11011" width="13.85546875" bestFit="1" customWidth="1"/>
    <col min="11012" max="11012" width="14.7109375" bestFit="1" customWidth="1"/>
    <col min="11013" max="11013" width="18.7109375" customWidth="1"/>
    <col min="11016" max="11016" width="31.140625" customWidth="1"/>
    <col min="11265" max="11265" width="5" customWidth="1"/>
    <col min="11266" max="11266" width="16.28515625" bestFit="1" customWidth="1"/>
    <col min="11267" max="11267" width="13.85546875" bestFit="1" customWidth="1"/>
    <col min="11268" max="11268" width="14.7109375" bestFit="1" customWidth="1"/>
    <col min="11269" max="11269" width="18.7109375" customWidth="1"/>
    <col min="11272" max="11272" width="31.140625" customWidth="1"/>
    <col min="11521" max="11521" width="5" customWidth="1"/>
    <col min="11522" max="11522" width="16.28515625" bestFit="1" customWidth="1"/>
    <col min="11523" max="11523" width="13.85546875" bestFit="1" customWidth="1"/>
    <col min="11524" max="11524" width="14.7109375" bestFit="1" customWidth="1"/>
    <col min="11525" max="11525" width="18.7109375" customWidth="1"/>
    <col min="11528" max="11528" width="31.140625" customWidth="1"/>
    <col min="11777" max="11777" width="5" customWidth="1"/>
    <col min="11778" max="11778" width="16.28515625" bestFit="1" customWidth="1"/>
    <col min="11779" max="11779" width="13.85546875" bestFit="1" customWidth="1"/>
    <col min="11780" max="11780" width="14.7109375" bestFit="1" customWidth="1"/>
    <col min="11781" max="11781" width="18.7109375" customWidth="1"/>
    <col min="11784" max="11784" width="31.140625" customWidth="1"/>
    <col min="12033" max="12033" width="5" customWidth="1"/>
    <col min="12034" max="12034" width="16.28515625" bestFit="1" customWidth="1"/>
    <col min="12035" max="12035" width="13.85546875" bestFit="1" customWidth="1"/>
    <col min="12036" max="12036" width="14.7109375" bestFit="1" customWidth="1"/>
    <col min="12037" max="12037" width="18.7109375" customWidth="1"/>
    <col min="12040" max="12040" width="31.140625" customWidth="1"/>
    <col min="12289" max="12289" width="5" customWidth="1"/>
    <col min="12290" max="12290" width="16.28515625" bestFit="1" customWidth="1"/>
    <col min="12291" max="12291" width="13.85546875" bestFit="1" customWidth="1"/>
    <col min="12292" max="12292" width="14.7109375" bestFit="1" customWidth="1"/>
    <col min="12293" max="12293" width="18.7109375" customWidth="1"/>
    <col min="12296" max="12296" width="31.140625" customWidth="1"/>
    <col min="12545" max="12545" width="5" customWidth="1"/>
    <col min="12546" max="12546" width="16.28515625" bestFit="1" customWidth="1"/>
    <col min="12547" max="12547" width="13.85546875" bestFit="1" customWidth="1"/>
    <col min="12548" max="12548" width="14.7109375" bestFit="1" customWidth="1"/>
    <col min="12549" max="12549" width="18.7109375" customWidth="1"/>
    <col min="12552" max="12552" width="31.140625" customWidth="1"/>
    <col min="12801" max="12801" width="5" customWidth="1"/>
    <col min="12802" max="12802" width="16.28515625" bestFit="1" customWidth="1"/>
    <col min="12803" max="12803" width="13.85546875" bestFit="1" customWidth="1"/>
    <col min="12804" max="12804" width="14.7109375" bestFit="1" customWidth="1"/>
    <col min="12805" max="12805" width="18.7109375" customWidth="1"/>
    <col min="12808" max="12808" width="31.140625" customWidth="1"/>
    <col min="13057" max="13057" width="5" customWidth="1"/>
    <col min="13058" max="13058" width="16.28515625" bestFit="1" customWidth="1"/>
    <col min="13059" max="13059" width="13.85546875" bestFit="1" customWidth="1"/>
    <col min="13060" max="13060" width="14.7109375" bestFit="1" customWidth="1"/>
    <col min="13061" max="13061" width="18.7109375" customWidth="1"/>
    <col min="13064" max="13064" width="31.140625" customWidth="1"/>
    <col min="13313" max="13313" width="5" customWidth="1"/>
    <col min="13314" max="13314" width="16.28515625" bestFit="1" customWidth="1"/>
    <col min="13315" max="13315" width="13.85546875" bestFit="1" customWidth="1"/>
    <col min="13316" max="13316" width="14.7109375" bestFit="1" customWidth="1"/>
    <col min="13317" max="13317" width="18.7109375" customWidth="1"/>
    <col min="13320" max="13320" width="31.140625" customWidth="1"/>
    <col min="13569" max="13569" width="5" customWidth="1"/>
    <col min="13570" max="13570" width="16.28515625" bestFit="1" customWidth="1"/>
    <col min="13571" max="13571" width="13.85546875" bestFit="1" customWidth="1"/>
    <col min="13572" max="13572" width="14.7109375" bestFit="1" customWidth="1"/>
    <col min="13573" max="13573" width="18.7109375" customWidth="1"/>
    <col min="13576" max="13576" width="31.140625" customWidth="1"/>
    <col min="13825" max="13825" width="5" customWidth="1"/>
    <col min="13826" max="13826" width="16.28515625" bestFit="1" customWidth="1"/>
    <col min="13827" max="13827" width="13.85546875" bestFit="1" customWidth="1"/>
    <col min="13828" max="13828" width="14.7109375" bestFit="1" customWidth="1"/>
    <col min="13829" max="13829" width="18.7109375" customWidth="1"/>
    <col min="13832" max="13832" width="31.140625" customWidth="1"/>
    <col min="14081" max="14081" width="5" customWidth="1"/>
    <col min="14082" max="14082" width="16.28515625" bestFit="1" customWidth="1"/>
    <col min="14083" max="14083" width="13.85546875" bestFit="1" customWidth="1"/>
    <col min="14084" max="14084" width="14.7109375" bestFit="1" customWidth="1"/>
    <col min="14085" max="14085" width="18.7109375" customWidth="1"/>
    <col min="14088" max="14088" width="31.140625" customWidth="1"/>
    <col min="14337" max="14337" width="5" customWidth="1"/>
    <col min="14338" max="14338" width="16.28515625" bestFit="1" customWidth="1"/>
    <col min="14339" max="14339" width="13.85546875" bestFit="1" customWidth="1"/>
    <col min="14340" max="14340" width="14.7109375" bestFit="1" customWidth="1"/>
    <col min="14341" max="14341" width="18.7109375" customWidth="1"/>
    <col min="14344" max="14344" width="31.140625" customWidth="1"/>
    <col min="14593" max="14593" width="5" customWidth="1"/>
    <col min="14594" max="14594" width="16.28515625" bestFit="1" customWidth="1"/>
    <col min="14595" max="14595" width="13.85546875" bestFit="1" customWidth="1"/>
    <col min="14596" max="14596" width="14.7109375" bestFit="1" customWidth="1"/>
    <col min="14597" max="14597" width="18.7109375" customWidth="1"/>
    <col min="14600" max="14600" width="31.140625" customWidth="1"/>
    <col min="14849" max="14849" width="5" customWidth="1"/>
    <col min="14850" max="14850" width="16.28515625" bestFit="1" customWidth="1"/>
    <col min="14851" max="14851" width="13.85546875" bestFit="1" customWidth="1"/>
    <col min="14852" max="14852" width="14.7109375" bestFit="1" customWidth="1"/>
    <col min="14853" max="14853" width="18.7109375" customWidth="1"/>
    <col min="14856" max="14856" width="31.140625" customWidth="1"/>
    <col min="15105" max="15105" width="5" customWidth="1"/>
    <col min="15106" max="15106" width="16.28515625" bestFit="1" customWidth="1"/>
    <col min="15107" max="15107" width="13.85546875" bestFit="1" customWidth="1"/>
    <col min="15108" max="15108" width="14.7109375" bestFit="1" customWidth="1"/>
    <col min="15109" max="15109" width="18.7109375" customWidth="1"/>
    <col min="15112" max="15112" width="31.140625" customWidth="1"/>
    <col min="15361" max="15361" width="5" customWidth="1"/>
    <col min="15362" max="15362" width="16.28515625" bestFit="1" customWidth="1"/>
    <col min="15363" max="15363" width="13.85546875" bestFit="1" customWidth="1"/>
    <col min="15364" max="15364" width="14.7109375" bestFit="1" customWidth="1"/>
    <col min="15365" max="15365" width="18.7109375" customWidth="1"/>
    <col min="15368" max="15368" width="31.140625" customWidth="1"/>
    <col min="15617" max="15617" width="5" customWidth="1"/>
    <col min="15618" max="15618" width="16.28515625" bestFit="1" customWidth="1"/>
    <col min="15619" max="15619" width="13.85546875" bestFit="1" customWidth="1"/>
    <col min="15620" max="15620" width="14.7109375" bestFit="1" customWidth="1"/>
    <col min="15621" max="15621" width="18.7109375" customWidth="1"/>
    <col min="15624" max="15624" width="31.140625" customWidth="1"/>
    <col min="15873" max="15873" width="5" customWidth="1"/>
    <col min="15874" max="15874" width="16.28515625" bestFit="1" customWidth="1"/>
    <col min="15875" max="15875" width="13.85546875" bestFit="1" customWidth="1"/>
    <col min="15876" max="15876" width="14.7109375" bestFit="1" customWidth="1"/>
    <col min="15877" max="15877" width="18.7109375" customWidth="1"/>
    <col min="15880" max="15880" width="31.140625" customWidth="1"/>
    <col min="16129" max="16129" width="5" customWidth="1"/>
    <col min="16130" max="16130" width="16.28515625" bestFit="1" customWidth="1"/>
    <col min="16131" max="16131" width="13.85546875" bestFit="1" customWidth="1"/>
    <col min="16132" max="16132" width="14.7109375" bestFit="1" customWidth="1"/>
    <col min="16133" max="16133" width="18.7109375" customWidth="1"/>
    <col min="16136" max="16136" width="31.140625" customWidth="1"/>
  </cols>
  <sheetData>
    <row r="1" spans="1:12" ht="15.75" thickBot="1" x14ac:dyDescent="0.3">
      <c r="B1" s="146" t="s">
        <v>56</v>
      </c>
      <c r="C1" s="146">
        <f>+'Bal. Inicial'!I10</f>
        <v>5000000</v>
      </c>
    </row>
    <row r="2" spans="1:12" ht="15.75" thickBot="1" x14ac:dyDescent="0.3">
      <c r="B2" s="146" t="s">
        <v>126</v>
      </c>
      <c r="C2" s="171">
        <f>E2</f>
        <v>1.0978851950173452E-2</v>
      </c>
      <c r="D2" s="14">
        <v>0.14000000000000001</v>
      </c>
      <c r="E2" s="14">
        <f>+((1+D2)^(0.0833333333333333)-1)</f>
        <v>1.0978851950173452E-2</v>
      </c>
    </row>
    <row r="3" spans="1:12" ht="15.75" thickBot="1" x14ac:dyDescent="0.3">
      <c r="B3" s="146" t="s">
        <v>127</v>
      </c>
      <c r="C3" s="146">
        <v>60</v>
      </c>
    </row>
    <row r="5" spans="1:12" ht="15.75" thickBot="1" x14ac:dyDescent="0.3">
      <c r="H5" s="275" t="s">
        <v>128</v>
      </c>
      <c r="I5" s="275"/>
      <c r="J5" s="275"/>
      <c r="K5" s="275"/>
      <c r="L5" s="275"/>
    </row>
    <row r="6" spans="1:12" ht="15.75" thickBot="1" x14ac:dyDescent="0.3">
      <c r="A6" s="172" t="s">
        <v>57</v>
      </c>
      <c r="B6" s="172" t="s">
        <v>2</v>
      </c>
      <c r="C6" s="172" t="s">
        <v>3</v>
      </c>
      <c r="D6" s="172" t="s">
        <v>13</v>
      </c>
      <c r="E6" s="172" t="s">
        <v>58</v>
      </c>
      <c r="H6" s="172" t="s">
        <v>57</v>
      </c>
      <c r="I6" s="172" t="s">
        <v>2</v>
      </c>
      <c r="J6" s="172" t="s">
        <v>3</v>
      </c>
      <c r="K6" s="172" t="s">
        <v>13</v>
      </c>
      <c r="L6" s="172" t="s">
        <v>58</v>
      </c>
    </row>
    <row r="7" spans="1:12" x14ac:dyDescent="0.25">
      <c r="A7" s="7">
        <v>0</v>
      </c>
      <c r="B7" s="4"/>
      <c r="C7" s="4"/>
      <c r="D7" s="4"/>
      <c r="E7" s="16">
        <f>+C1</f>
        <v>5000000</v>
      </c>
      <c r="H7" s="15">
        <v>0</v>
      </c>
      <c r="I7" s="4"/>
      <c r="J7" s="4"/>
      <c r="K7" s="4"/>
      <c r="L7" s="30">
        <f>+E7</f>
        <v>5000000</v>
      </c>
    </row>
    <row r="8" spans="1:12" x14ac:dyDescent="0.25">
      <c r="A8" s="7">
        <v>1</v>
      </c>
      <c r="B8" s="17">
        <f>PMT($C$2,$C$3,-$C$1,,0)</f>
        <v>114212.81901595175</v>
      </c>
      <c r="C8" s="17">
        <f>IPMT($C$2,A8,$C$3,-$C$1)</f>
        <v>54894.259750867255</v>
      </c>
      <c r="D8" s="17">
        <f>PPMT($C$2,A8,$C$3,-$C$1,,0)</f>
        <v>59318.559265084514</v>
      </c>
      <c r="E8" s="16">
        <f>+E7-D8</f>
        <v>4940681.4407349154</v>
      </c>
      <c r="H8" s="15">
        <v>1</v>
      </c>
      <c r="I8" s="17">
        <f>SUM(B8:B19)</f>
        <v>1370553.828191421</v>
      </c>
      <c r="J8" s="17">
        <f>SUM(C8:C19)</f>
        <v>614136.09573620209</v>
      </c>
      <c r="K8" s="17">
        <f>SUM(D8:D19)</f>
        <v>756417.73245521914</v>
      </c>
      <c r="L8" s="17">
        <f>+L7-K8</f>
        <v>4243582.2675447809</v>
      </c>
    </row>
    <row r="9" spans="1:12" x14ac:dyDescent="0.25">
      <c r="A9" s="7">
        <v>2</v>
      </c>
      <c r="B9" s="17">
        <f t="shared" ref="B9:B67" si="0">PMT($C$2,$C$3,-$C$1,,0)</f>
        <v>114212.81901595175</v>
      </c>
      <c r="C9" s="17">
        <f t="shared" ref="C9:C67" si="1">IPMT($C$2,A9,$C$3,-$C$1)</f>
        <v>54243.010070798293</v>
      </c>
      <c r="D9" s="17">
        <f t="shared" ref="D9:D67" si="2">PPMT($C$2,A9,$C$3,-$C$1,,0)</f>
        <v>59969.808945153469</v>
      </c>
      <c r="E9" s="16">
        <f t="shared" ref="E9:E67" si="3">+E8-D9</f>
        <v>4880711.6317897616</v>
      </c>
      <c r="H9" s="15">
        <v>2</v>
      </c>
      <c r="I9" s="17">
        <f>SUM(B9:B20)</f>
        <v>1370553.828191421</v>
      </c>
      <c r="J9" s="17">
        <f>SUM(C20:C31)</f>
        <v>508237.61319247208</v>
      </c>
      <c r="K9" s="17">
        <f>SUM(D20:D31)</f>
        <v>862316.21499894897</v>
      </c>
      <c r="L9" s="17">
        <f>+L8-K9</f>
        <v>3381266.052545832</v>
      </c>
    </row>
    <row r="10" spans="1:12" x14ac:dyDescent="0.25">
      <c r="A10" s="7">
        <v>3</v>
      </c>
      <c r="B10" s="17">
        <f t="shared" si="0"/>
        <v>114212.81901595175</v>
      </c>
      <c r="C10" s="17">
        <f t="shared" si="1"/>
        <v>53584.610416909272</v>
      </c>
      <c r="D10" s="17">
        <f t="shared" si="2"/>
        <v>60628.208599042475</v>
      </c>
      <c r="E10" s="16">
        <f t="shared" si="3"/>
        <v>4820083.4231907194</v>
      </c>
      <c r="H10" s="15">
        <v>3</v>
      </c>
      <c r="I10" s="17">
        <f>SUM(B10:B21)</f>
        <v>1370553.828191421</v>
      </c>
      <c r="J10" s="17">
        <f>SUM(C32:C43)</f>
        <v>387513.34309262037</v>
      </c>
      <c r="K10" s="17">
        <f>SUM(D32:D43)</f>
        <v>983040.48509880062</v>
      </c>
      <c r="L10" s="17">
        <f>+L9-K10</f>
        <v>2398225.5674470314</v>
      </c>
    </row>
    <row r="11" spans="1:12" x14ac:dyDescent="0.25">
      <c r="A11" s="7">
        <v>4</v>
      </c>
      <c r="B11" s="17">
        <f t="shared" si="0"/>
        <v>114212.81901595175</v>
      </c>
      <c r="C11" s="17">
        <f t="shared" si="1"/>
        <v>52918.982290696164</v>
      </c>
      <c r="D11" s="17">
        <f t="shared" si="2"/>
        <v>61293.836725255605</v>
      </c>
      <c r="E11" s="16">
        <f t="shared" si="3"/>
        <v>4758789.586465464</v>
      </c>
      <c r="H11" s="15">
        <v>4</v>
      </c>
      <c r="I11" s="17">
        <f>SUM(B11:B22)</f>
        <v>1370553.828191421</v>
      </c>
      <c r="J11" s="17">
        <f>SUM(C44:C55)</f>
        <v>249887.67517878933</v>
      </c>
      <c r="K11" s="17">
        <f>SUM(D44:D55)</f>
        <v>1120666.1530126317</v>
      </c>
      <c r="L11" s="17">
        <f>+L10-K11</f>
        <v>1277559.4144343997</v>
      </c>
    </row>
    <row r="12" spans="1:12" x14ac:dyDescent="0.25">
      <c r="A12" s="7">
        <v>5</v>
      </c>
      <c r="B12" s="17">
        <f t="shared" si="0"/>
        <v>114212.81901595175</v>
      </c>
      <c r="C12" s="17">
        <f t="shared" si="1"/>
        <v>52246.046331831472</v>
      </c>
      <c r="D12" s="17">
        <f t="shared" si="2"/>
        <v>61966.772684120297</v>
      </c>
      <c r="E12" s="16">
        <f t="shared" si="3"/>
        <v>4696822.8137813434</v>
      </c>
      <c r="H12" s="15">
        <v>5</v>
      </c>
      <c r="I12" s="17">
        <f>SUM(B12:B23)</f>
        <v>1370553.828191421</v>
      </c>
      <c r="J12" s="17">
        <f>SUM(C56:C67)</f>
        <v>92994.413757022223</v>
      </c>
      <c r="K12" s="17">
        <f>SUM(D56:D67)</f>
        <v>1277559.4144343988</v>
      </c>
      <c r="L12" s="17">
        <f>+L11-K12</f>
        <v>0</v>
      </c>
    </row>
    <row r="13" spans="1:12" x14ac:dyDescent="0.25">
      <c r="A13" s="7">
        <v>6</v>
      </c>
      <c r="B13" s="17">
        <f t="shared" si="0"/>
        <v>114212.81901595175</v>
      </c>
      <c r="C13" s="17">
        <f t="shared" si="1"/>
        <v>51565.722308702469</v>
      </c>
      <c r="D13" s="17">
        <f t="shared" si="2"/>
        <v>62647.0967072493</v>
      </c>
      <c r="E13" s="16">
        <f t="shared" si="3"/>
        <v>4634175.7170740943</v>
      </c>
      <c r="J13" s="17">
        <f>SUM(J8:J12)</f>
        <v>1852769.1409571061</v>
      </c>
      <c r="K13" s="17">
        <f>SUM(K8:K12)</f>
        <v>4999999.9999999991</v>
      </c>
    </row>
    <row r="14" spans="1:12" x14ac:dyDescent="0.25">
      <c r="A14" s="7">
        <v>7</v>
      </c>
      <c r="B14" s="17">
        <f t="shared" si="0"/>
        <v>114212.81901595175</v>
      </c>
      <c r="C14" s="17">
        <f t="shared" si="1"/>
        <v>50877.929108845376</v>
      </c>
      <c r="D14" s="17">
        <f t="shared" si="2"/>
        <v>63334.889907106393</v>
      </c>
      <c r="E14" s="16">
        <f t="shared" si="3"/>
        <v>4570840.8271669876</v>
      </c>
    </row>
    <row r="15" spans="1:12" x14ac:dyDescent="0.25">
      <c r="A15" s="7">
        <v>8</v>
      </c>
      <c r="B15" s="17">
        <f t="shared" si="0"/>
        <v>114212.81901595175</v>
      </c>
      <c r="C15" s="17">
        <f t="shared" si="1"/>
        <v>50182.584729274713</v>
      </c>
      <c r="D15" s="17">
        <f t="shared" si="2"/>
        <v>64030.234286677049</v>
      </c>
      <c r="E15" s="16">
        <f t="shared" si="3"/>
        <v>4506810.5928803105</v>
      </c>
    </row>
    <row r="16" spans="1:12" x14ac:dyDescent="0.25">
      <c r="A16" s="7">
        <v>9</v>
      </c>
      <c r="B16" s="17">
        <f t="shared" si="0"/>
        <v>114212.81901595175</v>
      </c>
      <c r="C16" s="17">
        <f t="shared" si="1"/>
        <v>49479.60626670636</v>
      </c>
      <c r="D16" s="17">
        <f t="shared" si="2"/>
        <v>64733.21274924538</v>
      </c>
      <c r="E16" s="16">
        <f t="shared" si="3"/>
        <v>4442077.3801310649</v>
      </c>
    </row>
    <row r="17" spans="1:5" x14ac:dyDescent="0.25">
      <c r="A17" s="7">
        <v>10</v>
      </c>
      <c r="B17" s="17">
        <f t="shared" si="0"/>
        <v>114212.81901595175</v>
      </c>
      <c r="C17" s="17">
        <f t="shared" si="1"/>
        <v>48768.909907673326</v>
      </c>
      <c r="D17" s="17">
        <f t="shared" si="2"/>
        <v>65443.909108278451</v>
      </c>
      <c r="E17" s="16">
        <f t="shared" si="3"/>
        <v>4376633.4710227866</v>
      </c>
    </row>
    <row r="18" spans="1:5" x14ac:dyDescent="0.25">
      <c r="A18" s="7">
        <v>11</v>
      </c>
      <c r="B18" s="17">
        <f t="shared" si="0"/>
        <v>114212.81901595175</v>
      </c>
      <c r="C18" s="17">
        <f t="shared" si="1"/>
        <v>48050.410918532936</v>
      </c>
      <c r="D18" s="17">
        <f t="shared" si="2"/>
        <v>66162.40809741884</v>
      </c>
      <c r="E18" s="16">
        <f t="shared" si="3"/>
        <v>4310471.0629253676</v>
      </c>
    </row>
    <row r="19" spans="1:5" x14ac:dyDescent="0.25">
      <c r="A19" s="7">
        <v>12</v>
      </c>
      <c r="B19" s="17">
        <f t="shared" si="0"/>
        <v>114212.81901595175</v>
      </c>
      <c r="C19" s="17">
        <f t="shared" si="1"/>
        <v>47324.023635364414</v>
      </c>
      <c r="D19" s="17">
        <f t="shared" si="2"/>
        <v>66888.79538058734</v>
      </c>
      <c r="E19" s="16">
        <f t="shared" si="3"/>
        <v>4243582.2675447799</v>
      </c>
    </row>
    <row r="20" spans="1:5" x14ac:dyDescent="0.25">
      <c r="A20" s="7">
        <v>13</v>
      </c>
      <c r="B20" s="17">
        <f t="shared" si="0"/>
        <v>114212.81901595175</v>
      </c>
      <c r="C20" s="17">
        <f t="shared" si="1"/>
        <v>46589.661453755492</v>
      </c>
      <c r="D20" s="17">
        <f t="shared" si="2"/>
        <v>67623.157562196269</v>
      </c>
      <c r="E20" s="16">
        <f t="shared" si="3"/>
        <v>4175959.1099825837</v>
      </c>
    </row>
    <row r="21" spans="1:5" x14ac:dyDescent="0.25">
      <c r="A21" s="7">
        <v>14</v>
      </c>
      <c r="B21" s="17">
        <f t="shared" si="0"/>
        <v>114212.81901595175</v>
      </c>
      <c r="C21" s="17">
        <f t="shared" si="1"/>
        <v>45847.236818476886</v>
      </c>
      <c r="D21" s="17">
        <f t="shared" si="2"/>
        <v>68365.582197474883</v>
      </c>
      <c r="E21" s="16">
        <f t="shared" si="3"/>
        <v>4107593.5277851089</v>
      </c>
    </row>
    <row r="22" spans="1:5" x14ac:dyDescent="0.25">
      <c r="A22" s="7">
        <v>15</v>
      </c>
      <c r="B22" s="17">
        <f t="shared" si="0"/>
        <v>114212.81901595175</v>
      </c>
      <c r="C22" s="17">
        <f t="shared" si="1"/>
        <v>45096.661213043393</v>
      </c>
      <c r="D22" s="17">
        <f t="shared" si="2"/>
        <v>69116.157802908376</v>
      </c>
      <c r="E22" s="16">
        <f t="shared" si="3"/>
        <v>4038477.3699822007</v>
      </c>
    </row>
    <row r="23" spans="1:5" x14ac:dyDescent="0.25">
      <c r="A23" s="7">
        <v>16</v>
      </c>
      <c r="B23" s="17">
        <f t="shared" si="0"/>
        <v>114212.81901595175</v>
      </c>
      <c r="C23" s="17">
        <f t="shared" si="1"/>
        <v>44337.845149160436</v>
      </c>
      <c r="D23" s="17">
        <f t="shared" si="2"/>
        <v>69874.973866791319</v>
      </c>
      <c r="E23" s="16">
        <f t="shared" si="3"/>
        <v>3968602.3961154092</v>
      </c>
    </row>
    <row r="24" spans="1:5" x14ac:dyDescent="0.25">
      <c r="A24" s="7">
        <v>17</v>
      </c>
      <c r="B24" s="17">
        <f t="shared" si="0"/>
        <v>114212.81901595175</v>
      </c>
      <c r="C24" s="17">
        <f t="shared" si="1"/>
        <v>43570.698156054699</v>
      </c>
      <c r="D24" s="17">
        <f t="shared" si="2"/>
        <v>70642.12085989707</v>
      </c>
      <c r="E24" s="16">
        <f t="shared" si="3"/>
        <v>3897960.275255512</v>
      </c>
    </row>
    <row r="25" spans="1:5" x14ac:dyDescent="0.25">
      <c r="A25" s="7">
        <v>18</v>
      </c>
      <c r="B25" s="17">
        <f t="shared" si="0"/>
        <v>114212.81901595175</v>
      </c>
      <c r="C25" s="17">
        <f t="shared" si="1"/>
        <v>42795.128769687624</v>
      </c>
      <c r="D25" s="17">
        <f t="shared" si="2"/>
        <v>71417.69024626413</v>
      </c>
      <c r="E25" s="16">
        <f t="shared" si="3"/>
        <v>3826542.585009248</v>
      </c>
    </row>
    <row r="26" spans="1:5" x14ac:dyDescent="0.25">
      <c r="A26" s="7">
        <v>19</v>
      </c>
      <c r="B26" s="17">
        <f t="shared" si="0"/>
        <v>114212.81901595175</v>
      </c>
      <c r="C26" s="17">
        <f t="shared" si="1"/>
        <v>42011.044521850556</v>
      </c>
      <c r="D26" s="17">
        <f t="shared" si="2"/>
        <v>72201.774494101221</v>
      </c>
      <c r="E26" s="16">
        <f t="shared" si="3"/>
        <v>3754340.8105151467</v>
      </c>
    </row>
    <row r="27" spans="1:5" x14ac:dyDescent="0.25">
      <c r="A27" s="7">
        <v>20</v>
      </c>
      <c r="B27" s="17">
        <f t="shared" si="0"/>
        <v>114212.81901595175</v>
      </c>
      <c r="C27" s="17">
        <f t="shared" si="1"/>
        <v>41218.351929140001</v>
      </c>
      <c r="D27" s="17">
        <f t="shared" si="2"/>
        <v>72994.467086811754</v>
      </c>
      <c r="E27" s="16">
        <f t="shared" si="3"/>
        <v>3681346.3434283352</v>
      </c>
    </row>
    <row r="28" spans="1:5" x14ac:dyDescent="0.25">
      <c r="A28" s="7">
        <v>21</v>
      </c>
      <c r="B28" s="17">
        <f t="shared" si="0"/>
        <v>114212.81901595175</v>
      </c>
      <c r="C28" s="17">
        <f t="shared" si="1"/>
        <v>40416.956481812085</v>
      </c>
      <c r="D28" s="17">
        <f t="shared" si="2"/>
        <v>73795.862534139684</v>
      </c>
      <c r="E28" s="16">
        <f t="shared" si="3"/>
        <v>3607550.4808941954</v>
      </c>
    </row>
    <row r="29" spans="1:5" x14ac:dyDescent="0.25">
      <c r="A29" s="7">
        <v>22</v>
      </c>
      <c r="B29" s="17">
        <f t="shared" si="0"/>
        <v>114212.81901595175</v>
      </c>
      <c r="C29" s="17">
        <f t="shared" si="1"/>
        <v>39606.762632514416</v>
      </c>
      <c r="D29" s="17">
        <f t="shared" si="2"/>
        <v>74606.056383437346</v>
      </c>
      <c r="E29" s="16">
        <f t="shared" si="3"/>
        <v>3532944.4245107579</v>
      </c>
    </row>
    <row r="30" spans="1:5" x14ac:dyDescent="0.25">
      <c r="A30" s="7">
        <v>23</v>
      </c>
      <c r="B30" s="17">
        <f t="shared" si="0"/>
        <v>114212.81901595175</v>
      </c>
      <c r="C30" s="17">
        <f t="shared" si="1"/>
        <v>38787.673784894359</v>
      </c>
      <c r="D30" s="17">
        <f t="shared" si="2"/>
        <v>75425.145231057395</v>
      </c>
      <c r="E30" s="16">
        <f t="shared" si="3"/>
        <v>3457519.2792797005</v>
      </c>
    </row>
    <row r="31" spans="1:5" x14ac:dyDescent="0.25">
      <c r="A31" s="7">
        <v>24</v>
      </c>
      <c r="B31" s="17">
        <f t="shared" si="0"/>
        <v>114212.81901595175</v>
      </c>
      <c r="C31" s="17">
        <f t="shared" si="1"/>
        <v>37959.59228208226</v>
      </c>
      <c r="D31" s="17">
        <f t="shared" si="2"/>
        <v>76253.226733869509</v>
      </c>
      <c r="E31" s="16">
        <f t="shared" si="3"/>
        <v>3381266.0525458311</v>
      </c>
    </row>
    <row r="32" spans="1:5" x14ac:dyDescent="0.25">
      <c r="A32" s="7">
        <v>25</v>
      </c>
      <c r="B32" s="17">
        <f t="shared" si="0"/>
        <v>114212.81901595175</v>
      </c>
      <c r="C32" s="17">
        <f t="shared" si="1"/>
        <v>37122.419395048099</v>
      </c>
      <c r="D32" s="17">
        <f t="shared" si="2"/>
        <v>77090.39962090367</v>
      </c>
      <c r="E32" s="16">
        <f t="shared" si="3"/>
        <v>3304175.6529249274</v>
      </c>
    </row>
    <row r="33" spans="1:5" x14ac:dyDescent="0.25">
      <c r="A33" s="7">
        <v>26</v>
      </c>
      <c r="B33" s="17">
        <f t="shared" si="0"/>
        <v>114212.81901595175</v>
      </c>
      <c r="C33" s="17">
        <f t="shared" si="1"/>
        <v>36276.055310830481</v>
      </c>
      <c r="D33" s="17">
        <f t="shared" si="2"/>
        <v>77936.763705121281</v>
      </c>
      <c r="E33" s="16">
        <f t="shared" si="3"/>
        <v>3226238.8892198061</v>
      </c>
    </row>
    <row r="34" spans="1:5" x14ac:dyDescent="0.25">
      <c r="A34" s="7">
        <v>27</v>
      </c>
      <c r="B34" s="17">
        <f t="shared" si="0"/>
        <v>114212.81901595175</v>
      </c>
      <c r="C34" s="17">
        <f t="shared" si="1"/>
        <v>35420.399120636306</v>
      </c>
      <c r="D34" s="17">
        <f t="shared" si="2"/>
        <v>78792.419895315441</v>
      </c>
      <c r="E34" s="16">
        <f t="shared" si="3"/>
        <v>3147446.4693244905</v>
      </c>
    </row>
    <row r="35" spans="1:5" x14ac:dyDescent="0.25">
      <c r="A35" s="7">
        <v>28</v>
      </c>
      <c r="B35" s="17">
        <f t="shared" si="0"/>
        <v>114212.81901595175</v>
      </c>
      <c r="C35" s="17">
        <f t="shared" si="1"/>
        <v>34555.348807809736</v>
      </c>
      <c r="D35" s="17">
        <f t="shared" si="2"/>
        <v>79657.470208142011</v>
      </c>
      <c r="E35" s="16">
        <f t="shared" si="3"/>
        <v>3067788.9991163486</v>
      </c>
    </row>
    <row r="36" spans="1:5" x14ac:dyDescent="0.25">
      <c r="A36" s="7">
        <v>29</v>
      </c>
      <c r="B36" s="17">
        <f t="shared" si="0"/>
        <v>114212.81901595175</v>
      </c>
      <c r="C36" s="17">
        <f t="shared" si="1"/>
        <v>33680.801235669198</v>
      </c>
      <c r="D36" s="17">
        <f t="shared" si="2"/>
        <v>80532.017780282564</v>
      </c>
      <c r="E36" s="16">
        <f t="shared" si="3"/>
        <v>2987256.981336066</v>
      </c>
    </row>
    <row r="37" spans="1:5" x14ac:dyDescent="0.25">
      <c r="A37" s="7">
        <v>30</v>
      </c>
      <c r="B37" s="17">
        <f t="shared" si="0"/>
        <v>114212.81901595175</v>
      </c>
      <c r="C37" s="17">
        <f t="shared" si="1"/>
        <v>32796.65213521073</v>
      </c>
      <c r="D37" s="17">
        <f t="shared" si="2"/>
        <v>81416.166880741046</v>
      </c>
      <c r="E37" s="16">
        <f t="shared" si="3"/>
        <v>2905840.8144553248</v>
      </c>
    </row>
    <row r="38" spans="1:5" x14ac:dyDescent="0.25">
      <c r="A38" s="7">
        <v>31</v>
      </c>
      <c r="B38" s="17">
        <f t="shared" si="0"/>
        <v>114212.81901595175</v>
      </c>
      <c r="C38" s="17">
        <f t="shared" si="1"/>
        <v>31902.796092676464</v>
      </c>
      <c r="D38" s="17">
        <f t="shared" si="2"/>
        <v>82310.022923275304</v>
      </c>
      <c r="E38" s="16">
        <f t="shared" si="3"/>
        <v>2823530.7915320494</v>
      </c>
    </row>
    <row r="39" spans="1:5" x14ac:dyDescent="0.25">
      <c r="A39" s="7">
        <v>32</v>
      </c>
      <c r="B39" s="17">
        <f t="shared" si="0"/>
        <v>114212.81901595175</v>
      </c>
      <c r="C39" s="17">
        <f t="shared" si="1"/>
        <v>30999.126536986441</v>
      </c>
      <c r="D39" s="17">
        <f t="shared" si="2"/>
        <v>83213.692478965313</v>
      </c>
      <c r="E39" s="16">
        <f t="shared" si="3"/>
        <v>2740317.0990530839</v>
      </c>
    </row>
    <row r="40" spans="1:5" x14ac:dyDescent="0.25">
      <c r="A40" s="7">
        <v>33</v>
      </c>
      <c r="B40" s="17">
        <f t="shared" si="0"/>
        <v>114212.81901595175</v>
      </c>
      <c r="C40" s="17">
        <f t="shared" si="1"/>
        <v>30085.535727032617</v>
      </c>
      <c r="D40" s="17">
        <f t="shared" si="2"/>
        <v>84127.283288919149</v>
      </c>
      <c r="E40" s="16">
        <f t="shared" si="3"/>
        <v>2656189.8157641646</v>
      </c>
    </row>
    <row r="41" spans="1:5" x14ac:dyDescent="0.25">
      <c r="A41" s="7">
        <v>34</v>
      </c>
      <c r="B41" s="17">
        <f t="shared" si="0"/>
        <v>114212.81901595175</v>
      </c>
      <c r="C41" s="17">
        <f t="shared" si="1"/>
        <v>29161.914738833268</v>
      </c>
      <c r="D41" s="17">
        <f t="shared" si="2"/>
        <v>85050.90427711849</v>
      </c>
      <c r="E41" s="16">
        <f t="shared" si="3"/>
        <v>2571138.9114870462</v>
      </c>
    </row>
    <row r="42" spans="1:5" x14ac:dyDescent="0.25">
      <c r="A42" s="7">
        <v>35</v>
      </c>
      <c r="B42" s="17">
        <f t="shared" si="0"/>
        <v>114212.81901595175</v>
      </c>
      <c r="C42" s="17">
        <f t="shared" si="1"/>
        <v>28228.153452546419</v>
      </c>
      <c r="D42" s="17">
        <f t="shared" si="2"/>
        <v>85984.665563405346</v>
      </c>
      <c r="E42" s="16">
        <f t="shared" si="3"/>
        <v>2485154.2459236407</v>
      </c>
    </row>
    <row r="43" spans="1:5" x14ac:dyDescent="0.25">
      <c r="A43" s="7">
        <v>36</v>
      </c>
      <c r="B43" s="17">
        <f t="shared" si="0"/>
        <v>114212.81901595175</v>
      </c>
      <c r="C43" s="17">
        <f t="shared" si="1"/>
        <v>27284.140539340617</v>
      </c>
      <c r="D43" s="17">
        <f t="shared" si="2"/>
        <v>86928.678476611138</v>
      </c>
      <c r="E43" s="16">
        <f t="shared" si="3"/>
        <v>2398225.5674470295</v>
      </c>
    </row>
    <row r="44" spans="1:5" x14ac:dyDescent="0.25">
      <c r="A44" s="7">
        <v>37</v>
      </c>
      <c r="B44" s="17">
        <f t="shared" si="0"/>
        <v>114212.81901595175</v>
      </c>
      <c r="C44" s="17">
        <f t="shared" si="1"/>
        <v>26329.763448121666</v>
      </c>
      <c r="D44" s="17">
        <f t="shared" si="2"/>
        <v>87883.055567830088</v>
      </c>
      <c r="E44" s="16">
        <f t="shared" si="3"/>
        <v>2310342.5118791997</v>
      </c>
    </row>
    <row r="45" spans="1:5" x14ac:dyDescent="0.25">
      <c r="A45" s="7">
        <v>38</v>
      </c>
      <c r="B45" s="17">
        <f t="shared" si="0"/>
        <v>114212.81901595175</v>
      </c>
      <c r="C45" s="17">
        <f t="shared" si="1"/>
        <v>25364.908392113593</v>
      </c>
      <c r="D45" s="17">
        <f t="shared" si="2"/>
        <v>88847.910623838179</v>
      </c>
      <c r="E45" s="16">
        <f t="shared" si="3"/>
        <v>2221494.6012553615</v>
      </c>
    </row>
    <row r="46" spans="1:5" x14ac:dyDescent="0.25">
      <c r="A46" s="7">
        <v>39</v>
      </c>
      <c r="B46" s="17">
        <f t="shared" si="0"/>
        <v>114212.81901595175</v>
      </c>
      <c r="C46" s="17">
        <f t="shared" si="1"/>
        <v>24389.460335292231</v>
      </c>
      <c r="D46" s="17">
        <f t="shared" si="2"/>
        <v>89823.358680659541</v>
      </c>
      <c r="E46" s="16">
        <f t="shared" si="3"/>
        <v>2131671.242574702</v>
      </c>
    </row>
    <row r="47" spans="1:5" x14ac:dyDescent="0.25">
      <c r="A47" s="7">
        <v>40</v>
      </c>
      <c r="B47" s="17">
        <f t="shared" si="0"/>
        <v>114212.81901595175</v>
      </c>
      <c r="C47" s="17">
        <f t="shared" si="1"/>
        <v>23403.302978669941</v>
      </c>
      <c r="D47" s="17">
        <f t="shared" si="2"/>
        <v>90809.516037281821</v>
      </c>
      <c r="E47" s="16">
        <f t="shared" si="3"/>
        <v>2040861.7265374202</v>
      </c>
    </row>
    <row r="48" spans="1:5" x14ac:dyDescent="0.25">
      <c r="A48" s="7">
        <v>41</v>
      </c>
      <c r="B48" s="17">
        <f t="shared" si="0"/>
        <v>114212.81901595175</v>
      </c>
      <c r="C48" s="17">
        <f t="shared" si="1"/>
        <v>22406.318746429726</v>
      </c>
      <c r="D48" s="17">
        <f t="shared" si="2"/>
        <v>91806.500269522032</v>
      </c>
      <c r="E48" s="16">
        <f t="shared" si="3"/>
        <v>1949055.2262678982</v>
      </c>
    </row>
    <row r="49" spans="1:5" x14ac:dyDescent="0.25">
      <c r="A49" s="7">
        <v>42</v>
      </c>
      <c r="B49" s="17">
        <f t="shared" si="0"/>
        <v>114212.81901595175</v>
      </c>
      <c r="C49" s="17">
        <f t="shared" si="1"/>
        <v>21398.388771907081</v>
      </c>
      <c r="D49" s="17">
        <f t="shared" si="2"/>
        <v>92814.430244044692</v>
      </c>
      <c r="E49" s="16">
        <f t="shared" si="3"/>
        <v>1856240.7960238536</v>
      </c>
    </row>
    <row r="50" spans="1:5" x14ac:dyDescent="0.25">
      <c r="A50" s="7">
        <v>43</v>
      </c>
      <c r="B50" s="17">
        <f t="shared" si="0"/>
        <v>114212.81901595175</v>
      </c>
      <c r="C50" s="17">
        <f t="shared" si="1"/>
        <v>20379.392883418011</v>
      </c>
      <c r="D50" s="17">
        <f t="shared" si="2"/>
        <v>93833.426132533757</v>
      </c>
      <c r="E50" s="16">
        <f t="shared" si="3"/>
        <v>1762407.3698913199</v>
      </c>
    </row>
    <row r="51" spans="1:5" x14ac:dyDescent="0.25">
      <c r="A51" s="7">
        <v>44</v>
      </c>
      <c r="B51" s="17">
        <f t="shared" si="0"/>
        <v>114212.81901595175</v>
      </c>
      <c r="C51" s="17">
        <f t="shared" si="1"/>
        <v>19349.20958993139</v>
      </c>
      <c r="D51" s="17">
        <f t="shared" si="2"/>
        <v>94863.609426020368</v>
      </c>
      <c r="E51" s="16">
        <f t="shared" si="3"/>
        <v>1667543.7604652995</v>
      </c>
    </row>
    <row r="52" spans="1:5" x14ac:dyDescent="0.25">
      <c r="A52" s="7">
        <v>45</v>
      </c>
      <c r="B52" s="17">
        <f t="shared" si="0"/>
        <v>114212.81901595175</v>
      </c>
      <c r="C52" s="17">
        <f t="shared" si="1"/>
        <v>18307.716066584031</v>
      </c>
      <c r="D52" s="17">
        <f t="shared" si="2"/>
        <v>95905.102949367734</v>
      </c>
      <c r="E52" s="16">
        <f t="shared" si="3"/>
        <v>1571638.6575159316</v>
      </c>
    </row>
    <row r="53" spans="1:5" x14ac:dyDescent="0.25">
      <c r="A53" s="7">
        <v>46</v>
      </c>
      <c r="B53" s="17">
        <f t="shared" si="0"/>
        <v>114212.81901595175</v>
      </c>
      <c r="C53" s="17">
        <f t="shared" si="1"/>
        <v>17254.788140036781</v>
      </c>
      <c r="D53" s="17">
        <f t="shared" si="2"/>
        <v>96958.030875914992</v>
      </c>
      <c r="E53" s="16">
        <f t="shared" si="3"/>
        <v>1474680.6266400167</v>
      </c>
    </row>
    <row r="54" spans="1:5" x14ac:dyDescent="0.25">
      <c r="A54" s="7">
        <v>47</v>
      </c>
      <c r="B54" s="17">
        <f t="shared" si="0"/>
        <v>114212.81901595175</v>
      </c>
      <c r="C54" s="17">
        <f t="shared" si="1"/>
        <v>16190.300273669765</v>
      </c>
      <c r="D54" s="17">
        <f t="shared" si="2"/>
        <v>98022.518742281987</v>
      </c>
      <c r="E54" s="16">
        <f t="shared" si="3"/>
        <v>1376658.1078977347</v>
      </c>
    </row>
    <row r="55" spans="1:5" x14ac:dyDescent="0.25">
      <c r="A55" s="7">
        <v>48</v>
      </c>
      <c r="B55" s="17">
        <f t="shared" si="0"/>
        <v>114212.81901595175</v>
      </c>
      <c r="C55" s="17">
        <f t="shared" si="1"/>
        <v>15114.125552615147</v>
      </c>
      <c r="D55" s="17">
        <f t="shared" si="2"/>
        <v>99098.693463336604</v>
      </c>
      <c r="E55" s="16">
        <f t="shared" si="3"/>
        <v>1277559.4144343981</v>
      </c>
    </row>
    <row r="56" spans="1:5" x14ac:dyDescent="0.25">
      <c r="A56" s="7">
        <v>49</v>
      </c>
      <c r="B56" s="17">
        <f t="shared" si="0"/>
        <v>114212.81901595175</v>
      </c>
      <c r="C56" s="17">
        <f t="shared" si="1"/>
        <v>14026.135668625551</v>
      </c>
      <c r="D56" s="17">
        <f t="shared" si="2"/>
        <v>100186.68334732619</v>
      </c>
      <c r="E56" s="16">
        <f t="shared" si="3"/>
        <v>1177372.7310870718</v>
      </c>
    </row>
    <row r="57" spans="1:5" x14ac:dyDescent="0.25">
      <c r="A57" s="7">
        <v>50</v>
      </c>
      <c r="B57" s="17">
        <f t="shared" si="0"/>
        <v>114212.81901595175</v>
      </c>
      <c r="C57" s="17">
        <f t="shared" si="1"/>
        <v>12926.200904776351</v>
      </c>
      <c r="D57" s="17">
        <f t="shared" si="2"/>
        <v>101286.61811117541</v>
      </c>
      <c r="E57" s="16">
        <f t="shared" si="3"/>
        <v>1076086.1129758963</v>
      </c>
    </row>
    <row r="58" spans="1:5" x14ac:dyDescent="0.25">
      <c r="A58" s="7">
        <v>51</v>
      </c>
      <c r="B58" s="17">
        <f t="shared" si="0"/>
        <v>114212.81901595175</v>
      </c>
      <c r="C58" s="17">
        <f t="shared" si="1"/>
        <v>11814.190120000001</v>
      </c>
      <c r="D58" s="17">
        <f t="shared" si="2"/>
        <v>102398.62889595176</v>
      </c>
      <c r="E58" s="16">
        <f t="shared" si="3"/>
        <v>973687.48407994455</v>
      </c>
    </row>
    <row r="59" spans="1:5" x14ac:dyDescent="0.25">
      <c r="A59" s="7">
        <v>52</v>
      </c>
      <c r="B59" s="17">
        <f t="shared" si="0"/>
        <v>114212.81901595175</v>
      </c>
      <c r="C59" s="17">
        <f t="shared" si="1"/>
        <v>10689.970733450593</v>
      </c>
      <c r="D59" s="17">
        <f t="shared" si="2"/>
        <v>103522.84828250116</v>
      </c>
      <c r="E59" s="16">
        <f t="shared" si="3"/>
        <v>870164.63579744333</v>
      </c>
    </row>
    <row r="60" spans="1:5" x14ac:dyDescent="0.25">
      <c r="A60" s="7">
        <v>53</v>
      </c>
      <c r="B60" s="17">
        <f t="shared" si="0"/>
        <v>114212.81901595175</v>
      </c>
      <c r="C60" s="17">
        <f t="shared" si="1"/>
        <v>9553.4087086967429</v>
      </c>
      <c r="D60" s="17">
        <f t="shared" si="2"/>
        <v>104659.41030725501</v>
      </c>
      <c r="E60" s="16">
        <f t="shared" si="3"/>
        <v>765505.22549018834</v>
      </c>
    </row>
    <row r="61" spans="1:5" x14ac:dyDescent="0.25">
      <c r="A61" s="7">
        <v>54</v>
      </c>
      <c r="B61" s="17">
        <f t="shared" si="0"/>
        <v>114212.81901595175</v>
      </c>
      <c r="C61" s="17">
        <f t="shared" si="1"/>
        <v>8404.3685377409329</v>
      </c>
      <c r="D61" s="17">
        <f t="shared" si="2"/>
        <v>105808.45047821081</v>
      </c>
      <c r="E61" s="16">
        <f t="shared" si="3"/>
        <v>659696.77501197753</v>
      </c>
    </row>
    <row r="62" spans="1:5" x14ac:dyDescent="0.25">
      <c r="A62" s="7">
        <v>55</v>
      </c>
      <c r="B62" s="17">
        <f t="shared" si="0"/>
        <v>114212.81901595175</v>
      </c>
      <c r="C62" s="17">
        <f t="shared" si="1"/>
        <v>7242.7132248633961</v>
      </c>
      <c r="D62" s="17">
        <f t="shared" si="2"/>
        <v>106970.10579108835</v>
      </c>
      <c r="E62" s="16">
        <f t="shared" si="3"/>
        <v>552726.66922088922</v>
      </c>
    </row>
    <row r="63" spans="1:5" x14ac:dyDescent="0.25">
      <c r="A63" s="7">
        <v>56</v>
      </c>
      <c r="B63" s="17">
        <f t="shared" si="0"/>
        <v>114212.81901595175</v>
      </c>
      <c r="C63" s="17">
        <f t="shared" si="1"/>
        <v>6068.304270288646</v>
      </c>
      <c r="D63" s="17">
        <f t="shared" si="2"/>
        <v>108144.51474566311</v>
      </c>
      <c r="E63" s="16">
        <f t="shared" si="3"/>
        <v>444582.15447522613</v>
      </c>
    </row>
    <row r="64" spans="1:5" x14ac:dyDescent="0.25">
      <c r="A64" s="7">
        <v>57</v>
      </c>
      <c r="B64" s="17">
        <f t="shared" si="0"/>
        <v>114212.81901595175</v>
      </c>
      <c r="C64" s="17">
        <f t="shared" si="1"/>
        <v>4881.0016536726616</v>
      </c>
      <c r="D64" s="17">
        <f t="shared" si="2"/>
        <v>109331.81736227909</v>
      </c>
      <c r="E64" s="16">
        <f t="shared" si="3"/>
        <v>335250.33711294702</v>
      </c>
    </row>
    <row r="65" spans="1:5" x14ac:dyDescent="0.25">
      <c r="A65" s="7">
        <v>58</v>
      </c>
      <c r="B65" s="17">
        <f t="shared" si="0"/>
        <v>114212.81901595175</v>
      </c>
      <c r="C65" s="17">
        <f t="shared" si="1"/>
        <v>3680.6638174087961</v>
      </c>
      <c r="D65" s="17">
        <f t="shared" si="2"/>
        <v>110532.15519854295</v>
      </c>
      <c r="E65" s="16">
        <f t="shared" si="3"/>
        <v>224718.18191440406</v>
      </c>
    </row>
    <row r="66" spans="1:5" x14ac:dyDescent="0.25">
      <c r="A66" s="7">
        <v>59</v>
      </c>
      <c r="B66" s="17">
        <f t="shared" si="0"/>
        <v>114212.81901595175</v>
      </c>
      <c r="C66" s="17">
        <f t="shared" si="1"/>
        <v>2467.1476497503977</v>
      </c>
      <c r="D66" s="17">
        <f t="shared" si="2"/>
        <v>111745.67136620135</v>
      </c>
      <c r="E66" s="16">
        <f t="shared" si="3"/>
        <v>112972.51054820271</v>
      </c>
    </row>
    <row r="67" spans="1:5" x14ac:dyDescent="0.25">
      <c r="A67" s="7">
        <v>60</v>
      </c>
      <c r="B67" s="17">
        <f t="shared" si="0"/>
        <v>114212.81901595175</v>
      </c>
      <c r="C67" s="17">
        <f t="shared" si="1"/>
        <v>1240.3084677481361</v>
      </c>
      <c r="D67" s="17">
        <f t="shared" si="2"/>
        <v>112972.51054820362</v>
      </c>
      <c r="E67" s="18">
        <f t="shared" si="3"/>
        <v>-9.0221874415874481E-10</v>
      </c>
    </row>
    <row r="68" spans="1:5" x14ac:dyDescent="0.25">
      <c r="C68" s="19">
        <f>SUM(C8:C67)</f>
        <v>1852769.1409571061</v>
      </c>
      <c r="D68" s="19">
        <f>SUM(D8:D67)</f>
        <v>5000000</v>
      </c>
    </row>
    <row r="69" spans="1:5" x14ac:dyDescent="0.25">
      <c r="C69" s="14"/>
    </row>
  </sheetData>
  <mergeCells count="1">
    <mergeCell ref="H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79998168889431442"/>
  </sheetPr>
  <dimension ref="A1:R92"/>
  <sheetViews>
    <sheetView showGridLines="0" topLeftCell="A8" zoomScaleNormal="100" workbookViewId="0">
      <selection activeCell="E11" sqref="D11:K21"/>
    </sheetView>
  </sheetViews>
  <sheetFormatPr baseColWidth="10" defaultRowHeight="18.75" zeroHeight="1" x14ac:dyDescent="0.3"/>
  <cols>
    <col min="1" max="1" width="11.42578125" style="31"/>
    <col min="2" max="2" width="20.28515625" style="31" bestFit="1" customWidth="1"/>
    <col min="3" max="3" width="11.42578125" style="31"/>
    <col min="4" max="4" width="7.85546875" style="31" customWidth="1"/>
    <col min="5" max="5" width="13.140625" style="31" customWidth="1"/>
    <col min="6" max="6" width="8.5703125" style="31" customWidth="1"/>
    <col min="7" max="7" width="21.5703125" style="31" customWidth="1"/>
    <col min="8" max="8" width="19.28515625" style="31" customWidth="1"/>
    <col min="9" max="9" width="19.42578125" style="31" bestFit="1" customWidth="1"/>
    <col min="10" max="10" width="21.5703125" style="31" customWidth="1"/>
    <col min="11" max="11" width="19.42578125" style="31" customWidth="1"/>
    <col min="12" max="12" width="19.42578125" style="31" bestFit="1" customWidth="1"/>
    <col min="13" max="13" width="20.140625" style="31" customWidth="1"/>
    <col min="14" max="14" width="11.42578125" style="31"/>
    <col min="15" max="15" width="15.85546875" style="31" bestFit="1" customWidth="1"/>
    <col min="16" max="16" width="15.28515625" style="31" bestFit="1" customWidth="1"/>
    <col min="17" max="17" width="25.5703125" style="31" customWidth="1"/>
    <col min="18" max="18" width="21.7109375" style="31" bestFit="1" customWidth="1"/>
    <col min="19" max="16384" width="11.42578125" style="31"/>
  </cols>
  <sheetData>
    <row r="1" spans="1:18" x14ac:dyDescent="0.3">
      <c r="B1" s="281"/>
      <c r="C1" s="281"/>
      <c r="D1" s="281"/>
      <c r="E1" s="281"/>
      <c r="F1" s="281"/>
      <c r="G1" s="281"/>
      <c r="H1" s="281"/>
      <c r="I1" s="281"/>
      <c r="J1" s="281"/>
    </row>
    <row r="2" spans="1:18" x14ac:dyDescent="0.3">
      <c r="B2" s="279" t="s">
        <v>157</v>
      </c>
      <c r="C2" s="279"/>
      <c r="D2" s="279"/>
      <c r="E2" s="279"/>
      <c r="F2" s="279"/>
      <c r="G2" s="279"/>
      <c r="H2" s="279"/>
      <c r="I2" s="279"/>
      <c r="J2" s="279"/>
      <c r="L2" s="279" t="s">
        <v>158</v>
      </c>
      <c r="M2" s="279"/>
      <c r="N2" s="279"/>
      <c r="O2" s="279"/>
      <c r="P2" s="279"/>
    </row>
    <row r="3" spans="1:18" ht="37.5" x14ac:dyDescent="0.3">
      <c r="B3" s="280" t="s">
        <v>142</v>
      </c>
      <c r="C3" s="280"/>
      <c r="D3" s="124" t="s">
        <v>288</v>
      </c>
      <c r="E3" s="126" t="s">
        <v>289</v>
      </c>
      <c r="F3" s="126" t="s">
        <v>155</v>
      </c>
      <c r="G3" s="126" t="s">
        <v>287</v>
      </c>
      <c r="H3" s="126" t="s">
        <v>290</v>
      </c>
      <c r="I3" s="124" t="s">
        <v>156</v>
      </c>
      <c r="J3" s="126" t="s">
        <v>119</v>
      </c>
      <c r="L3" s="280" t="s">
        <v>142</v>
      </c>
      <c r="M3" s="280"/>
      <c r="N3" s="124" t="s">
        <v>288</v>
      </c>
      <c r="O3" s="124" t="s">
        <v>291</v>
      </c>
      <c r="P3" s="124" t="s">
        <v>159</v>
      </c>
      <c r="Q3" s="127" t="s">
        <v>160</v>
      </c>
    </row>
    <row r="4" spans="1:18" x14ac:dyDescent="0.3">
      <c r="A4" s="264" t="s">
        <v>292</v>
      </c>
      <c r="B4" s="128" t="s">
        <v>154</v>
      </c>
      <c r="C4" s="128"/>
      <c r="D4" s="223">
        <v>500</v>
      </c>
      <c r="E4" s="124">
        <v>5</v>
      </c>
      <c r="F4" s="131">
        <f>+E4*D4</f>
        <v>2500</v>
      </c>
      <c r="G4" s="129">
        <v>3800</v>
      </c>
      <c r="H4" s="129">
        <f>+F4*G4</f>
        <v>9500000</v>
      </c>
      <c r="I4" s="263">
        <f>365/48</f>
        <v>7.604166666666667</v>
      </c>
      <c r="J4" s="133">
        <f>+I4*H4</f>
        <v>72239583.333333343</v>
      </c>
      <c r="L4" s="276" t="s">
        <v>161</v>
      </c>
      <c r="M4" s="277"/>
      <c r="N4" s="130">
        <f>+D4</f>
        <v>500</v>
      </c>
      <c r="O4" s="129">
        <f>+'MATERIA PRIMA '!E16</f>
        <v>10232.959999999999</v>
      </c>
      <c r="P4" s="131">
        <f>+O4*N4</f>
        <v>5116480</v>
      </c>
      <c r="Q4" s="132">
        <f>+P4*8.3</f>
        <v>42466784</v>
      </c>
      <c r="R4" s="262"/>
    </row>
    <row r="5" spans="1:18" x14ac:dyDescent="0.3">
      <c r="A5" s="264" t="s">
        <v>255</v>
      </c>
      <c r="B5" s="128" t="s">
        <v>154</v>
      </c>
      <c r="C5" s="128"/>
      <c r="D5" s="223">
        <v>612</v>
      </c>
      <c r="E5" s="124">
        <v>5</v>
      </c>
      <c r="F5" s="131">
        <f t="shared" ref="F5:F8" si="0">+E5*D5</f>
        <v>3060</v>
      </c>
      <c r="G5" s="129">
        <f>+G4*1.05</f>
        <v>3990</v>
      </c>
      <c r="H5" s="129">
        <f t="shared" ref="H5:H8" si="1">+F5*G5</f>
        <v>12209400</v>
      </c>
      <c r="I5" s="263">
        <f t="shared" ref="I5:I8" si="2">365/48</f>
        <v>7.604166666666667</v>
      </c>
      <c r="J5" s="133">
        <f t="shared" ref="J5:J8" si="3">+I5*H5</f>
        <v>92842312.5</v>
      </c>
      <c r="L5" s="276" t="s">
        <v>161</v>
      </c>
      <c r="M5" s="277"/>
      <c r="N5" s="130">
        <f t="shared" ref="N5:N7" si="4">+D5</f>
        <v>612</v>
      </c>
      <c r="O5" s="129">
        <f>+O4*1.1</f>
        <v>11256.255999999999</v>
      </c>
      <c r="P5" s="131">
        <f t="shared" ref="P5:P8" si="5">+O5*N5</f>
        <v>6888828.6719999993</v>
      </c>
      <c r="Q5" s="132">
        <f t="shared" ref="Q5:Q7" si="6">+P5*8.3</f>
        <v>57177277.977600001</v>
      </c>
    </row>
    <row r="6" spans="1:18" x14ac:dyDescent="0.3">
      <c r="A6" s="264" t="s">
        <v>256</v>
      </c>
      <c r="B6" s="128" t="s">
        <v>154</v>
      </c>
      <c r="C6" s="128"/>
      <c r="D6" s="223">
        <f t="shared" ref="D6:D8" si="7">+D5*1.2</f>
        <v>734.4</v>
      </c>
      <c r="E6" s="124">
        <v>5</v>
      </c>
      <c r="F6" s="131">
        <f t="shared" si="0"/>
        <v>3672</v>
      </c>
      <c r="G6" s="129">
        <f t="shared" ref="G6:G8" si="8">+G5*1.05</f>
        <v>4189.5</v>
      </c>
      <c r="H6" s="129">
        <f t="shared" si="1"/>
        <v>15383844</v>
      </c>
      <c r="I6" s="263">
        <f>365/48</f>
        <v>7.604166666666667</v>
      </c>
      <c r="J6" s="133">
        <f t="shared" si="3"/>
        <v>116981313.75</v>
      </c>
      <c r="L6" s="276" t="s">
        <v>161</v>
      </c>
      <c r="M6" s="277"/>
      <c r="N6" s="259">
        <f t="shared" si="4"/>
        <v>734.4</v>
      </c>
      <c r="O6" s="129">
        <f t="shared" ref="O6:O8" si="9">+O5*1.1</f>
        <v>12381.881600000001</v>
      </c>
      <c r="P6" s="131">
        <f t="shared" si="5"/>
        <v>9093253.8470399994</v>
      </c>
      <c r="Q6" s="132">
        <f t="shared" si="6"/>
        <v>75474006.930432007</v>
      </c>
    </row>
    <row r="7" spans="1:18" x14ac:dyDescent="0.3">
      <c r="A7" s="264" t="s">
        <v>257</v>
      </c>
      <c r="B7" s="128" t="s">
        <v>154</v>
      </c>
      <c r="C7" s="128"/>
      <c r="D7" s="223">
        <f t="shared" si="7"/>
        <v>881.28</v>
      </c>
      <c r="E7" s="124">
        <v>5</v>
      </c>
      <c r="F7" s="131">
        <f t="shared" si="0"/>
        <v>4406.3999999999996</v>
      </c>
      <c r="G7" s="129">
        <f t="shared" si="8"/>
        <v>4398.9750000000004</v>
      </c>
      <c r="H7" s="129">
        <f t="shared" si="1"/>
        <v>19383643.440000001</v>
      </c>
      <c r="I7" s="263">
        <f t="shared" si="2"/>
        <v>7.604166666666667</v>
      </c>
      <c r="J7" s="133">
        <f t="shared" si="3"/>
        <v>147396455.32500002</v>
      </c>
      <c r="L7" s="276" t="s">
        <v>161</v>
      </c>
      <c r="M7" s="277"/>
      <c r="N7" s="259">
        <f t="shared" si="4"/>
        <v>881.28</v>
      </c>
      <c r="O7" s="129">
        <f t="shared" si="9"/>
        <v>13620.069760000002</v>
      </c>
      <c r="P7" s="131">
        <f t="shared" si="5"/>
        <v>12003095.078092802</v>
      </c>
      <c r="Q7" s="132">
        <f t="shared" si="6"/>
        <v>99625689.148170263</v>
      </c>
    </row>
    <row r="8" spans="1:18" x14ac:dyDescent="0.3">
      <c r="A8" s="264" t="s">
        <v>293</v>
      </c>
      <c r="B8" s="128" t="s">
        <v>154</v>
      </c>
      <c r="C8" s="128"/>
      <c r="D8" s="223">
        <f t="shared" si="7"/>
        <v>1057.5359999999998</v>
      </c>
      <c r="E8" s="124">
        <v>5</v>
      </c>
      <c r="F8" s="131">
        <f t="shared" si="0"/>
        <v>5287.6799999999994</v>
      </c>
      <c r="G8" s="129">
        <f t="shared" si="8"/>
        <v>4618.9237500000008</v>
      </c>
      <c r="H8" s="129">
        <f t="shared" si="1"/>
        <v>24423390.7344</v>
      </c>
      <c r="I8" s="263">
        <f t="shared" si="2"/>
        <v>7.604166666666667</v>
      </c>
      <c r="J8" s="133">
        <f t="shared" si="3"/>
        <v>185719533.70950001</v>
      </c>
      <c r="L8" s="276" t="s">
        <v>161</v>
      </c>
      <c r="M8" s="277"/>
      <c r="N8" s="259">
        <f>+D8</f>
        <v>1057.5359999999998</v>
      </c>
      <c r="O8" s="129">
        <f t="shared" si="9"/>
        <v>14982.076736000003</v>
      </c>
      <c r="P8" s="131">
        <f t="shared" si="5"/>
        <v>15844085.503082497</v>
      </c>
      <c r="Q8" s="132">
        <f t="shared" ref="Q8" si="10">+P8*8</f>
        <v>126752684.02465998</v>
      </c>
    </row>
    <row r="9" spans="1:18" x14ac:dyDescent="0.3">
      <c r="B9" s="117"/>
      <c r="C9" s="117"/>
      <c r="D9" s="118"/>
      <c r="E9" s="118"/>
      <c r="F9" s="119"/>
      <c r="G9" s="119"/>
      <c r="H9" s="119"/>
      <c r="I9" s="119"/>
      <c r="J9" s="119"/>
    </row>
    <row r="10" spans="1:18" x14ac:dyDescent="0.3">
      <c r="B10" s="117"/>
      <c r="C10" s="117"/>
      <c r="D10" s="118"/>
      <c r="E10" s="118"/>
      <c r="F10" s="119"/>
      <c r="G10" s="119"/>
      <c r="H10" s="119"/>
      <c r="I10" s="119"/>
      <c r="J10" s="119"/>
    </row>
    <row r="11" spans="1:18" x14ac:dyDescent="0.3">
      <c r="B11" s="117"/>
      <c r="C11" s="117"/>
      <c r="D11" s="118"/>
      <c r="E11" s="118"/>
      <c r="F11" s="119"/>
      <c r="G11" s="282" t="s">
        <v>119</v>
      </c>
      <c r="H11" s="282"/>
      <c r="I11" s="282"/>
      <c r="J11" s="282"/>
      <c r="K11" s="282"/>
    </row>
    <row r="12" spans="1:18" x14ac:dyDescent="0.3">
      <c r="B12" s="117"/>
      <c r="C12" s="117"/>
      <c r="D12" s="118"/>
      <c r="E12" s="118"/>
      <c r="F12" s="119"/>
      <c r="G12" s="142" t="s">
        <v>89</v>
      </c>
      <c r="H12" s="142" t="s">
        <v>90</v>
      </c>
      <c r="I12" s="142" t="s">
        <v>91</v>
      </c>
      <c r="J12" s="142" t="s">
        <v>92</v>
      </c>
      <c r="K12" s="142" t="s">
        <v>93</v>
      </c>
    </row>
    <row r="13" spans="1:18" x14ac:dyDescent="0.3">
      <c r="B13" s="117"/>
      <c r="C13" s="117"/>
      <c r="D13" s="278" t="s">
        <v>1</v>
      </c>
      <c r="E13" s="278"/>
      <c r="F13" s="278"/>
      <c r="G13" s="125">
        <f>+J4</f>
        <v>72239583.333333343</v>
      </c>
      <c r="H13" s="125">
        <f>+J5</f>
        <v>92842312.5</v>
      </c>
      <c r="I13" s="125">
        <f>+J6</f>
        <v>116981313.75</v>
      </c>
      <c r="J13" s="125">
        <f>+J7</f>
        <v>147396455.32500002</v>
      </c>
      <c r="K13" s="138">
        <f>+J8</f>
        <v>185719533.70950001</v>
      </c>
      <c r="M13" s="224">
        <f>+G13/12</f>
        <v>6019965.2777777789</v>
      </c>
    </row>
    <row r="14" spans="1:18" x14ac:dyDescent="0.3">
      <c r="B14" s="117"/>
      <c r="C14" s="117"/>
      <c r="D14" s="278" t="s">
        <v>118</v>
      </c>
      <c r="E14" s="278"/>
      <c r="F14" s="278"/>
      <c r="G14" s="125">
        <f>+G13*0.95</f>
        <v>68627604.166666672</v>
      </c>
      <c r="H14" s="125">
        <f t="shared" ref="H14:K14" si="11">+H13*0.95</f>
        <v>88200196.875</v>
      </c>
      <c r="I14" s="125">
        <f t="shared" si="11"/>
        <v>111132248.0625</v>
      </c>
      <c r="J14" s="125">
        <f t="shared" si="11"/>
        <v>140026632.55875</v>
      </c>
      <c r="K14" s="125">
        <f t="shared" si="11"/>
        <v>176433557.02402499</v>
      </c>
      <c r="L14" s="125"/>
    </row>
    <row r="15" spans="1:18" x14ac:dyDescent="0.3">
      <c r="B15" s="117"/>
      <c r="C15" s="117"/>
      <c r="D15" s="278" t="s">
        <v>56</v>
      </c>
      <c r="E15" s="278"/>
      <c r="F15" s="278"/>
      <c r="G15" s="125">
        <f>+G13*0.05</f>
        <v>3611979.1666666674</v>
      </c>
      <c r="H15" s="125">
        <f t="shared" ref="H15:K15" si="12">+H13*0.05</f>
        <v>4642115.625</v>
      </c>
      <c r="I15" s="125">
        <f t="shared" si="12"/>
        <v>5849065.6875</v>
      </c>
      <c r="J15" s="125">
        <f t="shared" si="12"/>
        <v>7369822.7662500013</v>
      </c>
      <c r="K15" s="125">
        <f t="shared" si="12"/>
        <v>9285976.6854750011</v>
      </c>
    </row>
    <row r="16" spans="1:18" x14ac:dyDescent="0.3">
      <c r="B16" s="117"/>
      <c r="C16" s="117"/>
      <c r="D16" s="118"/>
      <c r="E16" s="118"/>
      <c r="F16" s="119"/>
      <c r="G16" s="119"/>
      <c r="H16" s="119"/>
      <c r="I16" s="119"/>
      <c r="J16" s="119"/>
    </row>
    <row r="17" spans="2:12" x14ac:dyDescent="0.3">
      <c r="B17" s="117"/>
      <c r="C17" s="117"/>
      <c r="D17" s="118"/>
      <c r="E17" s="118"/>
      <c r="F17" s="119"/>
      <c r="G17" s="282" t="s">
        <v>294</v>
      </c>
      <c r="H17" s="282"/>
      <c r="I17" s="282"/>
      <c r="J17" s="282"/>
      <c r="K17" s="282"/>
    </row>
    <row r="18" spans="2:12" x14ac:dyDescent="0.3">
      <c r="B18" s="117"/>
      <c r="C18" s="117"/>
      <c r="D18" s="118"/>
      <c r="E18" s="118"/>
      <c r="F18" s="119"/>
      <c r="G18" s="142" t="s">
        <v>89</v>
      </c>
      <c r="H18" s="142" t="s">
        <v>90</v>
      </c>
      <c r="I18" s="142" t="s">
        <v>91</v>
      </c>
      <c r="J18" s="142" t="s">
        <v>92</v>
      </c>
      <c r="K18" s="142" t="s">
        <v>93</v>
      </c>
    </row>
    <row r="19" spans="2:12" x14ac:dyDescent="0.3">
      <c r="B19" s="117"/>
      <c r="C19" s="117"/>
      <c r="D19" s="278" t="s">
        <v>164</v>
      </c>
      <c r="E19" s="278"/>
      <c r="F19" s="278"/>
      <c r="G19" s="125">
        <f>+Q4</f>
        <v>42466784</v>
      </c>
      <c r="H19" s="125">
        <f>+Q5</f>
        <v>57177277.977600001</v>
      </c>
      <c r="I19" s="125">
        <f>+Q6</f>
        <v>75474006.930432007</v>
      </c>
      <c r="J19" s="125">
        <f>+Q7</f>
        <v>99625689.148170263</v>
      </c>
      <c r="K19" s="138">
        <f>+Q8</f>
        <v>126752684.02465998</v>
      </c>
    </row>
    <row r="20" spans="2:12" x14ac:dyDescent="0.3">
      <c r="B20" s="117"/>
      <c r="C20" s="117"/>
      <c r="D20" s="278" t="s">
        <v>118</v>
      </c>
      <c r="E20" s="278"/>
      <c r="F20" s="278"/>
      <c r="G20" s="125">
        <f>+G19*0.9</f>
        <v>38220105.600000001</v>
      </c>
      <c r="H20" s="125">
        <f t="shared" ref="H20" si="13">+H19*0.95</f>
        <v>54318414.078719996</v>
      </c>
      <c r="I20" s="125">
        <f t="shared" ref="I20" si="14">+I19*0.95</f>
        <v>71700306.583910406</v>
      </c>
      <c r="J20" s="125">
        <f t="shared" ref="J20" si="15">+J19*0.95</f>
        <v>94644404.690761745</v>
      </c>
      <c r="K20" s="125">
        <f t="shared" ref="K20" si="16">+K19*0.95</f>
        <v>120415049.82342698</v>
      </c>
    </row>
    <row r="21" spans="2:12" x14ac:dyDescent="0.3">
      <c r="B21" s="117"/>
      <c r="C21" s="117"/>
      <c r="D21" s="278" t="s">
        <v>56</v>
      </c>
      <c r="E21" s="278"/>
      <c r="F21" s="278"/>
      <c r="G21" s="125">
        <f>+G19*0.1</f>
        <v>4246678.4000000004</v>
      </c>
      <c r="H21" s="125">
        <f t="shared" ref="H21:K21" si="17">+H19*0.1</f>
        <v>5717727.7977600005</v>
      </c>
      <c r="I21" s="125">
        <f t="shared" si="17"/>
        <v>7547400.6930432012</v>
      </c>
      <c r="J21" s="125">
        <f t="shared" si="17"/>
        <v>9962568.9148170259</v>
      </c>
      <c r="K21" s="125">
        <f t="shared" si="17"/>
        <v>12675268.402465999</v>
      </c>
    </row>
    <row r="22" spans="2:12" x14ac:dyDescent="0.3">
      <c r="B22" s="117"/>
      <c r="C22" s="117"/>
      <c r="D22" s="118"/>
      <c r="E22" s="118"/>
      <c r="F22" s="119"/>
      <c r="G22" s="119"/>
      <c r="H22" s="119"/>
      <c r="I22" s="119"/>
      <c r="J22" s="119"/>
    </row>
    <row r="23" spans="2:12" ht="19.5" thickBot="1" x14ac:dyDescent="0.35">
      <c r="B23" s="117"/>
      <c r="C23" s="117"/>
      <c r="D23" s="118"/>
      <c r="E23" s="118"/>
      <c r="F23" s="119"/>
      <c r="G23" s="119" t="s">
        <v>214</v>
      </c>
      <c r="H23" s="119"/>
      <c r="I23" s="119"/>
      <c r="J23" s="119"/>
    </row>
    <row r="24" spans="2:12" ht="18.75" hidden="1" customHeight="1" x14ac:dyDescent="0.3">
      <c r="B24" s="117"/>
      <c r="C24" s="117"/>
      <c r="D24" s="118"/>
      <c r="E24" s="118"/>
      <c r="F24" s="119"/>
      <c r="G24" s="119"/>
      <c r="H24" s="119"/>
      <c r="I24" s="119"/>
      <c r="J24" s="119"/>
    </row>
    <row r="25" spans="2:12" x14ac:dyDescent="0.3">
      <c r="B25" s="117"/>
      <c r="C25" s="117"/>
      <c r="D25" s="118"/>
      <c r="E25" s="118"/>
      <c r="F25" s="119"/>
      <c r="G25" s="174" t="s">
        <v>174</v>
      </c>
      <c r="H25" s="175">
        <f>+'Bal. Inicial'!E11</f>
        <v>5116480</v>
      </c>
      <c r="I25" s="175">
        <f>+H27</f>
        <v>5116480</v>
      </c>
      <c r="J25" s="175">
        <f>+I27</f>
        <v>5116480</v>
      </c>
      <c r="K25" s="175">
        <f>+J27</f>
        <v>5116480</v>
      </c>
      <c r="L25" s="176">
        <f>+K27</f>
        <v>5116480</v>
      </c>
    </row>
    <row r="26" spans="2:12" x14ac:dyDescent="0.3">
      <c r="B26" s="117"/>
      <c r="C26" s="117"/>
      <c r="D26" s="118"/>
      <c r="E26" s="118"/>
      <c r="F26" s="119"/>
      <c r="G26" s="177" t="s">
        <v>175</v>
      </c>
      <c r="H26" s="178">
        <f>+G19</f>
        <v>42466784</v>
      </c>
      <c r="I26" s="178">
        <f>+H19</f>
        <v>57177277.977600001</v>
      </c>
      <c r="J26" s="178">
        <f t="shared" ref="J26:L26" si="18">+I19</f>
        <v>75474006.930432007</v>
      </c>
      <c r="K26" s="178">
        <f t="shared" si="18"/>
        <v>99625689.148170263</v>
      </c>
      <c r="L26" s="178">
        <f t="shared" si="18"/>
        <v>126752684.02465998</v>
      </c>
    </row>
    <row r="27" spans="2:12" x14ac:dyDescent="0.3">
      <c r="B27" s="117"/>
      <c r="C27" s="117"/>
      <c r="D27" s="118"/>
      <c r="E27" s="118"/>
      <c r="F27" s="119"/>
      <c r="G27" s="177" t="s">
        <v>176</v>
      </c>
      <c r="H27" s="178">
        <f>+H25</f>
        <v>5116480</v>
      </c>
      <c r="I27" s="178">
        <f t="shared" ref="I27:L27" si="19">+I25</f>
        <v>5116480</v>
      </c>
      <c r="J27" s="178">
        <f t="shared" si="19"/>
        <v>5116480</v>
      </c>
      <c r="K27" s="178">
        <f t="shared" si="19"/>
        <v>5116480</v>
      </c>
      <c r="L27" s="178">
        <f t="shared" si="19"/>
        <v>5116480</v>
      </c>
    </row>
    <row r="28" spans="2:12" ht="19.5" thickBot="1" x14ac:dyDescent="0.35">
      <c r="B28" s="117"/>
      <c r="C28" s="117"/>
      <c r="D28" s="118"/>
      <c r="E28" s="118"/>
      <c r="F28" s="119"/>
      <c r="G28" s="179" t="s">
        <v>177</v>
      </c>
      <c r="H28" s="180">
        <f>+G19</f>
        <v>42466784</v>
      </c>
      <c r="I28" s="180">
        <f t="shared" ref="I28:L28" si="20">+H19</f>
        <v>57177277.977600001</v>
      </c>
      <c r="J28" s="180">
        <f t="shared" si="20"/>
        <v>75474006.930432007</v>
      </c>
      <c r="K28" s="180">
        <f t="shared" si="20"/>
        <v>99625689.148170263</v>
      </c>
      <c r="L28" s="180">
        <f t="shared" si="20"/>
        <v>126752684.02465998</v>
      </c>
    </row>
    <row r="29" spans="2:12" x14ac:dyDescent="0.3">
      <c r="B29" s="281"/>
      <c r="C29" s="281"/>
      <c r="D29" s="281"/>
      <c r="E29" s="120"/>
      <c r="F29" s="120"/>
      <c r="G29" s="120"/>
      <c r="H29" s="120"/>
      <c r="I29" s="120"/>
      <c r="J29" s="120"/>
    </row>
    <row r="30" spans="2:12" x14ac:dyDescent="0.3">
      <c r="B30" s="121"/>
      <c r="C30" s="121"/>
      <c r="D30" s="121"/>
      <c r="E30" s="121"/>
      <c r="F30" s="281"/>
      <c r="G30" s="281"/>
      <c r="H30" s="281"/>
      <c r="I30" s="281"/>
      <c r="J30" s="281"/>
    </row>
    <row r="31" spans="2:12" x14ac:dyDescent="0.3">
      <c r="B31" s="121"/>
      <c r="C31" s="121"/>
      <c r="D31" s="121"/>
      <c r="E31" s="121"/>
      <c r="F31" s="119"/>
      <c r="G31" s="122"/>
      <c r="H31" s="122"/>
      <c r="I31" s="122"/>
      <c r="J31" s="122"/>
    </row>
    <row r="32" spans="2:12" x14ac:dyDescent="0.3">
      <c r="B32" s="121"/>
      <c r="C32" s="121"/>
      <c r="D32" s="121"/>
      <c r="E32" s="121"/>
      <c r="F32" s="119"/>
      <c r="G32" s="122"/>
      <c r="H32" s="122"/>
      <c r="I32" s="122"/>
      <c r="J32" s="122"/>
    </row>
    <row r="33" spans="2:10" x14ac:dyDescent="0.3">
      <c r="B33" s="121"/>
      <c r="C33" s="121"/>
      <c r="D33" s="121"/>
      <c r="E33" s="121"/>
      <c r="F33" s="121"/>
      <c r="G33" s="123"/>
      <c r="H33" s="123"/>
      <c r="I33" s="123"/>
      <c r="J33" s="123"/>
    </row>
    <row r="34" spans="2:10" x14ac:dyDescent="0.3">
      <c r="B34" s="121"/>
      <c r="C34" s="121"/>
      <c r="D34" s="121"/>
      <c r="E34" s="121"/>
      <c r="F34" s="121"/>
      <c r="G34" s="121"/>
      <c r="H34" s="121"/>
      <c r="I34" s="121"/>
      <c r="J34" s="121"/>
    </row>
    <row r="35" spans="2:10" x14ac:dyDescent="0.3">
      <c r="B35" s="121"/>
      <c r="C35" s="121"/>
      <c r="D35" s="121"/>
      <c r="E35" s="121"/>
      <c r="F35" s="281"/>
      <c r="G35" s="281"/>
      <c r="H35" s="281"/>
      <c r="I35" s="281"/>
      <c r="J35" s="281"/>
    </row>
    <row r="36" spans="2:10" x14ac:dyDescent="0.3">
      <c r="B36" s="121"/>
      <c r="C36" s="121"/>
      <c r="D36" s="121"/>
      <c r="E36" s="121"/>
      <c r="F36" s="121"/>
      <c r="G36" s="123"/>
      <c r="H36" s="123"/>
      <c r="I36" s="123"/>
      <c r="J36" s="123"/>
    </row>
    <row r="37" spans="2:10" x14ac:dyDescent="0.3">
      <c r="B37" s="121"/>
      <c r="C37" s="121"/>
      <c r="D37" s="121"/>
      <c r="E37" s="121"/>
      <c r="F37" s="121"/>
      <c r="G37" s="119"/>
      <c r="H37" s="119"/>
      <c r="I37" s="119"/>
      <c r="J37" s="119"/>
    </row>
    <row r="38" spans="2:10" x14ac:dyDescent="0.3">
      <c r="B38" s="121"/>
      <c r="C38" s="121"/>
      <c r="D38" s="121"/>
      <c r="E38" s="121"/>
      <c r="F38" s="121"/>
      <c r="G38" s="119"/>
      <c r="H38" s="119"/>
      <c r="I38" s="119"/>
      <c r="J38" s="119"/>
    </row>
    <row r="39" spans="2:10" x14ac:dyDescent="0.3">
      <c r="B39" s="121"/>
      <c r="C39" s="121"/>
      <c r="D39" s="121"/>
      <c r="E39" s="121"/>
      <c r="F39" s="121"/>
      <c r="G39" s="119"/>
      <c r="H39" s="119"/>
      <c r="I39" s="119"/>
      <c r="J39" s="119"/>
    </row>
    <row r="40" spans="2:10" x14ac:dyDescent="0.3">
      <c r="B40" s="121"/>
      <c r="C40" s="121"/>
      <c r="D40" s="121"/>
      <c r="E40" s="121"/>
      <c r="F40" s="121"/>
      <c r="G40" s="121"/>
      <c r="H40" s="121"/>
      <c r="I40" s="121"/>
      <c r="J40" s="121"/>
    </row>
    <row r="41" spans="2:10" x14ac:dyDescent="0.3">
      <c r="B41" s="121"/>
      <c r="C41" s="121"/>
      <c r="D41" s="121"/>
      <c r="E41" s="121"/>
      <c r="F41" s="121"/>
      <c r="G41" s="121"/>
      <c r="H41" s="121"/>
      <c r="I41" s="121"/>
      <c r="J41" s="121"/>
    </row>
    <row r="42" spans="2:10" x14ac:dyDescent="0.3">
      <c r="B42" s="121"/>
      <c r="C42" s="121"/>
      <c r="D42" s="121"/>
      <c r="E42" s="121"/>
      <c r="F42" s="121"/>
      <c r="G42" s="121"/>
      <c r="H42" s="121"/>
      <c r="I42" s="121"/>
      <c r="J42" s="121"/>
    </row>
    <row r="43" spans="2:10" x14ac:dyDescent="0.3">
      <c r="B43" s="121"/>
      <c r="C43" s="121"/>
      <c r="D43" s="118"/>
      <c r="E43" s="121"/>
      <c r="F43" s="121"/>
      <c r="G43" s="121"/>
      <c r="H43" s="121"/>
      <c r="I43" s="121"/>
      <c r="J43" s="121"/>
    </row>
    <row r="44" spans="2:10" x14ac:dyDescent="0.3">
      <c r="B44" s="121"/>
      <c r="C44" s="121"/>
      <c r="D44" s="118"/>
      <c r="E44" s="121"/>
      <c r="F44" s="121"/>
      <c r="G44" s="121"/>
      <c r="H44" s="121"/>
      <c r="I44" s="121"/>
      <c r="J44" s="121"/>
    </row>
    <row r="45" spans="2:10" x14ac:dyDescent="0.3">
      <c r="B45" s="121"/>
      <c r="C45" s="121"/>
      <c r="D45" s="118"/>
      <c r="E45" s="121"/>
      <c r="F45" s="121"/>
      <c r="G45" s="121"/>
      <c r="H45" s="121"/>
      <c r="I45" s="121"/>
      <c r="J45" s="121"/>
    </row>
    <row r="46" spans="2:10" x14ac:dyDescent="0.3">
      <c r="B46" s="121"/>
      <c r="C46" s="121"/>
      <c r="D46" s="118"/>
      <c r="E46" s="121"/>
      <c r="F46" s="121"/>
      <c r="G46" s="121"/>
      <c r="H46" s="121"/>
      <c r="I46" s="121"/>
      <c r="J46" s="121"/>
    </row>
    <row r="47" spans="2:10" x14ac:dyDescent="0.3">
      <c r="B47" s="121"/>
      <c r="C47" s="121"/>
      <c r="D47" s="118"/>
      <c r="E47" s="121"/>
      <c r="F47" s="121"/>
      <c r="G47" s="121"/>
      <c r="H47" s="121"/>
      <c r="I47" s="121"/>
      <c r="J47" s="121"/>
    </row>
    <row r="48" spans="2:10" x14ac:dyDescent="0.3">
      <c r="B48" s="121"/>
      <c r="C48" s="121"/>
      <c r="D48" s="118"/>
      <c r="E48" s="121"/>
      <c r="F48" s="121"/>
      <c r="G48" s="121"/>
      <c r="H48" s="121"/>
      <c r="I48" s="121"/>
      <c r="J48" s="121"/>
    </row>
    <row r="49" spans="2:10" x14ac:dyDescent="0.3">
      <c r="B49" s="121"/>
      <c r="C49" s="121"/>
      <c r="D49" s="118"/>
      <c r="E49" s="121"/>
      <c r="F49" s="121"/>
      <c r="G49" s="121"/>
      <c r="H49" s="121"/>
      <c r="I49" s="121"/>
      <c r="J49" s="121"/>
    </row>
    <row r="50" spans="2:10" x14ac:dyDescent="0.3">
      <c r="B50" s="121"/>
      <c r="C50" s="121"/>
      <c r="D50" s="118"/>
      <c r="E50" s="121"/>
      <c r="F50" s="121"/>
      <c r="G50" s="121"/>
      <c r="H50" s="121"/>
      <c r="I50" s="121"/>
      <c r="J50" s="121"/>
    </row>
    <row r="51" spans="2:10" x14ac:dyDescent="0.3">
      <c r="B51" s="121"/>
      <c r="C51" s="121"/>
      <c r="D51" s="118"/>
      <c r="E51" s="121"/>
      <c r="F51" s="121"/>
      <c r="G51" s="121"/>
      <c r="H51" s="121"/>
      <c r="I51" s="121"/>
      <c r="J51" s="121"/>
    </row>
    <row r="52" spans="2:10" x14ac:dyDescent="0.3">
      <c r="B52" s="121"/>
      <c r="C52" s="121"/>
      <c r="D52" s="118"/>
      <c r="E52" s="121"/>
      <c r="F52" s="121"/>
      <c r="G52" s="121"/>
      <c r="H52" s="121"/>
      <c r="I52" s="121"/>
      <c r="J52" s="121"/>
    </row>
    <row r="53" spans="2:10" x14ac:dyDescent="0.3">
      <c r="B53" s="121"/>
      <c r="C53" s="121"/>
      <c r="D53" s="118"/>
      <c r="E53" s="121"/>
      <c r="F53" s="121"/>
      <c r="G53" s="121"/>
      <c r="H53" s="121"/>
      <c r="I53" s="121"/>
      <c r="J53" s="121"/>
    </row>
    <row r="54" spans="2:10" x14ac:dyDescent="0.3">
      <c r="B54" s="121"/>
      <c r="C54" s="121"/>
      <c r="D54" s="118"/>
      <c r="E54" s="121"/>
      <c r="F54" s="121"/>
      <c r="G54" s="121"/>
      <c r="H54" s="121"/>
      <c r="I54" s="121"/>
      <c r="J54" s="121"/>
    </row>
    <row r="55" spans="2:10" x14ac:dyDescent="0.3">
      <c r="B55" s="121"/>
      <c r="C55" s="121"/>
      <c r="D55" s="118"/>
      <c r="E55" s="121"/>
      <c r="F55" s="121"/>
      <c r="G55" s="121"/>
      <c r="H55" s="121"/>
      <c r="I55" s="121"/>
      <c r="J55" s="121"/>
    </row>
    <row r="56" spans="2:10" x14ac:dyDescent="0.3">
      <c r="B56" s="121"/>
      <c r="C56" s="121"/>
      <c r="D56" s="118"/>
      <c r="E56" s="121"/>
      <c r="F56" s="121"/>
      <c r="G56" s="121"/>
      <c r="H56" s="121"/>
      <c r="I56" s="121"/>
      <c r="J56" s="121"/>
    </row>
    <row r="57" spans="2:10" x14ac:dyDescent="0.3">
      <c r="B57" s="121"/>
      <c r="C57" s="121"/>
      <c r="D57" s="118"/>
      <c r="E57" s="121"/>
      <c r="F57" s="121"/>
      <c r="G57" s="121"/>
      <c r="H57" s="121"/>
      <c r="I57" s="121"/>
      <c r="J57" s="121"/>
    </row>
    <row r="58" spans="2:10" x14ac:dyDescent="0.3">
      <c r="B58" s="121"/>
      <c r="C58" s="121"/>
      <c r="D58" s="118"/>
      <c r="E58" s="121"/>
      <c r="F58" s="121"/>
      <c r="G58" s="121"/>
      <c r="H58" s="121"/>
      <c r="I58" s="121"/>
      <c r="J58" s="121"/>
    </row>
    <row r="59" spans="2:10" x14ac:dyDescent="0.3">
      <c r="B59" s="121"/>
      <c r="C59" s="121"/>
      <c r="D59" s="121"/>
      <c r="E59" s="121"/>
      <c r="F59" s="121"/>
      <c r="G59" s="121"/>
      <c r="H59" s="121"/>
      <c r="I59" s="121"/>
      <c r="J59" s="121"/>
    </row>
    <row r="60" spans="2:10" x14ac:dyDescent="0.3">
      <c r="B60" s="121"/>
      <c r="C60" s="121"/>
      <c r="D60" s="121"/>
      <c r="E60" s="121"/>
      <c r="F60" s="121"/>
      <c r="G60" s="121"/>
      <c r="H60" s="121"/>
      <c r="I60" s="121"/>
      <c r="J60" s="121"/>
    </row>
    <row r="61" spans="2:10" x14ac:dyDescent="0.3"/>
    <row r="62" spans="2:10" x14ac:dyDescent="0.3"/>
    <row r="63" spans="2:10" x14ac:dyDescent="0.3"/>
    <row r="64" spans="2:10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</sheetData>
  <mergeCells count="21">
    <mergeCell ref="F30:J30"/>
    <mergeCell ref="F35:J35"/>
    <mergeCell ref="B29:D29"/>
    <mergeCell ref="B1:J1"/>
    <mergeCell ref="B3:C3"/>
    <mergeCell ref="B2:J2"/>
    <mergeCell ref="D19:F19"/>
    <mergeCell ref="D20:F20"/>
    <mergeCell ref="D21:F21"/>
    <mergeCell ref="G11:K11"/>
    <mergeCell ref="G17:K17"/>
    <mergeCell ref="L2:P2"/>
    <mergeCell ref="L3:M3"/>
    <mergeCell ref="L4:M4"/>
    <mergeCell ref="L5:M5"/>
    <mergeCell ref="L6:M6"/>
    <mergeCell ref="L7:M7"/>
    <mergeCell ref="L8:M8"/>
    <mergeCell ref="D14:F14"/>
    <mergeCell ref="D15:F15"/>
    <mergeCell ref="D13:F13"/>
  </mergeCells>
  <phoneticPr fontId="3" type="noConversion"/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32"/>
  <sheetViews>
    <sheetView topLeftCell="A11" zoomScale="90" zoomScaleNormal="90" workbookViewId="0">
      <selection activeCell="F21" sqref="F21:K32"/>
    </sheetView>
  </sheetViews>
  <sheetFormatPr baseColWidth="10" defaultRowHeight="15" x14ac:dyDescent="0.25"/>
  <cols>
    <col min="1" max="1" width="22.85546875" customWidth="1"/>
    <col min="3" max="3" width="16.85546875" customWidth="1"/>
    <col min="4" max="4" width="26" customWidth="1"/>
    <col min="5" max="5" width="21.5703125" customWidth="1"/>
    <col min="6" max="6" width="25.28515625" customWidth="1"/>
    <col min="7" max="11" width="13.85546875" bestFit="1" customWidth="1"/>
  </cols>
  <sheetData>
    <row r="1" spans="1:10" ht="18.75" x14ac:dyDescent="0.3">
      <c r="A1" s="283" t="s">
        <v>145</v>
      </c>
      <c r="B1" s="283"/>
      <c r="C1" s="283"/>
      <c r="D1" s="283"/>
      <c r="E1" s="283"/>
    </row>
    <row r="2" spans="1:10" ht="18.75" x14ac:dyDescent="0.3">
      <c r="A2" s="283" t="s">
        <v>130</v>
      </c>
      <c r="B2" s="283"/>
      <c r="C2" s="283"/>
      <c r="D2" s="283"/>
      <c r="E2" s="283"/>
    </row>
    <row r="3" spans="1:10" ht="40.5" x14ac:dyDescent="0.25">
      <c r="A3" s="33" t="s">
        <v>61</v>
      </c>
      <c r="B3" s="34" t="s">
        <v>62</v>
      </c>
      <c r="C3" s="34" t="s">
        <v>63</v>
      </c>
      <c r="D3" s="34" t="s">
        <v>64</v>
      </c>
      <c r="E3" s="34" t="s">
        <v>65</v>
      </c>
    </row>
    <row r="4" spans="1:10" ht="15.75" x14ac:dyDescent="0.3">
      <c r="A4" s="39" t="s">
        <v>285</v>
      </c>
      <c r="B4" s="36">
        <v>2</v>
      </c>
      <c r="C4" s="37">
        <v>877803</v>
      </c>
      <c r="D4" s="37">
        <f>C4*B4</f>
        <v>1755606</v>
      </c>
      <c r="E4" s="37">
        <f>D4*12</f>
        <v>21067272</v>
      </c>
    </row>
    <row r="5" spans="1:10" ht="15.75" x14ac:dyDescent="0.3">
      <c r="A5" s="39" t="s">
        <v>284</v>
      </c>
      <c r="B5" s="36">
        <v>1</v>
      </c>
      <c r="C5" s="37">
        <v>1000000</v>
      </c>
      <c r="D5" s="37">
        <f>C5*B5</f>
        <v>1000000</v>
      </c>
      <c r="E5" s="37">
        <f>D5*12</f>
        <v>12000000</v>
      </c>
    </row>
    <row r="7" spans="1:10" ht="15.75" x14ac:dyDescent="0.3">
      <c r="A7" s="39" t="s">
        <v>66</v>
      </c>
      <c r="B7" s="36">
        <v>3</v>
      </c>
      <c r="C7" s="37">
        <v>102854</v>
      </c>
      <c r="D7" s="37">
        <f t="shared" ref="D7" si="0">C7*B7</f>
        <v>308562</v>
      </c>
      <c r="E7" s="37">
        <f t="shared" ref="E7" si="1">D7*12</f>
        <v>3702744</v>
      </c>
    </row>
    <row r="8" spans="1:10" ht="15.75" x14ac:dyDescent="0.3">
      <c r="A8" s="39" t="s">
        <v>67</v>
      </c>
      <c r="B8" s="36"/>
      <c r="C8" s="37">
        <f>SUM(C4:C5)</f>
        <v>1877803</v>
      </c>
      <c r="D8" s="40">
        <f>SUM(D4:D7)</f>
        <v>3064168</v>
      </c>
      <c r="E8" s="40">
        <f>SUM(E4:E7)</f>
        <v>36770016</v>
      </c>
    </row>
    <row r="9" spans="1:10" ht="15.75" x14ac:dyDescent="0.3">
      <c r="A9" s="35"/>
      <c r="B9" s="41" t="s">
        <v>68</v>
      </c>
      <c r="C9" s="42" t="s">
        <v>69</v>
      </c>
      <c r="D9" s="37"/>
      <c r="E9" s="37"/>
    </row>
    <row r="10" spans="1:10" ht="15.75" x14ac:dyDescent="0.3">
      <c r="A10" s="35"/>
      <c r="B10" s="37" t="s">
        <v>70</v>
      </c>
      <c r="C10" s="43">
        <v>8.3299999999999999E-2</v>
      </c>
      <c r="D10" s="44">
        <f>+$D$8*C10</f>
        <v>255245.19440000001</v>
      </c>
      <c r="E10" s="37">
        <f>+D10*12</f>
        <v>3062942.3328</v>
      </c>
    </row>
    <row r="11" spans="1:10" ht="30" x14ac:dyDescent="0.3">
      <c r="A11" s="38"/>
      <c r="B11" s="45" t="s">
        <v>71</v>
      </c>
      <c r="C11" s="46">
        <v>8.3299999999999999E-2</v>
      </c>
      <c r="D11" s="44">
        <f>+$D$8*C11</f>
        <v>255245.19440000001</v>
      </c>
      <c r="E11" s="37">
        <f>+D11*12</f>
        <v>3062942.3328</v>
      </c>
      <c r="G11" s="59" t="s">
        <v>79</v>
      </c>
      <c r="H11" s="59" t="s">
        <v>80</v>
      </c>
      <c r="I11" s="59" t="s">
        <v>81</v>
      </c>
      <c r="J11" s="60" t="s">
        <v>85</v>
      </c>
    </row>
    <row r="12" spans="1:10" ht="15.75" x14ac:dyDescent="0.3">
      <c r="A12" s="47" t="s">
        <v>72</v>
      </c>
      <c r="B12" s="45" t="s">
        <v>3</v>
      </c>
      <c r="C12" s="46">
        <v>0.01</v>
      </c>
      <c r="D12" s="44">
        <f>+$D$8*C12</f>
        <v>30641.68</v>
      </c>
      <c r="E12" s="37">
        <f>+D12*12</f>
        <v>367700.16000000003</v>
      </c>
      <c r="G12" s="55">
        <v>0.04</v>
      </c>
      <c r="H12" s="56">
        <v>8.5000000000000006E-2</v>
      </c>
      <c r="I12" s="56">
        <v>0.125</v>
      </c>
      <c r="J12" s="4" t="s">
        <v>82</v>
      </c>
    </row>
    <row r="13" spans="1:10" ht="15.75" x14ac:dyDescent="0.3">
      <c r="A13" s="47"/>
      <c r="B13" s="45" t="s">
        <v>73</v>
      </c>
      <c r="C13" s="46">
        <v>4.1700000000000001E-2</v>
      </c>
      <c r="D13" s="44">
        <f>+($D$8-D7)*C13</f>
        <v>114908.7702</v>
      </c>
      <c r="E13" s="37">
        <f>+D13*12</f>
        <v>1378905.2423999999</v>
      </c>
      <c r="G13" s="55">
        <v>0.04</v>
      </c>
      <c r="H13" s="55">
        <v>0.12</v>
      </c>
      <c r="I13" s="56">
        <v>0.16</v>
      </c>
      <c r="J13" s="4" t="s">
        <v>83</v>
      </c>
    </row>
    <row r="14" spans="1:10" ht="15.75" x14ac:dyDescent="0.3">
      <c r="A14" s="47" t="s">
        <v>74</v>
      </c>
      <c r="B14" s="45" t="s">
        <v>75</v>
      </c>
      <c r="C14" s="46">
        <v>0.21</v>
      </c>
      <c r="D14" s="44">
        <f>+$D$8*C14</f>
        <v>643475.28</v>
      </c>
      <c r="E14" s="44">
        <f>+D14*12</f>
        <v>7721703.3600000003</v>
      </c>
      <c r="G14" s="4"/>
      <c r="H14" s="57">
        <v>5.2199999999999998E-3</v>
      </c>
      <c r="I14" s="57">
        <v>5.2199999999999998E-3</v>
      </c>
      <c r="J14" s="4" t="s">
        <v>84</v>
      </c>
    </row>
    <row r="15" spans="1:10" ht="15.75" x14ac:dyDescent="0.3">
      <c r="A15" s="38"/>
      <c r="B15" s="45"/>
      <c r="C15" s="46"/>
      <c r="D15" s="44">
        <v>0</v>
      </c>
      <c r="E15" s="44">
        <v>0</v>
      </c>
      <c r="G15" s="4"/>
      <c r="H15" s="58">
        <f>SUM(H12:H14)</f>
        <v>0.21022000000000002</v>
      </c>
      <c r="I15" s="58">
        <f>SUM(I12:I14)</f>
        <v>0.29022000000000003</v>
      </c>
      <c r="J15" s="4"/>
    </row>
    <row r="16" spans="1:10" ht="15.75" x14ac:dyDescent="0.3">
      <c r="A16" s="48" t="s">
        <v>76</v>
      </c>
      <c r="B16" s="49"/>
      <c r="C16" s="50">
        <f>SUM(C10:C15)</f>
        <v>0.42830000000000001</v>
      </c>
      <c r="D16" s="51">
        <f>SUM(D10:D15)</f>
        <v>1299516.1189999999</v>
      </c>
      <c r="E16" s="51">
        <f>SUM(E10:E15)</f>
        <v>15594193.427999999</v>
      </c>
    </row>
    <row r="17" spans="1:11" ht="15.75" x14ac:dyDescent="0.3">
      <c r="A17" s="48" t="s">
        <v>77</v>
      </c>
      <c r="B17" s="49"/>
      <c r="C17" s="50"/>
      <c r="D17" s="51"/>
      <c r="E17" s="51">
        <v>220000</v>
      </c>
    </row>
    <row r="18" spans="1:11" ht="15.75" x14ac:dyDescent="0.3">
      <c r="A18" s="48" t="s">
        <v>133</v>
      </c>
      <c r="B18" s="49"/>
      <c r="C18" s="50"/>
      <c r="D18" s="51"/>
      <c r="E18" s="51">
        <v>300000</v>
      </c>
    </row>
    <row r="19" spans="1:11" ht="15.75" x14ac:dyDescent="0.3">
      <c r="A19" s="48"/>
      <c r="B19" s="49"/>
      <c r="C19" s="50"/>
      <c r="D19" s="51"/>
      <c r="E19" s="51"/>
    </row>
    <row r="20" spans="1:11" ht="15.75" x14ac:dyDescent="0.3">
      <c r="A20" s="48" t="s">
        <v>78</v>
      </c>
      <c r="B20" s="49"/>
      <c r="C20" s="52"/>
      <c r="D20" s="51">
        <f>+D16+D8</f>
        <v>4363684.1189999999</v>
      </c>
      <c r="E20" s="51">
        <f>SUM(E16:E19)</f>
        <v>16114193.427999999</v>
      </c>
    </row>
    <row r="21" spans="1:11" ht="15.75" x14ac:dyDescent="0.3">
      <c r="A21" s="53"/>
      <c r="B21" s="54"/>
      <c r="C21" s="54"/>
      <c r="D21" s="54"/>
      <c r="E21" s="54"/>
      <c r="G21" s="284" t="s">
        <v>86</v>
      </c>
      <c r="H21" s="285"/>
      <c r="I21" s="285"/>
      <c r="J21" s="285"/>
      <c r="K21" s="286"/>
    </row>
    <row r="22" spans="1:11" x14ac:dyDescent="0.25">
      <c r="E22" s="173">
        <f>+E20+E8</f>
        <v>52884209.428000003</v>
      </c>
      <c r="G22" s="61"/>
      <c r="H22" s="13">
        <v>0.05</v>
      </c>
      <c r="I22" s="4">
        <v>1.05</v>
      </c>
      <c r="J22" s="4"/>
      <c r="K22" s="4"/>
    </row>
    <row r="23" spans="1:11" x14ac:dyDescent="0.25">
      <c r="G23" s="164" t="s">
        <v>89</v>
      </c>
      <c r="H23" s="165" t="s">
        <v>90</v>
      </c>
      <c r="I23" s="164" t="s">
        <v>91</v>
      </c>
      <c r="J23" s="165" t="s">
        <v>92</v>
      </c>
      <c r="K23" s="164" t="s">
        <v>93</v>
      </c>
    </row>
    <row r="24" spans="1:11" x14ac:dyDescent="0.25">
      <c r="F24" s="147" t="s">
        <v>87</v>
      </c>
      <c r="G24" s="149">
        <f>+E16+E17</f>
        <v>15814193.427999999</v>
      </c>
      <c r="H24" s="150">
        <f>+G24*I22</f>
        <v>16604903.099400001</v>
      </c>
      <c r="I24" s="150">
        <f>+H24*I22</f>
        <v>17435148.25437</v>
      </c>
      <c r="J24" s="150">
        <f>+I24*I22</f>
        <v>18306905.667088501</v>
      </c>
      <c r="K24" s="150">
        <f>+J24*I22</f>
        <v>19222250.950442929</v>
      </c>
    </row>
    <row r="25" spans="1:11" x14ac:dyDescent="0.25">
      <c r="F25" s="147" t="s">
        <v>88</v>
      </c>
      <c r="G25" s="151">
        <f>+iNVERSION!E27*12</f>
        <v>1260000</v>
      </c>
      <c r="H25" s="151">
        <f>+G25*I22</f>
        <v>1323000</v>
      </c>
      <c r="I25" s="151">
        <f>+H25*I22</f>
        <v>1389150</v>
      </c>
      <c r="J25" s="151">
        <f>+I25*I22</f>
        <v>1458607.5</v>
      </c>
      <c r="K25" s="151">
        <f>+J25*I22</f>
        <v>1531537.875</v>
      </c>
    </row>
    <row r="26" spans="1:11" x14ac:dyDescent="0.25">
      <c r="F26" s="147" t="s">
        <v>38</v>
      </c>
      <c r="G26" s="151">
        <f>+iNVERSION!E22*12</f>
        <v>2400000</v>
      </c>
      <c r="H26" s="151">
        <f>+G26*I22</f>
        <v>2520000</v>
      </c>
      <c r="I26" s="151">
        <f>+H26*I22</f>
        <v>2646000</v>
      </c>
      <c r="J26" s="151">
        <f>+I26*I22</f>
        <v>2778300</v>
      </c>
      <c r="K26" s="151">
        <f>+J26*I22</f>
        <v>2917215</v>
      </c>
    </row>
    <row r="27" spans="1:11" x14ac:dyDescent="0.25">
      <c r="F27" s="148" t="s">
        <v>131</v>
      </c>
      <c r="G27" s="151">
        <f>+iNVERSION!E19</f>
        <v>790000</v>
      </c>
      <c r="H27" s="151">
        <f>SUM(iNVERSION!E15:E17)*Nomina!I22</f>
        <v>514500</v>
      </c>
      <c r="I27" s="151">
        <f>+H27*I22</f>
        <v>540225</v>
      </c>
      <c r="J27" s="151">
        <f>+I27*I22</f>
        <v>567236.25</v>
      </c>
      <c r="K27" s="151">
        <f>+J27*I22</f>
        <v>595598.0625</v>
      </c>
    </row>
    <row r="28" spans="1:11" x14ac:dyDescent="0.25">
      <c r="F28" s="148" t="s">
        <v>134</v>
      </c>
      <c r="G28" s="151">
        <f>+E18*12</f>
        <v>3600000</v>
      </c>
      <c r="H28" s="151">
        <f>+G28*$I$22</f>
        <v>3780000</v>
      </c>
      <c r="I28" s="151">
        <f>+H28*$I$22</f>
        <v>3969000</v>
      </c>
      <c r="J28" s="151">
        <f>(300000*12)+(600000*12)</f>
        <v>10800000</v>
      </c>
      <c r="K28" s="151">
        <f t="shared" ref="K28" si="2">+J28*$I$22</f>
        <v>11340000</v>
      </c>
    </row>
    <row r="29" spans="1:11" x14ac:dyDescent="0.25">
      <c r="F29" s="148" t="str">
        <f>+iNVERSION!B28</f>
        <v>Estrategias de Promocion</v>
      </c>
      <c r="G29" s="151">
        <f>+iNVERSION!E28*12</f>
        <v>1020000</v>
      </c>
      <c r="H29" s="151">
        <f>+G29*1.03</f>
        <v>1050600</v>
      </c>
      <c r="I29" s="151">
        <f>+H29*1.3</f>
        <v>1365780</v>
      </c>
      <c r="J29" s="151">
        <f>+I29*1.3</f>
        <v>1775514</v>
      </c>
      <c r="K29" s="151">
        <f>+J29*1.3</f>
        <v>2308168.2000000002</v>
      </c>
    </row>
    <row r="30" spans="1:11" x14ac:dyDescent="0.25">
      <c r="F30" s="148" t="str">
        <f>+iNVERSION!B29</f>
        <v>Estrategias de Publicidad</v>
      </c>
      <c r="G30" s="151">
        <f>+iNVERSION!E29*12</f>
        <v>1080000</v>
      </c>
      <c r="H30" s="151">
        <f t="shared" ref="H30:H31" si="3">+G30*1.03</f>
        <v>1112400</v>
      </c>
      <c r="I30" s="151">
        <f t="shared" ref="I30:K30" si="4">+H30*1.3</f>
        <v>1446120</v>
      </c>
      <c r="J30" s="151">
        <f t="shared" si="4"/>
        <v>1879956</v>
      </c>
      <c r="K30" s="151">
        <f t="shared" si="4"/>
        <v>2443942.8000000003</v>
      </c>
    </row>
    <row r="31" spans="1:11" x14ac:dyDescent="0.25">
      <c r="F31" s="148" t="str">
        <f>+iNVERSION!B30</f>
        <v>Estrategias de Distribucion</v>
      </c>
      <c r="G31" s="151">
        <f>+iNVERSION!E30*12</f>
        <v>900000</v>
      </c>
      <c r="H31" s="151">
        <f t="shared" si="3"/>
        <v>927000</v>
      </c>
      <c r="I31" s="151">
        <f t="shared" ref="I31:K31" si="5">+H31*1.3</f>
        <v>1205100</v>
      </c>
      <c r="J31" s="151">
        <f t="shared" si="5"/>
        <v>1566630</v>
      </c>
      <c r="K31" s="151">
        <f t="shared" si="5"/>
        <v>2036619</v>
      </c>
    </row>
    <row r="32" spans="1:11" x14ac:dyDescent="0.25">
      <c r="G32" s="152">
        <f>SUM(G24:G31)</f>
        <v>26864193.427999999</v>
      </c>
      <c r="H32" s="152">
        <f t="shared" ref="H32:K32" si="6">SUM(H24:H31)</f>
        <v>27832403.099399999</v>
      </c>
      <c r="I32" s="152">
        <f t="shared" si="6"/>
        <v>29996523.25437</v>
      </c>
      <c r="J32" s="152">
        <f t="shared" si="6"/>
        <v>39133149.417088501</v>
      </c>
      <c r="K32" s="152">
        <f t="shared" si="6"/>
        <v>42395331.887942925</v>
      </c>
    </row>
  </sheetData>
  <mergeCells count="3">
    <mergeCell ref="A1:E1"/>
    <mergeCell ref="A2:E2"/>
    <mergeCell ref="G21:K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0.79998168889431442"/>
  </sheetPr>
  <dimension ref="A1:G39"/>
  <sheetViews>
    <sheetView showGridLines="0" topLeftCell="A14" zoomScale="110" zoomScaleNormal="110" workbookViewId="0">
      <selection activeCell="A32" sqref="A32"/>
    </sheetView>
  </sheetViews>
  <sheetFormatPr baseColWidth="10" defaultColWidth="0" defaultRowHeight="16.5" zeroHeight="1" x14ac:dyDescent="0.3"/>
  <cols>
    <col min="1" max="1" width="32.140625" style="1" customWidth="1"/>
    <col min="2" max="2" width="16.140625" style="1" customWidth="1"/>
    <col min="3" max="3" width="16.7109375" style="1" customWidth="1"/>
    <col min="4" max="4" width="15" style="1" customWidth="1"/>
    <col min="5" max="5" width="15.140625" style="1" customWidth="1"/>
    <col min="6" max="6" width="15.5703125" style="1" customWidth="1"/>
    <col min="7" max="7" width="11.5703125" style="1" customWidth="1"/>
    <col min="8" max="16381" width="0" style="1" hidden="1"/>
    <col min="16382" max="16382" width="12.140625" style="1" customWidth="1"/>
    <col min="16383" max="16383" width="7.42578125" style="1" customWidth="1"/>
    <col min="16384" max="16384" width="4.5703125" style="1" customWidth="1"/>
  </cols>
  <sheetData>
    <row r="1" spans="1:7" x14ac:dyDescent="0.3">
      <c r="A1" s="287" t="s">
        <v>145</v>
      </c>
      <c r="B1" s="288"/>
      <c r="C1" s="288"/>
      <c r="D1" s="288"/>
      <c r="E1" s="288"/>
      <c r="F1" s="289"/>
    </row>
    <row r="2" spans="1:7" ht="17.25" thickBot="1" x14ac:dyDescent="0.35">
      <c r="A2" s="290" t="s">
        <v>95</v>
      </c>
      <c r="B2" s="291"/>
      <c r="C2" s="291"/>
      <c r="D2" s="291"/>
      <c r="E2" s="291"/>
      <c r="F2" s="292"/>
    </row>
    <row r="3" spans="1:7" ht="18.75" customHeight="1" x14ac:dyDescent="0.3">
      <c r="A3" s="296" t="s">
        <v>0</v>
      </c>
      <c r="B3" s="298">
        <v>1</v>
      </c>
      <c r="C3" s="298">
        <v>2</v>
      </c>
      <c r="D3" s="298">
        <v>3</v>
      </c>
      <c r="E3" s="298">
        <v>4</v>
      </c>
      <c r="F3" s="300">
        <v>5</v>
      </c>
    </row>
    <row r="4" spans="1:7" ht="15" customHeight="1" thickBot="1" x14ac:dyDescent="0.35">
      <c r="A4" s="297"/>
      <c r="B4" s="299"/>
      <c r="C4" s="299"/>
      <c r="D4" s="299"/>
      <c r="E4" s="299"/>
      <c r="F4" s="301"/>
    </row>
    <row r="5" spans="1:7" x14ac:dyDescent="0.3">
      <c r="A5" s="62" t="s">
        <v>1</v>
      </c>
      <c r="B5" s="63">
        <f>+PRESUPUESTOS!G13</f>
        <v>72239583.333333343</v>
      </c>
      <c r="C5" s="63">
        <f>+PRESUPUESTOS!H13</f>
        <v>92842312.5</v>
      </c>
      <c r="D5" s="63">
        <f>+PRESUPUESTOS!I13</f>
        <v>116981313.75</v>
      </c>
      <c r="E5" s="63">
        <f>+PRESUPUESTOS!J13</f>
        <v>147396455.32500002</v>
      </c>
      <c r="F5" s="63">
        <f>+PRESUPUESTOS!K13</f>
        <v>185719533.70950001</v>
      </c>
    </row>
    <row r="6" spans="1:7" x14ac:dyDescent="0.3">
      <c r="A6" s="64" t="s">
        <v>5</v>
      </c>
      <c r="B6" s="65">
        <f>-PRESUPUESTOS!H28</f>
        <v>-42466784</v>
      </c>
      <c r="C6" s="65">
        <f>-PRESUPUESTOS!I28</f>
        <v>-57177277.977600001</v>
      </c>
      <c r="D6" s="65">
        <f>-PRESUPUESTOS!J28</f>
        <v>-75474006.930432007</v>
      </c>
      <c r="E6" s="65">
        <f>-PRESUPUESTOS!K28</f>
        <v>-99625689.148170263</v>
      </c>
      <c r="F6" s="65">
        <f>-PRESUPUESTOS!L28</f>
        <v>-126752684.02465998</v>
      </c>
    </row>
    <row r="7" spans="1:7" x14ac:dyDescent="0.3">
      <c r="A7" s="139" t="s">
        <v>6</v>
      </c>
      <c r="B7" s="140">
        <f>SUM(B5:B6)</f>
        <v>29772799.333333343</v>
      </c>
      <c r="C7" s="140">
        <f>SUM(C5:C6)</f>
        <v>35665034.522399999</v>
      </c>
      <c r="D7" s="140">
        <f>SUM(D5:D6)</f>
        <v>41507306.819567993</v>
      </c>
      <c r="E7" s="140">
        <f>SUM(E5:E6)</f>
        <v>47770766.176829755</v>
      </c>
      <c r="F7" s="140">
        <f>SUM(F5:F6)</f>
        <v>58966849.684840038</v>
      </c>
      <c r="G7" s="112"/>
    </row>
    <row r="8" spans="1:7" x14ac:dyDescent="0.3">
      <c r="A8" s="66"/>
      <c r="B8" s="66"/>
      <c r="C8" s="66"/>
      <c r="D8" s="66"/>
      <c r="E8" s="66"/>
      <c r="F8" s="66"/>
    </row>
    <row r="9" spans="1:7" x14ac:dyDescent="0.3">
      <c r="A9" s="293" t="s">
        <v>7</v>
      </c>
      <c r="B9" s="294"/>
      <c r="C9" s="294"/>
      <c r="D9" s="294"/>
      <c r="E9" s="294"/>
      <c r="F9" s="295"/>
    </row>
    <row r="10" spans="1:7" x14ac:dyDescent="0.3">
      <c r="A10" s="66" t="str">
        <f>+Nomina!F24</f>
        <v>Salarios y prestaciones</v>
      </c>
      <c r="B10" s="67">
        <f>+Nomina!G24</f>
        <v>15814193.427999999</v>
      </c>
      <c r="C10" s="67">
        <f>+Nomina!H24</f>
        <v>16604903.099400001</v>
      </c>
      <c r="D10" s="67">
        <f>+Nomina!I24</f>
        <v>17435148.25437</v>
      </c>
      <c r="E10" s="67">
        <f>+Nomina!J24</f>
        <v>18306905.667088501</v>
      </c>
      <c r="F10" s="67">
        <f>+Nomina!K24</f>
        <v>19222250.950442929</v>
      </c>
    </row>
    <row r="11" spans="1:7" x14ac:dyDescent="0.3">
      <c r="A11" s="66" t="str">
        <f>+Nomina!F25</f>
        <v>Sevicios Publicos</v>
      </c>
      <c r="B11" s="67">
        <f>+Nomina!G25</f>
        <v>1260000</v>
      </c>
      <c r="C11" s="67">
        <f>+Nomina!H25</f>
        <v>1323000</v>
      </c>
      <c r="D11" s="67">
        <f>+Nomina!I25</f>
        <v>1389150</v>
      </c>
      <c r="E11" s="67">
        <f>+Nomina!J25</f>
        <v>1458607.5</v>
      </c>
      <c r="F11" s="67">
        <f>+Nomina!K25</f>
        <v>1531537.875</v>
      </c>
    </row>
    <row r="12" spans="1:7" x14ac:dyDescent="0.3">
      <c r="A12" s="66" t="str">
        <f>+Nomina!F26</f>
        <v>Arriendos</v>
      </c>
      <c r="B12" s="67">
        <f>+Nomina!G26</f>
        <v>2400000</v>
      </c>
      <c r="C12" s="67">
        <f>+Nomina!H26</f>
        <v>2520000</v>
      </c>
      <c r="D12" s="67">
        <f>+Nomina!I26</f>
        <v>2646000</v>
      </c>
      <c r="E12" s="67">
        <f>+Nomina!J26</f>
        <v>2778300</v>
      </c>
      <c r="F12" s="67">
        <f>+Nomina!K26</f>
        <v>2917215</v>
      </c>
    </row>
    <row r="13" spans="1:7" x14ac:dyDescent="0.3">
      <c r="A13" s="66" t="str">
        <f>+Nomina!F27</f>
        <v>Gastos Legales</v>
      </c>
      <c r="B13" s="67">
        <f>+Nomina!G27</f>
        <v>790000</v>
      </c>
      <c r="C13" s="67">
        <f>+Nomina!H27</f>
        <v>514500</v>
      </c>
      <c r="D13" s="67">
        <f>+Nomina!I27</f>
        <v>540225</v>
      </c>
      <c r="E13" s="67">
        <f>+Nomina!J27</f>
        <v>567236.25</v>
      </c>
      <c r="F13" s="67">
        <f>+Nomina!K27</f>
        <v>595598.0625</v>
      </c>
    </row>
    <row r="14" spans="1:7" x14ac:dyDescent="0.3">
      <c r="A14" s="66" t="str">
        <f>+Nomina!F28</f>
        <v>Homorarios</v>
      </c>
      <c r="B14" s="67">
        <f>+Nomina!G28</f>
        <v>3600000</v>
      </c>
      <c r="C14" s="67">
        <f>+Nomina!H28</f>
        <v>3780000</v>
      </c>
      <c r="D14" s="67">
        <f>+Nomina!I28</f>
        <v>3969000</v>
      </c>
      <c r="E14" s="67">
        <f>+Nomina!J28</f>
        <v>10800000</v>
      </c>
      <c r="F14" s="67">
        <f>+Nomina!K28</f>
        <v>11340000</v>
      </c>
    </row>
    <row r="15" spans="1:7" x14ac:dyDescent="0.3">
      <c r="A15" s="66" t="str">
        <f>+Nomina!F29</f>
        <v>Estrategias de Promocion</v>
      </c>
      <c r="B15" s="67">
        <f>+Nomina!G29</f>
        <v>1020000</v>
      </c>
      <c r="C15" s="67">
        <f>+Nomina!H29</f>
        <v>1050600</v>
      </c>
      <c r="D15" s="67">
        <f>+Nomina!I29</f>
        <v>1365780</v>
      </c>
      <c r="E15" s="67">
        <f>+Nomina!J29</f>
        <v>1775514</v>
      </c>
      <c r="F15" s="67">
        <f>+Nomina!K29</f>
        <v>2308168.2000000002</v>
      </c>
    </row>
    <row r="16" spans="1:7" x14ac:dyDescent="0.3">
      <c r="A16" s="66" t="str">
        <f>+Nomina!F30</f>
        <v>Estrategias de Publicidad</v>
      </c>
      <c r="B16" s="67">
        <f>+Nomina!G30</f>
        <v>1080000</v>
      </c>
      <c r="C16" s="67">
        <f>+Nomina!H30</f>
        <v>1112400</v>
      </c>
      <c r="D16" s="67">
        <f>+Nomina!I30</f>
        <v>1446120</v>
      </c>
      <c r="E16" s="67">
        <f>+Nomina!J30</f>
        <v>1879956</v>
      </c>
      <c r="F16" s="67">
        <f>+Nomina!K30</f>
        <v>2443942.8000000003</v>
      </c>
    </row>
    <row r="17" spans="1:7" x14ac:dyDescent="0.3">
      <c r="A17" s="66" t="str">
        <f>+Nomina!F31</f>
        <v>Estrategias de Distribucion</v>
      </c>
      <c r="B17" s="67">
        <f>+Nomina!G31</f>
        <v>900000</v>
      </c>
      <c r="C17" s="67">
        <f>+Nomina!H31</f>
        <v>927000</v>
      </c>
      <c r="D17" s="67">
        <f>+Nomina!I31</f>
        <v>1205100</v>
      </c>
      <c r="E17" s="67">
        <f>+Nomina!J31</f>
        <v>1566630</v>
      </c>
      <c r="F17" s="67">
        <f>+Nomina!K31</f>
        <v>2036619</v>
      </c>
    </row>
    <row r="18" spans="1:7" x14ac:dyDescent="0.3">
      <c r="A18" s="139" t="s">
        <v>94</v>
      </c>
      <c r="B18" s="141">
        <f>SUM(B10:B17)</f>
        <v>26864193.427999999</v>
      </c>
      <c r="C18" s="141">
        <f t="shared" ref="C18:F18" si="0">SUM(C10:C17)</f>
        <v>27832403.099399999</v>
      </c>
      <c r="D18" s="141">
        <f t="shared" si="0"/>
        <v>29996523.25437</v>
      </c>
      <c r="E18" s="141">
        <f t="shared" si="0"/>
        <v>39133149.417088501</v>
      </c>
      <c r="F18" s="141">
        <f t="shared" si="0"/>
        <v>42395331.887942925</v>
      </c>
    </row>
    <row r="19" spans="1:7" x14ac:dyDescent="0.3">
      <c r="A19" s="139" t="s">
        <v>8</v>
      </c>
      <c r="B19" s="141">
        <f>+B7-B18</f>
        <v>2908605.9053333439</v>
      </c>
      <c r="C19" s="141">
        <f t="shared" ref="C19:F19" si="1">+C7-C18</f>
        <v>7832631.4230000004</v>
      </c>
      <c r="D19" s="141">
        <f t="shared" si="1"/>
        <v>11510783.565197993</v>
      </c>
      <c r="E19" s="141">
        <f t="shared" si="1"/>
        <v>8637616.7597412542</v>
      </c>
      <c r="F19" s="141">
        <f t="shared" si="1"/>
        <v>16571517.796897113</v>
      </c>
    </row>
    <row r="20" spans="1:7" x14ac:dyDescent="0.3">
      <c r="A20" s="66" t="s">
        <v>9</v>
      </c>
      <c r="B20" s="68">
        <f>+Amort!J8</f>
        <v>614136.09573620209</v>
      </c>
      <c r="C20" s="68">
        <f>+Amort!J9</f>
        <v>508237.61319247208</v>
      </c>
      <c r="D20" s="68">
        <f>+Amort!J10</f>
        <v>387513.34309262037</v>
      </c>
      <c r="E20" s="68">
        <f>+Amort!J11</f>
        <v>249887.67517878933</v>
      </c>
      <c r="F20" s="68">
        <f>+Amort!J12</f>
        <v>92994.413757022223</v>
      </c>
    </row>
    <row r="21" spans="1:7" x14ac:dyDescent="0.3">
      <c r="A21" s="69" t="s">
        <v>10</v>
      </c>
      <c r="B21" s="70">
        <f>+B19-B20</f>
        <v>2294469.809597142</v>
      </c>
      <c r="C21" s="70">
        <f t="shared" ref="C21:F21" si="2">+C19-C20</f>
        <v>7324393.8098075287</v>
      </c>
      <c r="D21" s="70">
        <f t="shared" si="2"/>
        <v>11123270.222105373</v>
      </c>
      <c r="E21" s="70">
        <f t="shared" si="2"/>
        <v>8387729.0845624646</v>
      </c>
      <c r="F21" s="70">
        <f t="shared" si="2"/>
        <v>16478523.383140091</v>
      </c>
    </row>
    <row r="22" spans="1:7" x14ac:dyDescent="0.3">
      <c r="A22" s="66" t="s">
        <v>11</v>
      </c>
      <c r="B22" s="68"/>
      <c r="C22" s="68"/>
      <c r="D22" s="68"/>
      <c r="E22" s="68">
        <f>+E21*0.32</f>
        <v>2684073.3070599888</v>
      </c>
      <c r="F22" s="68">
        <f>+F21*0.32</f>
        <v>5273127.4826048296</v>
      </c>
    </row>
    <row r="23" spans="1:7" x14ac:dyDescent="0.3">
      <c r="A23" s="139" t="s">
        <v>12</v>
      </c>
      <c r="B23" s="141">
        <f>+B21-B22</f>
        <v>2294469.809597142</v>
      </c>
      <c r="C23" s="141">
        <f t="shared" ref="C23:F23" si="3">+C21-C22</f>
        <v>7324393.8098075287</v>
      </c>
      <c r="D23" s="141">
        <f t="shared" si="3"/>
        <v>11123270.222105373</v>
      </c>
      <c r="E23" s="141">
        <f t="shared" si="3"/>
        <v>5703655.7775024753</v>
      </c>
      <c r="F23" s="141">
        <f t="shared" si="3"/>
        <v>11205395.900535261</v>
      </c>
      <c r="G23" s="32"/>
    </row>
    <row r="24" spans="1:7" x14ac:dyDescent="0.3">
      <c r="G24" s="32"/>
    </row>
    <row r="25" spans="1:7" x14ac:dyDescent="0.3">
      <c r="B25" s="113"/>
    </row>
    <row r="26" spans="1:7" x14ac:dyDescent="0.3">
      <c r="B26" s="114"/>
    </row>
    <row r="27" spans="1:7" x14ac:dyDescent="0.3">
      <c r="B27" s="113"/>
    </row>
    <row r="28" spans="1:7" x14ac:dyDescent="0.3">
      <c r="B28" s="113"/>
    </row>
    <row r="29" spans="1:7" x14ac:dyDescent="0.3"/>
    <row r="30" spans="1:7" x14ac:dyDescent="0.3">
      <c r="B30" s="113"/>
    </row>
    <row r="31" spans="1:7" x14ac:dyDescent="0.3"/>
    <row r="32" spans="1:7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</sheetData>
  <mergeCells count="9">
    <mergeCell ref="A1:F1"/>
    <mergeCell ref="A2:F2"/>
    <mergeCell ref="A9:F9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3:L23"/>
  <sheetViews>
    <sheetView topLeftCell="A4" zoomScaleNormal="100" workbookViewId="0">
      <selection activeCell="E11" sqref="E11"/>
    </sheetView>
  </sheetViews>
  <sheetFormatPr baseColWidth="10" defaultRowHeight="15" x14ac:dyDescent="0.25"/>
  <cols>
    <col min="1" max="1" width="6.7109375" customWidth="1"/>
    <col min="2" max="2" width="3.42578125" customWidth="1"/>
    <col min="3" max="3" width="14.5703125" customWidth="1"/>
    <col min="4" max="4" width="15.5703125" customWidth="1"/>
    <col min="5" max="5" width="14.5703125" bestFit="1" customWidth="1"/>
    <col min="9" max="9" width="14" style="3" bestFit="1" customWidth="1"/>
    <col min="10" max="10" width="11.42578125" style="3"/>
    <col min="11" max="11" width="14.5703125" bestFit="1" customWidth="1"/>
    <col min="12" max="12" width="12" bestFit="1" customWidth="1"/>
  </cols>
  <sheetData>
    <row r="3" spans="2:11" ht="15.75" thickBot="1" x14ac:dyDescent="0.3"/>
    <row r="4" spans="2:11" ht="15.75" thickBot="1" x14ac:dyDescent="0.3">
      <c r="B4" s="302" t="s">
        <v>46</v>
      </c>
      <c r="C4" s="303"/>
      <c r="D4" s="303"/>
      <c r="E4" s="303"/>
      <c r="F4" s="303"/>
      <c r="G4" s="303"/>
      <c r="H4" s="303"/>
      <c r="I4" s="309"/>
    </row>
    <row r="5" spans="2:11" ht="15.75" thickBot="1" x14ac:dyDescent="0.3">
      <c r="B5" s="302" t="s">
        <v>145</v>
      </c>
      <c r="C5" s="303"/>
      <c r="D5" s="303"/>
      <c r="E5" s="303"/>
      <c r="F5" s="303"/>
      <c r="G5" s="303"/>
      <c r="H5" s="303"/>
      <c r="I5" s="309"/>
    </row>
    <row r="6" spans="2:11" ht="15.75" thickBot="1" x14ac:dyDescent="0.3">
      <c r="B6" s="302" t="s">
        <v>135</v>
      </c>
      <c r="C6" s="303"/>
      <c r="D6" s="303"/>
      <c r="E6" s="303"/>
      <c r="F6" s="303"/>
      <c r="G6" s="303"/>
      <c r="H6" s="303"/>
      <c r="I6" s="309"/>
    </row>
    <row r="7" spans="2:11" ht="15.75" thickBot="1" x14ac:dyDescent="0.3">
      <c r="B7" s="306" t="s">
        <v>53</v>
      </c>
      <c r="C7" s="307"/>
      <c r="D7" s="308"/>
      <c r="E7" s="23"/>
      <c r="F7" s="21"/>
      <c r="G7" s="302" t="s">
        <v>22</v>
      </c>
      <c r="H7" s="303"/>
      <c r="I7" s="309"/>
    </row>
    <row r="8" spans="2:11" x14ac:dyDescent="0.25">
      <c r="B8" s="24" t="s">
        <v>49</v>
      </c>
      <c r="C8" s="21"/>
      <c r="D8" s="21"/>
      <c r="E8" s="23"/>
      <c r="F8" s="21"/>
      <c r="G8" s="21"/>
      <c r="H8" s="21"/>
      <c r="I8" s="22"/>
    </row>
    <row r="9" spans="2:11" x14ac:dyDescent="0.25">
      <c r="B9" s="20"/>
      <c r="C9" s="21" t="s">
        <v>50</v>
      </c>
      <c r="D9" s="21"/>
      <c r="E9" s="23">
        <f>+I22-E10-E11-E19</f>
        <v>2244999.9000000004</v>
      </c>
      <c r="F9" s="21"/>
      <c r="G9" s="21" t="s">
        <v>54</v>
      </c>
      <c r="H9" s="21"/>
      <c r="I9" s="22"/>
    </row>
    <row r="10" spans="2:11" x14ac:dyDescent="0.25">
      <c r="B10" s="20"/>
      <c r="C10" s="21" t="s">
        <v>169</v>
      </c>
      <c r="D10" s="21"/>
      <c r="E10" s="23">
        <f>+iNVERSION!E8</f>
        <v>950000</v>
      </c>
      <c r="F10" s="21"/>
      <c r="G10" s="21" t="s">
        <v>129</v>
      </c>
      <c r="H10" s="21"/>
      <c r="I10" s="22">
        <v>5000000</v>
      </c>
    </row>
    <row r="11" spans="2:11" x14ac:dyDescent="0.25">
      <c r="B11" s="20"/>
      <c r="C11" s="21" t="s">
        <v>280</v>
      </c>
      <c r="D11" s="21"/>
      <c r="E11" s="23">
        <f>+iNVERSION!E9</f>
        <v>5116480</v>
      </c>
      <c r="F11" s="21"/>
      <c r="G11" s="21"/>
      <c r="H11" s="21"/>
      <c r="I11" s="22"/>
    </row>
    <row r="12" spans="2:11" x14ac:dyDescent="0.25">
      <c r="B12" s="20" t="s">
        <v>51</v>
      </c>
      <c r="C12" s="21"/>
      <c r="D12" s="21"/>
      <c r="E12" s="25">
        <f>SUM(E9:E11)</f>
        <v>8311479.9000000004</v>
      </c>
      <c r="F12" s="21"/>
      <c r="G12" s="21" t="s">
        <v>55</v>
      </c>
      <c r="H12" s="21"/>
      <c r="I12" s="137">
        <f>SUM(I10:I11)</f>
        <v>5000000</v>
      </c>
    </row>
    <row r="13" spans="2:11" x14ac:dyDescent="0.25">
      <c r="B13" s="20"/>
      <c r="C13" s="21"/>
      <c r="D13" s="21"/>
      <c r="E13" s="23"/>
      <c r="F13" s="21"/>
      <c r="G13" s="21"/>
      <c r="H13" s="21"/>
      <c r="I13" s="22"/>
      <c r="K13" s="111"/>
    </row>
    <row r="14" spans="2:11" x14ac:dyDescent="0.25">
      <c r="B14" s="24" t="s">
        <v>132</v>
      </c>
      <c r="C14" s="21"/>
      <c r="D14" s="21"/>
      <c r="E14" s="21"/>
      <c r="F14" s="21"/>
      <c r="G14" s="21" t="s">
        <v>13</v>
      </c>
      <c r="H14" s="21"/>
      <c r="I14" s="22"/>
    </row>
    <row r="15" spans="2:11" x14ac:dyDescent="0.25">
      <c r="B15" s="20"/>
      <c r="C15" s="21" t="str">
        <f>+iNVERSION!B6</f>
        <v>Maquinaria y Equipo</v>
      </c>
      <c r="D15" s="21"/>
      <c r="E15" s="23">
        <f>+iNVERSION!E6</f>
        <v>3364419.0999999996</v>
      </c>
      <c r="F15" s="21"/>
      <c r="G15" s="21" t="s">
        <v>59</v>
      </c>
      <c r="H15" s="21"/>
      <c r="I15" s="22"/>
    </row>
    <row r="16" spans="2:11" x14ac:dyDescent="0.25">
      <c r="B16" s="20"/>
      <c r="C16" s="21" t="str">
        <f>+iNVERSION!B7</f>
        <v>Equipos de Computo y Comunicaicones</v>
      </c>
      <c r="D16" s="21"/>
      <c r="E16" s="23">
        <f>+iNVERSION!E7</f>
        <v>1465000</v>
      </c>
      <c r="F16" s="21"/>
      <c r="G16" s="21" t="s">
        <v>281</v>
      </c>
      <c r="H16" s="21"/>
      <c r="I16" s="22">
        <v>3213633</v>
      </c>
    </row>
    <row r="17" spans="2:12" x14ac:dyDescent="0.25">
      <c r="B17" s="20"/>
      <c r="C17" s="21"/>
      <c r="D17" s="21"/>
      <c r="E17" s="23"/>
      <c r="F17" s="21"/>
      <c r="G17" s="21" t="s">
        <v>282</v>
      </c>
      <c r="H17" s="21"/>
      <c r="I17" s="22">
        <v>3213633</v>
      </c>
      <c r="K17" s="111">
        <f>+I22-E22</f>
        <v>0</v>
      </c>
      <c r="L17" s="3">
        <f>+K17/3</f>
        <v>0</v>
      </c>
    </row>
    <row r="18" spans="2:12" x14ac:dyDescent="0.25">
      <c r="B18" s="20"/>
      <c r="C18" s="21" t="s">
        <v>162</v>
      </c>
      <c r="D18" s="21"/>
      <c r="E18" s="135">
        <f>+iNVERSION!E5</f>
        <v>1500000</v>
      </c>
      <c r="F18" s="21"/>
      <c r="G18" s="134" t="s">
        <v>283</v>
      </c>
      <c r="H18" s="21"/>
      <c r="I18" s="22">
        <v>3213633</v>
      </c>
    </row>
    <row r="19" spans="2:12" x14ac:dyDescent="0.25">
      <c r="B19" s="304" t="s">
        <v>52</v>
      </c>
      <c r="C19" s="305"/>
      <c r="D19" s="305"/>
      <c r="E19" s="257">
        <f>SUM(E15:E18)</f>
        <v>6329419.0999999996</v>
      </c>
      <c r="F19" s="21"/>
      <c r="G19" s="136" t="s">
        <v>163</v>
      </c>
      <c r="H19" s="29"/>
      <c r="I19" s="137">
        <f>SUM(I16:I18)</f>
        <v>9640899</v>
      </c>
      <c r="J19" s="254"/>
      <c r="K19" s="256"/>
      <c r="L19" s="111"/>
    </row>
    <row r="20" spans="2:12" x14ac:dyDescent="0.25">
      <c r="F20" s="21"/>
      <c r="G20" s="21"/>
      <c r="H20" s="21"/>
      <c r="I20" s="22"/>
      <c r="J20" s="254"/>
      <c r="K20" s="258"/>
      <c r="L20" s="111">
        <f>+I16+145000</f>
        <v>3358633</v>
      </c>
    </row>
    <row r="21" spans="2:12" ht="15.75" thickBot="1" x14ac:dyDescent="0.3">
      <c r="B21" s="20"/>
      <c r="C21" s="21"/>
      <c r="D21" s="21"/>
      <c r="E21" s="21"/>
      <c r="F21" s="21"/>
      <c r="G21" s="21"/>
      <c r="H21" s="21"/>
      <c r="I21" s="22"/>
    </row>
    <row r="22" spans="2:12" ht="15.75" thickBot="1" x14ac:dyDescent="0.3">
      <c r="B22" s="302" t="s">
        <v>21</v>
      </c>
      <c r="C22" s="303"/>
      <c r="D22" s="303"/>
      <c r="E22" s="143">
        <f>+E19+E12</f>
        <v>14640899</v>
      </c>
      <c r="F22" s="29"/>
      <c r="G22" s="144" t="s">
        <v>60</v>
      </c>
      <c r="H22" s="145"/>
      <c r="I22" s="146">
        <f>+I19+I10</f>
        <v>14640899</v>
      </c>
    </row>
    <row r="23" spans="2:12" ht="15.75" thickBot="1" x14ac:dyDescent="0.3">
      <c r="B23" s="26"/>
      <c r="C23" s="27"/>
      <c r="D23" s="27"/>
      <c r="E23" s="27"/>
      <c r="F23" s="27"/>
      <c r="G23" s="27"/>
      <c r="H23" s="27"/>
      <c r="I23" s="28"/>
    </row>
  </sheetData>
  <mergeCells count="7">
    <mergeCell ref="B22:D22"/>
    <mergeCell ref="B19:D19"/>
    <mergeCell ref="B7:D7"/>
    <mergeCell ref="B4:I4"/>
    <mergeCell ref="G7:I7"/>
    <mergeCell ref="B5:I5"/>
    <mergeCell ref="B6:I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K37"/>
  <sheetViews>
    <sheetView zoomScale="93" zoomScaleNormal="93" workbookViewId="0">
      <selection activeCell="B2" sqref="B2:K34"/>
    </sheetView>
  </sheetViews>
  <sheetFormatPr baseColWidth="10" defaultRowHeight="15" x14ac:dyDescent="0.25"/>
  <cols>
    <col min="1" max="1" width="3.42578125" style="2" customWidth="1"/>
    <col min="2" max="4" width="11.42578125" style="2"/>
    <col min="5" max="5" width="0.5703125" style="2" customWidth="1"/>
    <col min="6" max="6" width="15.7109375" style="2" customWidth="1"/>
    <col min="7" max="7" width="16.85546875" style="2" customWidth="1"/>
    <col min="8" max="8" width="18.85546875" style="2" customWidth="1"/>
    <col min="9" max="9" width="19.28515625" style="2" customWidth="1"/>
    <col min="10" max="10" width="17.85546875" style="2" customWidth="1"/>
    <col min="11" max="11" width="17.5703125" style="2" customWidth="1"/>
    <col min="12" max="16384" width="11.42578125" style="2"/>
  </cols>
  <sheetData>
    <row r="1" spans="2:11" ht="8.25" customHeight="1" x14ac:dyDescent="0.25"/>
    <row r="2" spans="2:11" x14ac:dyDescent="0.25">
      <c r="B2" s="320" t="s">
        <v>14</v>
      </c>
      <c r="C2" s="321"/>
      <c r="D2" s="321"/>
      <c r="E2" s="321"/>
      <c r="F2" s="321"/>
      <c r="G2" s="321"/>
      <c r="H2" s="321"/>
      <c r="I2" s="321"/>
      <c r="J2" s="321"/>
      <c r="K2" s="322"/>
    </row>
    <row r="3" spans="2:11" ht="16.5" x14ac:dyDescent="0.3">
      <c r="B3" s="323" t="s">
        <v>16</v>
      </c>
      <c r="C3" s="324"/>
      <c r="D3" s="324"/>
      <c r="E3" s="108"/>
      <c r="F3" s="107"/>
      <c r="G3" s="328" t="s">
        <v>33</v>
      </c>
      <c r="H3" s="328"/>
      <c r="I3" s="328"/>
      <c r="J3" s="328"/>
      <c r="K3" s="328"/>
    </row>
    <row r="4" spans="2:11" ht="15" customHeight="1" x14ac:dyDescent="0.25">
      <c r="B4" s="325"/>
      <c r="C4" s="326"/>
      <c r="D4" s="326"/>
      <c r="E4" s="109"/>
      <c r="F4" s="106" t="s">
        <v>15</v>
      </c>
      <c r="G4" s="106">
        <v>1</v>
      </c>
      <c r="H4" s="106">
        <v>2</v>
      </c>
      <c r="I4" s="106">
        <v>3</v>
      </c>
      <c r="J4" s="106">
        <v>4</v>
      </c>
      <c r="K4" s="106">
        <v>5</v>
      </c>
    </row>
    <row r="5" spans="2:11" ht="16.5" x14ac:dyDescent="0.3">
      <c r="B5" s="319" t="s">
        <v>17</v>
      </c>
      <c r="C5" s="319"/>
      <c r="D5" s="319"/>
      <c r="E5" s="319"/>
      <c r="F5" s="76"/>
      <c r="G5" s="76"/>
      <c r="H5" s="76"/>
      <c r="I5" s="76"/>
      <c r="J5" s="76"/>
      <c r="K5" s="77"/>
    </row>
    <row r="6" spans="2:11" ht="16.5" x14ac:dyDescent="0.3">
      <c r="B6" s="319" t="s">
        <v>18</v>
      </c>
      <c r="C6" s="319"/>
      <c r="D6" s="319"/>
      <c r="E6" s="319"/>
      <c r="F6" s="181">
        <f>+'Bal. Inicial'!E9</f>
        <v>2244999.9000000004</v>
      </c>
      <c r="G6" s="181">
        <f>+'FLUJO-CAJA CON'!C29</f>
        <v>4417751.2104752585</v>
      </c>
      <c r="H6" s="181">
        <f>+'FLUJO-CAJA CON'!D29</f>
        <v>7461877.845830515</v>
      </c>
      <c r="I6" s="181">
        <f>+'FLUJO-CAJA CON'!E29</f>
        <v>14451130.069098696</v>
      </c>
      <c r="J6" s="181">
        <f>+'FLUJO-CAJA CON'!F29</f>
        <v>10631319.6862638</v>
      </c>
      <c r="K6" s="181">
        <f>+'FLUJO-CAJA CON'!G29</f>
        <v>11607121.715100467</v>
      </c>
    </row>
    <row r="7" spans="2:11" ht="16.5" x14ac:dyDescent="0.3">
      <c r="B7" s="319" t="s">
        <v>101</v>
      </c>
      <c r="C7" s="319"/>
      <c r="D7" s="319"/>
      <c r="E7" s="319"/>
      <c r="F7" s="181"/>
      <c r="G7" s="181">
        <f>+PRESUPUESTOS!G15</f>
        <v>3611979.1666666674</v>
      </c>
      <c r="H7" s="181">
        <f>+PRESUPUESTOS!H15</f>
        <v>4642115.625</v>
      </c>
      <c r="I7" s="181">
        <f>+PRESUPUESTOS!I15</f>
        <v>5849065.6875</v>
      </c>
      <c r="J7" s="181">
        <f>+PRESUPUESTOS!J15</f>
        <v>7369822.7662500013</v>
      </c>
      <c r="K7" s="181">
        <f>+PRESUPUESTOS!K15</f>
        <v>9285976.6854750011</v>
      </c>
    </row>
    <row r="8" spans="2:11" ht="16.5" x14ac:dyDescent="0.3">
      <c r="B8" s="319" t="s">
        <v>172</v>
      </c>
      <c r="C8" s="319"/>
      <c r="D8" s="319"/>
      <c r="E8" s="319"/>
      <c r="F8" s="181">
        <f>+iNVERSION!E8</f>
        <v>950000</v>
      </c>
      <c r="G8" s="181">
        <f>+F8</f>
        <v>950000</v>
      </c>
      <c r="H8" s="181">
        <f>+G8</f>
        <v>950000</v>
      </c>
      <c r="I8" s="181">
        <f>+H8</f>
        <v>950000</v>
      </c>
      <c r="J8" s="181">
        <f t="shared" ref="J8:K8" si="0">+I8</f>
        <v>950000</v>
      </c>
      <c r="K8" s="181">
        <f t="shared" si="0"/>
        <v>950000</v>
      </c>
    </row>
    <row r="9" spans="2:11" ht="24" customHeight="1" x14ac:dyDescent="0.3">
      <c r="B9" s="319" t="s">
        <v>173</v>
      </c>
      <c r="C9" s="319"/>
      <c r="D9" s="319"/>
      <c r="E9" s="319"/>
      <c r="F9" s="181">
        <f>+'Bal. Inicial'!E11</f>
        <v>5116480</v>
      </c>
      <c r="G9" s="181">
        <f>+PRESUPUESTOS!H27</f>
        <v>5116480</v>
      </c>
      <c r="H9" s="181">
        <f>+PRESUPUESTOS!I27</f>
        <v>5116480</v>
      </c>
      <c r="I9" s="181">
        <f>+PRESUPUESTOS!J27</f>
        <v>5116480</v>
      </c>
      <c r="J9" s="181">
        <f>+PRESUPUESTOS!K27</f>
        <v>5116480</v>
      </c>
      <c r="K9" s="181">
        <f>+PRESUPUESTOS!L27</f>
        <v>5116480</v>
      </c>
    </row>
    <row r="10" spans="2:11" ht="24" customHeight="1" x14ac:dyDescent="0.3">
      <c r="B10" s="311" t="s">
        <v>202</v>
      </c>
      <c r="C10" s="312"/>
      <c r="D10" s="313"/>
      <c r="E10" s="116"/>
      <c r="F10" s="181"/>
      <c r="G10" s="181">
        <f>+'FLUJO-CAJA CON'!C27</f>
        <v>0</v>
      </c>
      <c r="H10" s="181">
        <f>+'FLUJO-CAJA CON'!D27</f>
        <v>0</v>
      </c>
      <c r="I10" s="181">
        <f>+'FLUJO-CAJA CON'!E27+G10</f>
        <v>0</v>
      </c>
      <c r="J10" s="181">
        <f>+'FLUJO-CAJA CON'!F27+I10</f>
        <v>6000000</v>
      </c>
      <c r="K10" s="181">
        <f>+'FLUJO-CAJA CON'!G27+J10</f>
        <v>12000000</v>
      </c>
    </row>
    <row r="11" spans="2:11" x14ac:dyDescent="0.25">
      <c r="B11" s="318" t="s">
        <v>19</v>
      </c>
      <c r="C11" s="318"/>
      <c r="D11" s="318"/>
      <c r="E11" s="318"/>
      <c r="F11" s="79">
        <f>SUM(F6:F9)</f>
        <v>8311479.9000000004</v>
      </c>
      <c r="G11" s="79">
        <f>SUM(G6:G10)</f>
        <v>14096210.377141926</v>
      </c>
      <c r="H11" s="79">
        <f t="shared" ref="H11:K11" si="1">SUM(H6:H10)</f>
        <v>18170473.470830515</v>
      </c>
      <c r="I11" s="79">
        <f t="shared" si="1"/>
        <v>26366675.756598696</v>
      </c>
      <c r="J11" s="79">
        <f t="shared" si="1"/>
        <v>30067622.452513799</v>
      </c>
      <c r="K11" s="79">
        <f t="shared" si="1"/>
        <v>38959578.400575466</v>
      </c>
    </row>
    <row r="12" spans="2:11" x14ac:dyDescent="0.25">
      <c r="B12" s="318" t="s">
        <v>20</v>
      </c>
      <c r="C12" s="318"/>
      <c r="D12" s="318"/>
      <c r="E12" s="318"/>
      <c r="F12" s="310"/>
      <c r="G12" s="310" t="e">
        <f>PRESUPUESTOS!#REF!</f>
        <v>#REF!</v>
      </c>
      <c r="H12" s="310" t="e">
        <f>PRESUPUESTOS!#REF!</f>
        <v>#REF!</v>
      </c>
      <c r="I12" s="310" t="e">
        <f>PRESUPUESTOS!#REF!</f>
        <v>#REF!</v>
      </c>
      <c r="J12" s="310"/>
      <c r="K12" s="310"/>
    </row>
    <row r="13" spans="2:11" ht="16.5" x14ac:dyDescent="0.3">
      <c r="B13" s="315" t="str">
        <f>+iNVERSION!B6</f>
        <v>Maquinaria y Equipo</v>
      </c>
      <c r="C13" s="316"/>
      <c r="D13" s="316"/>
      <c r="E13" s="317"/>
      <c r="F13" s="78">
        <f>+'Bal. Inicial'!E15</f>
        <v>3364419.0999999996</v>
      </c>
      <c r="G13" s="78">
        <f>+F13+'FLUJO-CAJA CON'!C20</f>
        <v>3364419.0999999996</v>
      </c>
      <c r="H13" s="78">
        <f>+G13+'FLUJO-CAJA CON'!D20</f>
        <v>4364419.0999999996</v>
      </c>
      <c r="I13" s="78">
        <f>+H13+'FLUJO-CAJA CON'!E20</f>
        <v>4364419.0999999996</v>
      </c>
      <c r="J13" s="78">
        <f>+I13+'FLUJO-CAJA CON'!F20</f>
        <v>5364419.0999999996</v>
      </c>
      <c r="K13" s="78">
        <f>+J13+'FLUJO-CAJA CON'!G20</f>
        <v>5364419.0999999996</v>
      </c>
    </row>
    <row r="14" spans="2:11" ht="16.5" x14ac:dyDescent="0.3">
      <c r="B14" s="315" t="str">
        <f>+iNVERSION!B7</f>
        <v>Equipos de Computo y Comunicaicones</v>
      </c>
      <c r="C14" s="316"/>
      <c r="D14" s="316"/>
      <c r="E14" s="317"/>
      <c r="F14" s="78">
        <f>+'Bal. Inicial'!E16</f>
        <v>1465000</v>
      </c>
      <c r="G14" s="78">
        <f t="shared" ref="G14:H17" si="2">+F14</f>
        <v>1465000</v>
      </c>
      <c r="H14" s="78">
        <f t="shared" si="2"/>
        <v>1465000</v>
      </c>
      <c r="I14" s="78">
        <f t="shared" ref="I14:K14" si="3">+H14</f>
        <v>1465000</v>
      </c>
      <c r="J14" s="78">
        <f t="shared" si="3"/>
        <v>1465000</v>
      </c>
      <c r="K14" s="78">
        <f t="shared" si="3"/>
        <v>1465000</v>
      </c>
    </row>
    <row r="15" spans="2:11" ht="16.5" x14ac:dyDescent="0.3">
      <c r="B15" s="315"/>
      <c r="C15" s="316"/>
      <c r="D15" s="316"/>
      <c r="E15" s="317"/>
      <c r="F15" s="78"/>
      <c r="G15" s="78">
        <f t="shared" si="2"/>
        <v>0</v>
      </c>
      <c r="H15" s="78">
        <f t="shared" si="2"/>
        <v>0</v>
      </c>
      <c r="I15" s="78">
        <f>+H15</f>
        <v>0</v>
      </c>
      <c r="J15" s="78">
        <f>+I15</f>
        <v>0</v>
      </c>
      <c r="K15" s="78">
        <f>+J15</f>
        <v>0</v>
      </c>
    </row>
    <row r="16" spans="2:11" ht="16.5" x14ac:dyDescent="0.3">
      <c r="B16" s="315"/>
      <c r="C16" s="316"/>
      <c r="D16" s="316"/>
      <c r="E16" s="317"/>
      <c r="F16" s="78"/>
      <c r="G16" s="78"/>
      <c r="H16" s="78"/>
      <c r="I16" s="78"/>
      <c r="J16" s="78"/>
      <c r="K16" s="78"/>
    </row>
    <row r="17" spans="2:11" ht="16.5" x14ac:dyDescent="0.3">
      <c r="B17" s="315" t="s">
        <v>166</v>
      </c>
      <c r="C17" s="316"/>
      <c r="D17" s="316"/>
      <c r="E17" s="115"/>
      <c r="F17" s="78">
        <f>+'Bal. Inicial'!E18</f>
        <v>1500000</v>
      </c>
      <c r="G17" s="78">
        <f>+F17</f>
        <v>1500000</v>
      </c>
      <c r="H17" s="78">
        <f t="shared" si="2"/>
        <v>1500000</v>
      </c>
      <c r="I17" s="78">
        <f t="shared" ref="I17:K17" si="4">+H17</f>
        <v>1500000</v>
      </c>
      <c r="J17" s="78">
        <f t="shared" si="4"/>
        <v>1500000</v>
      </c>
      <c r="K17" s="78">
        <f t="shared" si="4"/>
        <v>1500000</v>
      </c>
    </row>
    <row r="18" spans="2:11" x14ac:dyDescent="0.25">
      <c r="B18" s="318" t="s">
        <v>102</v>
      </c>
      <c r="C18" s="318"/>
      <c r="D18" s="318"/>
      <c r="E18" s="318"/>
      <c r="F18" s="81">
        <f>SUM(F13:F17)</f>
        <v>6329419.0999999996</v>
      </c>
      <c r="G18" s="81">
        <f t="shared" ref="G18:K18" si="5">SUM(G13:G17)</f>
        <v>6329419.0999999996</v>
      </c>
      <c r="H18" s="81">
        <f t="shared" si="5"/>
        <v>7329419.0999999996</v>
      </c>
      <c r="I18" s="81">
        <f t="shared" si="5"/>
        <v>7329419.0999999996</v>
      </c>
      <c r="J18" s="81">
        <f t="shared" si="5"/>
        <v>8329419.0999999996</v>
      </c>
      <c r="K18" s="81">
        <f t="shared" si="5"/>
        <v>8329419.0999999996</v>
      </c>
    </row>
    <row r="19" spans="2:11" x14ac:dyDescent="0.25">
      <c r="B19" s="318" t="s">
        <v>21</v>
      </c>
      <c r="C19" s="318"/>
      <c r="D19" s="318"/>
      <c r="E19" s="318"/>
      <c r="F19" s="81">
        <f>+F18+F11</f>
        <v>14640899</v>
      </c>
      <c r="G19" s="81">
        <f>+G18+G11</f>
        <v>20425629.477141924</v>
      </c>
      <c r="H19" s="81">
        <f t="shared" ref="H19:K19" si="6">+H18+H11</f>
        <v>25499892.570830517</v>
      </c>
      <c r="I19" s="81">
        <f t="shared" si="6"/>
        <v>33696094.856598698</v>
      </c>
      <c r="J19" s="81">
        <f t="shared" si="6"/>
        <v>38397041.552513801</v>
      </c>
      <c r="K19" s="81">
        <f t="shared" si="6"/>
        <v>47288997.500575468</v>
      </c>
    </row>
    <row r="20" spans="2:11" ht="9.75" customHeight="1" x14ac:dyDescent="0.3">
      <c r="B20" s="329"/>
      <c r="C20" s="329"/>
      <c r="D20" s="329"/>
      <c r="E20" s="329"/>
      <c r="F20" s="78"/>
      <c r="G20" s="78"/>
      <c r="H20" s="78"/>
      <c r="I20" s="78"/>
      <c r="J20" s="78"/>
      <c r="K20" s="77"/>
    </row>
    <row r="21" spans="2:11" x14ac:dyDescent="0.25">
      <c r="B21" s="328" t="s">
        <v>22</v>
      </c>
      <c r="C21" s="328"/>
      <c r="D21" s="328"/>
      <c r="E21" s="328"/>
      <c r="F21" s="314"/>
      <c r="G21" s="314"/>
      <c r="H21" s="314"/>
      <c r="I21" s="314"/>
      <c r="J21" s="314"/>
      <c r="K21" s="314"/>
    </row>
    <row r="22" spans="2:11" ht="16.5" x14ac:dyDescent="0.3">
      <c r="B22" s="319" t="s">
        <v>23</v>
      </c>
      <c r="C22" s="319"/>
      <c r="D22" s="319"/>
      <c r="E22" s="319"/>
      <c r="F22" s="78"/>
      <c r="G22" s="78">
        <f>+PRESUPUESTOS!G21</f>
        <v>4246678.4000000004</v>
      </c>
      <c r="H22" s="78">
        <f>+PRESUPUESTOS!H21</f>
        <v>5717727.7977600005</v>
      </c>
      <c r="I22" s="78">
        <f>+PRESUPUESTOS!I21</f>
        <v>7547400.6930432012</v>
      </c>
      <c r="J22" s="78">
        <f>+PRESUPUESTOS!J21</f>
        <v>9962568.9148170259</v>
      </c>
      <c r="K22" s="78">
        <f>+PRESUPUESTOS!K21</f>
        <v>12675268.402465999</v>
      </c>
    </row>
    <row r="23" spans="2:11" ht="16.5" x14ac:dyDescent="0.3">
      <c r="B23" s="315" t="s">
        <v>24</v>
      </c>
      <c r="C23" s="316"/>
      <c r="D23" s="316"/>
      <c r="E23" s="317"/>
      <c r="F23" s="78">
        <f>+'Bal. Inicial'!I10</f>
        <v>5000000</v>
      </c>
      <c r="G23" s="78">
        <f>+Amort!L8</f>
        <v>4243582.2675447809</v>
      </c>
      <c r="H23" s="78">
        <f>+Amort!L9</f>
        <v>3381266.052545832</v>
      </c>
      <c r="I23" s="78">
        <f>+Amort!L10</f>
        <v>2398225.5674470314</v>
      </c>
      <c r="J23" s="78">
        <f>+Amort!L11</f>
        <v>1277559.4144343997</v>
      </c>
      <c r="K23" s="78">
        <f>+Amort!L12</f>
        <v>0</v>
      </c>
    </row>
    <row r="24" spans="2:11" ht="16.5" x14ac:dyDescent="0.3">
      <c r="B24" s="319" t="s">
        <v>25</v>
      </c>
      <c r="C24" s="319"/>
      <c r="D24" s="319"/>
      <c r="E24" s="319"/>
      <c r="F24" s="78"/>
      <c r="G24" s="78">
        <f>+GyP!B22</f>
        <v>0</v>
      </c>
      <c r="H24" s="78">
        <f>+GyP!C22</f>
        <v>0</v>
      </c>
      <c r="I24" s="78">
        <f>+GyP!D22</f>
        <v>0</v>
      </c>
      <c r="J24" s="78">
        <f>+GyP!E22</f>
        <v>2684073.3070599888</v>
      </c>
      <c r="K24" s="78">
        <f>+GyP!F22</f>
        <v>5273127.4826048296</v>
      </c>
    </row>
    <row r="25" spans="2:11" ht="16.5" x14ac:dyDescent="0.3">
      <c r="B25" s="311"/>
      <c r="C25" s="312"/>
      <c r="D25" s="313"/>
      <c r="E25" s="116"/>
      <c r="F25" s="78">
        <f>+'FLUJO-CAJA CON'!B27</f>
        <v>0</v>
      </c>
      <c r="G25" s="78"/>
      <c r="H25" s="78"/>
      <c r="I25" s="78"/>
      <c r="J25" s="78"/>
      <c r="K25" s="78"/>
    </row>
    <row r="26" spans="2:11" x14ac:dyDescent="0.25">
      <c r="B26" s="318" t="s">
        <v>26</v>
      </c>
      <c r="C26" s="318"/>
      <c r="D26" s="318"/>
      <c r="E26" s="318"/>
      <c r="F26" s="79">
        <f t="shared" ref="F26" si="7">SUM(F22:F24)</f>
        <v>5000000</v>
      </c>
      <c r="G26" s="79">
        <f>SUM(G22:G25)</f>
        <v>8490260.6675447822</v>
      </c>
      <c r="H26" s="79">
        <f t="shared" ref="H26:K26" si="8">SUM(H22:H25)</f>
        <v>9098993.8503058329</v>
      </c>
      <c r="I26" s="79">
        <f t="shared" si="8"/>
        <v>9945626.2604902331</v>
      </c>
      <c r="J26" s="79">
        <f t="shared" si="8"/>
        <v>13924201.636311414</v>
      </c>
      <c r="K26" s="79">
        <f t="shared" si="8"/>
        <v>17948395.885070831</v>
      </c>
    </row>
    <row r="27" spans="2:11" ht="9" customHeight="1" x14ac:dyDescent="0.3">
      <c r="B27" s="329"/>
      <c r="C27" s="329"/>
      <c r="D27" s="329"/>
      <c r="E27" s="329"/>
      <c r="F27" s="78"/>
      <c r="G27" s="78"/>
      <c r="H27" s="78"/>
      <c r="I27" s="78"/>
      <c r="J27" s="78"/>
      <c r="K27" s="77"/>
    </row>
    <row r="28" spans="2:11" x14ac:dyDescent="0.25">
      <c r="B28" s="328" t="s">
        <v>27</v>
      </c>
      <c r="C28" s="328"/>
      <c r="D28" s="328"/>
      <c r="E28" s="328"/>
      <c r="F28" s="314"/>
      <c r="G28" s="314"/>
      <c r="H28" s="314"/>
      <c r="I28" s="314"/>
      <c r="J28" s="314"/>
      <c r="K28" s="314"/>
    </row>
    <row r="29" spans="2:11" ht="16.5" x14ac:dyDescent="0.3">
      <c r="B29" s="319" t="s">
        <v>28</v>
      </c>
      <c r="C29" s="319"/>
      <c r="D29" s="319"/>
      <c r="E29" s="319"/>
      <c r="F29" s="78">
        <f>+'Bal. Inicial'!I19</f>
        <v>9640899</v>
      </c>
      <c r="G29" s="78">
        <f>+F29</f>
        <v>9640899</v>
      </c>
      <c r="H29" s="78">
        <f>+G29</f>
        <v>9640899</v>
      </c>
      <c r="I29" s="78">
        <f>+H29</f>
        <v>9640899</v>
      </c>
      <c r="J29" s="78">
        <f>+I29</f>
        <v>9640899</v>
      </c>
      <c r="K29" s="78">
        <f>+J29</f>
        <v>9640899</v>
      </c>
    </row>
    <row r="30" spans="2:11" ht="16.5" x14ac:dyDescent="0.3">
      <c r="B30" s="319" t="s">
        <v>29</v>
      </c>
      <c r="C30" s="319"/>
      <c r="D30" s="319"/>
      <c r="E30" s="319"/>
      <c r="F30" s="78"/>
      <c r="G30" s="78"/>
      <c r="H30" s="78">
        <f>+G31</f>
        <v>2294469.809597142</v>
      </c>
      <c r="I30" s="78">
        <f>+H31+H30</f>
        <v>9618863.6194046699</v>
      </c>
      <c r="J30" s="78">
        <f>+I31+I30</f>
        <v>20742133.841510043</v>
      </c>
      <c r="K30" s="78">
        <f>+J31+J30</f>
        <v>26445789.61901252</v>
      </c>
    </row>
    <row r="31" spans="2:11" ht="16.5" x14ac:dyDescent="0.3">
      <c r="B31" s="319" t="s">
        <v>30</v>
      </c>
      <c r="C31" s="319"/>
      <c r="D31" s="319"/>
      <c r="E31" s="319"/>
      <c r="F31" s="78"/>
      <c r="G31" s="78">
        <f>+GyP!B23</f>
        <v>2294469.809597142</v>
      </c>
      <c r="H31" s="78">
        <f>+GyP!C23</f>
        <v>7324393.8098075287</v>
      </c>
      <c r="I31" s="78">
        <f>+GyP!D23</f>
        <v>11123270.222105373</v>
      </c>
      <c r="J31" s="78">
        <f>+GyP!E23</f>
        <v>5703655.7775024753</v>
      </c>
      <c r="K31" s="78">
        <f>+GyP!F23</f>
        <v>11205395.900535261</v>
      </c>
    </row>
    <row r="32" spans="2:11" x14ac:dyDescent="0.25">
      <c r="B32" s="318" t="s">
        <v>31</v>
      </c>
      <c r="C32" s="318"/>
      <c r="D32" s="318"/>
      <c r="E32" s="318"/>
      <c r="F32" s="79">
        <f t="shared" ref="F32:K32" si="9">SUM(F29:F31)</f>
        <v>9640899</v>
      </c>
      <c r="G32" s="79">
        <f t="shared" si="9"/>
        <v>11935368.809597142</v>
      </c>
      <c r="H32" s="79">
        <f t="shared" si="9"/>
        <v>19259762.61940467</v>
      </c>
      <c r="I32" s="79">
        <f t="shared" si="9"/>
        <v>30383032.841510043</v>
      </c>
      <c r="J32" s="79">
        <f t="shared" si="9"/>
        <v>36086688.61901252</v>
      </c>
      <c r="K32" s="79">
        <f t="shared" si="9"/>
        <v>47292084.519547783</v>
      </c>
    </row>
    <row r="33" spans="2:11" ht="10.5" customHeight="1" x14ac:dyDescent="0.3">
      <c r="B33" s="327"/>
      <c r="C33" s="327"/>
      <c r="D33" s="327"/>
      <c r="E33" s="327"/>
      <c r="F33" s="78"/>
      <c r="G33" s="78"/>
      <c r="H33" s="78"/>
      <c r="I33" s="78"/>
      <c r="J33" s="78"/>
      <c r="K33" s="77"/>
    </row>
    <row r="34" spans="2:11" x14ac:dyDescent="0.25">
      <c r="B34" s="328" t="s">
        <v>32</v>
      </c>
      <c r="C34" s="328"/>
      <c r="D34" s="328"/>
      <c r="E34" s="328"/>
      <c r="F34" s="80">
        <f>+F32+F26</f>
        <v>14640899</v>
      </c>
      <c r="G34" s="80">
        <f>+G32+G26</f>
        <v>20425629.477141924</v>
      </c>
      <c r="H34" s="80">
        <f t="shared" ref="H34:K34" si="10">+H32+H26</f>
        <v>28358756.469710503</v>
      </c>
      <c r="I34" s="80">
        <f t="shared" si="10"/>
        <v>40328659.102000274</v>
      </c>
      <c r="J34" s="80">
        <f t="shared" si="10"/>
        <v>50010890.255323932</v>
      </c>
      <c r="K34" s="80">
        <f t="shared" si="10"/>
        <v>65240480.404618613</v>
      </c>
    </row>
    <row r="35" spans="2:11" x14ac:dyDescent="0.25">
      <c r="J35" s="99"/>
    </row>
    <row r="36" spans="2:11" x14ac:dyDescent="0.25">
      <c r="J36" s="99"/>
      <c r="K36" s="99"/>
    </row>
    <row r="37" spans="2:11" x14ac:dyDescent="0.25">
      <c r="F37" s="99">
        <f>+F19-F34</f>
        <v>0</v>
      </c>
      <c r="G37" s="99">
        <f>+G19-G34</f>
        <v>0</v>
      </c>
      <c r="H37" s="99">
        <f t="shared" ref="H37:K37" si="11">+H19-H34</f>
        <v>-2858863.8988799863</v>
      </c>
      <c r="I37" s="99">
        <f t="shared" si="11"/>
        <v>-6632564.2454015762</v>
      </c>
      <c r="J37" s="99">
        <f t="shared" si="11"/>
        <v>-11613848.702810131</v>
      </c>
      <c r="K37" s="99">
        <f t="shared" si="11"/>
        <v>-17951482.904043145</v>
      </c>
    </row>
  </sheetData>
  <mergeCells count="39">
    <mergeCell ref="B10:D10"/>
    <mergeCell ref="B2:K2"/>
    <mergeCell ref="B3:D4"/>
    <mergeCell ref="B33:E33"/>
    <mergeCell ref="B34:E34"/>
    <mergeCell ref="G3:K3"/>
    <mergeCell ref="B27:E27"/>
    <mergeCell ref="B28:E28"/>
    <mergeCell ref="B29:E29"/>
    <mergeCell ref="B30:E30"/>
    <mergeCell ref="B31:E31"/>
    <mergeCell ref="B32:E32"/>
    <mergeCell ref="B20:E20"/>
    <mergeCell ref="B21:E21"/>
    <mergeCell ref="B22:E22"/>
    <mergeCell ref="B23:E23"/>
    <mergeCell ref="B11:E11"/>
    <mergeCell ref="B12:E12"/>
    <mergeCell ref="B13:E13"/>
    <mergeCell ref="B14:E14"/>
    <mergeCell ref="B15:E15"/>
    <mergeCell ref="B5:E5"/>
    <mergeCell ref="B6:E6"/>
    <mergeCell ref="B7:E7"/>
    <mergeCell ref="B8:E8"/>
    <mergeCell ref="B9:E9"/>
    <mergeCell ref="F28:I28"/>
    <mergeCell ref="J28:K28"/>
    <mergeCell ref="B24:E24"/>
    <mergeCell ref="B26:E26"/>
    <mergeCell ref="B19:E19"/>
    <mergeCell ref="F12:I12"/>
    <mergeCell ref="J12:K12"/>
    <mergeCell ref="B25:D25"/>
    <mergeCell ref="F21:I21"/>
    <mergeCell ref="J21:K21"/>
    <mergeCell ref="B16:E16"/>
    <mergeCell ref="B18:E18"/>
    <mergeCell ref="B17:D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3:E35"/>
  <sheetViews>
    <sheetView topLeftCell="A19" zoomScaleNormal="100" workbookViewId="0">
      <selection activeCell="E19" sqref="E19"/>
    </sheetView>
  </sheetViews>
  <sheetFormatPr baseColWidth="10" defaultRowHeight="15" x14ac:dyDescent="0.25"/>
  <cols>
    <col min="1" max="1" width="2.28515625" customWidth="1"/>
    <col min="3" max="3" width="23.42578125" customWidth="1"/>
    <col min="4" max="4" width="13.5703125" style="8" customWidth="1"/>
    <col min="5" max="5" width="15.28515625" style="3" customWidth="1"/>
  </cols>
  <sheetData>
    <row r="3" spans="2:5" x14ac:dyDescent="0.25">
      <c r="B3" s="333" t="s">
        <v>43</v>
      </c>
      <c r="C3" s="333"/>
      <c r="D3" s="333"/>
      <c r="E3" s="333"/>
    </row>
    <row r="4" spans="2:5" x14ac:dyDescent="0.25">
      <c r="B4" s="330" t="s">
        <v>145</v>
      </c>
      <c r="C4" s="331"/>
      <c r="D4" s="331"/>
      <c r="E4" s="332"/>
    </row>
    <row r="5" spans="2:5" x14ac:dyDescent="0.25">
      <c r="B5" s="336" t="s">
        <v>150</v>
      </c>
      <c r="C5" s="336"/>
      <c r="D5" s="336"/>
      <c r="E5" s="169">
        <v>1500000</v>
      </c>
    </row>
    <row r="6" spans="2:5" x14ac:dyDescent="0.25">
      <c r="B6" s="336" t="s">
        <v>151</v>
      </c>
      <c r="C6" s="336"/>
      <c r="D6" s="336"/>
      <c r="E6" s="169">
        <f>+'MAQUINARIA Y EQUIPO'!F35</f>
        <v>3364419.0999999996</v>
      </c>
    </row>
    <row r="7" spans="2:5" x14ac:dyDescent="0.25">
      <c r="B7" s="336" t="s">
        <v>152</v>
      </c>
      <c r="C7" s="336"/>
      <c r="D7" s="336"/>
      <c r="E7" s="169">
        <f>+'MAQUINARIA Y EQUIPO'!G35</f>
        <v>1465000</v>
      </c>
    </row>
    <row r="8" spans="2:5" x14ac:dyDescent="0.25">
      <c r="B8" s="336" t="s">
        <v>170</v>
      </c>
      <c r="C8" s="336"/>
      <c r="D8" s="336"/>
      <c r="E8" s="169">
        <v>950000</v>
      </c>
    </row>
    <row r="9" spans="2:5" x14ac:dyDescent="0.25">
      <c r="B9" s="336" t="s">
        <v>286</v>
      </c>
      <c r="C9" s="336"/>
      <c r="D9" s="336"/>
      <c r="E9" s="169">
        <f>+'MATERIA PRIMA '!E14</f>
        <v>5116480</v>
      </c>
    </row>
    <row r="10" spans="2:5" x14ac:dyDescent="0.25">
      <c r="B10" s="337" t="s">
        <v>146</v>
      </c>
      <c r="C10" s="338"/>
      <c r="D10" s="339"/>
      <c r="E10" s="170">
        <f>SUM(E5:E9)</f>
        <v>12395899.1</v>
      </c>
    </row>
    <row r="11" spans="2:5" ht="6.75" customHeight="1" x14ac:dyDescent="0.25">
      <c r="B11" s="103"/>
      <c r="C11" s="104"/>
      <c r="D11" s="105"/>
      <c r="E11" s="10"/>
    </row>
    <row r="12" spans="2:5" x14ac:dyDescent="0.25">
      <c r="B12" s="333" t="s">
        <v>44</v>
      </c>
      <c r="C12" s="333"/>
      <c r="D12" s="333"/>
      <c r="E12" s="333"/>
    </row>
    <row r="13" spans="2:5" x14ac:dyDescent="0.25">
      <c r="B13" s="333" t="s">
        <v>153</v>
      </c>
      <c r="C13" s="333"/>
      <c r="D13" s="333"/>
      <c r="E13" s="333"/>
    </row>
    <row r="14" spans="2:5" x14ac:dyDescent="0.25">
      <c r="B14" s="6" t="s">
        <v>34</v>
      </c>
      <c r="C14" s="4"/>
      <c r="D14" s="4"/>
      <c r="E14" s="4"/>
    </row>
    <row r="15" spans="2:5" x14ac:dyDescent="0.25">
      <c r="B15" s="4"/>
      <c r="C15" s="4" t="s">
        <v>35</v>
      </c>
      <c r="D15" s="4">
        <v>1</v>
      </c>
      <c r="E15" s="5">
        <v>320000</v>
      </c>
    </row>
    <row r="16" spans="2:5" x14ac:dyDescent="0.25">
      <c r="B16" s="4"/>
      <c r="C16" s="4" t="s">
        <v>48</v>
      </c>
      <c r="D16" s="4">
        <v>1</v>
      </c>
      <c r="E16" s="5">
        <v>110000</v>
      </c>
    </row>
    <row r="17" spans="2:5" x14ac:dyDescent="0.25">
      <c r="B17" s="4"/>
      <c r="C17" s="4" t="s">
        <v>47</v>
      </c>
      <c r="D17" s="4">
        <v>1</v>
      </c>
      <c r="E17" s="5">
        <v>60000</v>
      </c>
    </row>
    <row r="18" spans="2:5" x14ac:dyDescent="0.25">
      <c r="B18" s="4"/>
      <c r="C18" s="4" t="s">
        <v>36</v>
      </c>
      <c r="D18" s="4">
        <v>1</v>
      </c>
      <c r="E18" s="5">
        <v>300000</v>
      </c>
    </row>
    <row r="19" spans="2:5" x14ac:dyDescent="0.25">
      <c r="B19" s="340" t="s">
        <v>45</v>
      </c>
      <c r="C19" s="341"/>
      <c r="D19" s="342"/>
      <c r="E19" s="10">
        <f>SUM(E15:E18)</f>
        <v>790000</v>
      </c>
    </row>
    <row r="20" spans="2:5" x14ac:dyDescent="0.25">
      <c r="B20" s="6" t="s">
        <v>37</v>
      </c>
      <c r="C20" s="6"/>
      <c r="D20" s="6"/>
      <c r="E20" s="5"/>
    </row>
    <row r="21" spans="2:5" x14ac:dyDescent="0.25">
      <c r="B21" s="4"/>
      <c r="C21" s="4" t="s">
        <v>38</v>
      </c>
      <c r="D21" s="4">
        <v>1</v>
      </c>
      <c r="E21" s="5">
        <v>200000</v>
      </c>
    </row>
    <row r="22" spans="2:5" x14ac:dyDescent="0.25">
      <c r="B22" s="343" t="s">
        <v>45</v>
      </c>
      <c r="C22" s="344"/>
      <c r="D22" s="345"/>
      <c r="E22" s="9">
        <f>+E21</f>
        <v>200000</v>
      </c>
    </row>
    <row r="23" spans="2:5" x14ac:dyDescent="0.25">
      <c r="B23" s="12" t="s">
        <v>39</v>
      </c>
      <c r="C23" s="11"/>
      <c r="D23" s="11"/>
      <c r="E23" s="10"/>
    </row>
    <row r="24" spans="2:5" x14ac:dyDescent="0.25">
      <c r="B24" s="4"/>
      <c r="C24" s="4" t="s">
        <v>40</v>
      </c>
      <c r="D24" s="4">
        <v>1</v>
      </c>
      <c r="E24" s="5">
        <v>10000</v>
      </c>
    </row>
    <row r="25" spans="2:5" x14ac:dyDescent="0.25">
      <c r="B25" s="4"/>
      <c r="C25" s="4" t="s">
        <v>41</v>
      </c>
      <c r="D25" s="4">
        <v>1</v>
      </c>
      <c r="E25" s="5">
        <v>35000</v>
      </c>
    </row>
    <row r="26" spans="2:5" x14ac:dyDescent="0.25">
      <c r="B26" s="4"/>
      <c r="C26" s="4" t="s">
        <v>42</v>
      </c>
      <c r="D26" s="4">
        <v>1</v>
      </c>
      <c r="E26" s="5">
        <v>60000</v>
      </c>
    </row>
    <row r="27" spans="2:5" x14ac:dyDescent="0.25">
      <c r="B27" s="340" t="s">
        <v>45</v>
      </c>
      <c r="C27" s="341"/>
      <c r="D27" s="342"/>
      <c r="E27" s="10">
        <f>SUM(E24:E26)</f>
        <v>105000</v>
      </c>
    </row>
    <row r="28" spans="2:5" x14ac:dyDescent="0.25">
      <c r="B28" s="6" t="s">
        <v>147</v>
      </c>
      <c r="C28" s="4"/>
      <c r="D28" s="4"/>
      <c r="E28" s="5">
        <v>85000</v>
      </c>
    </row>
    <row r="29" spans="2:5" x14ac:dyDescent="0.25">
      <c r="B29" s="4" t="s">
        <v>148</v>
      </c>
      <c r="C29" s="4"/>
      <c r="D29" s="4"/>
      <c r="E29" s="110">
        <v>90000</v>
      </c>
    </row>
    <row r="30" spans="2:5" x14ac:dyDescent="0.25">
      <c r="B30" s="4" t="s">
        <v>149</v>
      </c>
      <c r="C30" s="4"/>
      <c r="D30" s="4"/>
      <c r="E30" s="110">
        <v>75000</v>
      </c>
    </row>
    <row r="31" spans="2:5" x14ac:dyDescent="0.25">
      <c r="B31" s="343" t="s">
        <v>167</v>
      </c>
      <c r="C31" s="344"/>
      <c r="D31" s="345"/>
      <c r="E31" s="9">
        <f>SUM(E28:E30)</f>
        <v>250000</v>
      </c>
    </row>
    <row r="33" spans="2:5" x14ac:dyDescent="0.25">
      <c r="B33" s="334" t="s">
        <v>168</v>
      </c>
      <c r="C33" s="335"/>
      <c r="D33" s="166"/>
      <c r="E33" s="167">
        <f>+E31+E27+E22+E19+E10</f>
        <v>13740899.1</v>
      </c>
    </row>
    <row r="35" spans="2:5" x14ac:dyDescent="0.25">
      <c r="E35" s="3">
        <f>+E10</f>
        <v>12395899.1</v>
      </c>
    </row>
  </sheetData>
  <mergeCells count="15">
    <mergeCell ref="B4:E4"/>
    <mergeCell ref="B3:E3"/>
    <mergeCell ref="B33:C33"/>
    <mergeCell ref="B12:E12"/>
    <mergeCell ref="B8:D8"/>
    <mergeCell ref="B9:D9"/>
    <mergeCell ref="B5:D5"/>
    <mergeCell ref="B6:D6"/>
    <mergeCell ref="B10:D10"/>
    <mergeCell ref="B13:E13"/>
    <mergeCell ref="B19:D19"/>
    <mergeCell ref="B27:D27"/>
    <mergeCell ref="B22:D22"/>
    <mergeCell ref="B31:D31"/>
    <mergeCell ref="B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MAQUINARIA Y EQUIPO</vt:lpstr>
      <vt:lpstr>MATERIA PRIMA </vt:lpstr>
      <vt:lpstr>Amort</vt:lpstr>
      <vt:lpstr>PRESUPUESTOS</vt:lpstr>
      <vt:lpstr>Nomina</vt:lpstr>
      <vt:lpstr>GyP</vt:lpstr>
      <vt:lpstr>Bal. Inicial</vt:lpstr>
      <vt:lpstr>BALANCE</vt:lpstr>
      <vt:lpstr>iNVERSION</vt:lpstr>
      <vt:lpstr>FLUJO-CAJA CON</vt:lpstr>
      <vt:lpstr>Indicadores</vt:lpstr>
      <vt:lpstr>Punto_Equilibrio</vt:lpstr>
      <vt:lpstr>van y Tir</vt:lpstr>
      <vt:lpstr>tir</vt:lpstr>
      <vt:lpstr>van</vt:lpstr>
    </vt:vector>
  </TitlesOfParts>
  <Company>AmSavS Creation´s 2007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ASTRID GOMEZ PINEDA</cp:lastModifiedBy>
  <dcterms:created xsi:type="dcterms:W3CDTF">2008-06-05T01:17:34Z</dcterms:created>
  <dcterms:modified xsi:type="dcterms:W3CDTF">2021-06-17T22:42:26Z</dcterms:modified>
</cp:coreProperties>
</file>