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uditor28\Downloads\"/>
    </mc:Choice>
  </mc:AlternateContent>
  <xr:revisionPtr revIDLastSave="0" documentId="8_{245133DE-1344-45D8-810B-6DD506AC48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ESTACIONES SOCIALES " sheetId="1" r:id="rId1"/>
  </sheets>
  <definedNames>
    <definedName name="_xlnm.Print_Titles" localSheetId="0">'PRESTACIONES SOCIALES '!$A:$Q,'PRESTACIONES SOCIALES 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8" i="1"/>
  <c r="J7" i="1"/>
  <c r="J14" i="1"/>
  <c r="J5" i="1"/>
  <c r="J6" i="1"/>
  <c r="J9" i="1"/>
  <c r="J11" i="1"/>
  <c r="J12" i="1"/>
  <c r="J13" i="1"/>
  <c r="G21" i="1"/>
  <c r="Q21" i="1" s="1"/>
  <c r="F21" i="1"/>
  <c r="E21" i="1"/>
  <c r="I21" i="1"/>
  <c r="O21" i="1" s="1"/>
  <c r="T20" i="1"/>
  <c r="I20" i="1"/>
  <c r="P20" i="1" s="1"/>
  <c r="G20" i="1"/>
  <c r="R20" i="1" s="1"/>
  <c r="S20" i="1" s="1"/>
  <c r="F20" i="1"/>
  <c r="E20" i="1"/>
  <c r="I19" i="1"/>
  <c r="M19" i="1" s="1"/>
  <c r="G19" i="1"/>
  <c r="Q19" i="1" s="1"/>
  <c r="F19" i="1"/>
  <c r="E19" i="1"/>
  <c r="I18" i="1"/>
  <c r="P18" i="1" s="1"/>
  <c r="G18" i="1"/>
  <c r="T18" i="1" s="1"/>
  <c r="F18" i="1"/>
  <c r="E18" i="1"/>
  <c r="I17" i="1"/>
  <c r="O17" i="1" s="1"/>
  <c r="G17" i="1"/>
  <c r="R17" i="1" s="1"/>
  <c r="S17" i="1" s="1"/>
  <c r="F17" i="1"/>
  <c r="E17" i="1"/>
  <c r="I16" i="1"/>
  <c r="N16" i="1" s="1"/>
  <c r="G16" i="1"/>
  <c r="R16" i="1" s="1"/>
  <c r="S16" i="1" s="1"/>
  <c r="F16" i="1"/>
  <c r="E16" i="1"/>
  <c r="I15" i="1"/>
  <c r="M15" i="1" s="1"/>
  <c r="G15" i="1"/>
  <c r="Q15" i="1" s="1"/>
  <c r="F15" i="1"/>
  <c r="E15" i="1"/>
  <c r="I8" i="1"/>
  <c r="R21" i="1" l="1"/>
  <c r="S21" i="1" s="1"/>
  <c r="Q17" i="1"/>
  <c r="T17" i="1"/>
  <c r="Q20" i="1"/>
  <c r="Q18" i="1"/>
  <c r="N21" i="1"/>
  <c r="M21" i="1"/>
  <c r="P21" i="1"/>
  <c r="M20" i="1"/>
  <c r="T21" i="1"/>
  <c r="N20" i="1"/>
  <c r="O20" i="1"/>
  <c r="P17" i="1"/>
  <c r="M18" i="1"/>
  <c r="N15" i="1"/>
  <c r="M17" i="1"/>
  <c r="N19" i="1"/>
  <c r="O15" i="1"/>
  <c r="P16" i="1"/>
  <c r="T16" i="1"/>
  <c r="N18" i="1"/>
  <c r="R18" i="1"/>
  <c r="S18" i="1" s="1"/>
  <c r="O19" i="1"/>
  <c r="R15" i="1"/>
  <c r="S15" i="1" s="1"/>
  <c r="O16" i="1"/>
  <c r="R19" i="1"/>
  <c r="S19" i="1" s="1"/>
  <c r="P15" i="1"/>
  <c r="T15" i="1"/>
  <c r="M16" i="1"/>
  <c r="Q16" i="1"/>
  <c r="N17" i="1"/>
  <c r="O18" i="1"/>
  <c r="P19" i="1"/>
  <c r="T19" i="1"/>
  <c r="I6" i="1"/>
  <c r="O6" i="1" s="1"/>
  <c r="I7" i="1"/>
  <c r="N7" i="1" s="1"/>
  <c r="O8" i="1"/>
  <c r="I9" i="1"/>
  <c r="M9" i="1" s="1"/>
  <c r="I10" i="1"/>
  <c r="O10" i="1" s="1"/>
  <c r="I11" i="1"/>
  <c r="M11" i="1" s="1"/>
  <c r="I12" i="1"/>
  <c r="M12" i="1" s="1"/>
  <c r="I13" i="1"/>
  <c r="O13" i="1" s="1"/>
  <c r="I14" i="1"/>
  <c r="N14" i="1" s="1"/>
  <c r="I5" i="1"/>
  <c r="H22" i="1"/>
  <c r="G14" i="1"/>
  <c r="T14" i="1" s="1"/>
  <c r="G13" i="1"/>
  <c r="Q13" i="1" s="1"/>
  <c r="G12" i="1"/>
  <c r="T12" i="1" s="1"/>
  <c r="G11" i="1"/>
  <c r="Q11" i="1" s="1"/>
  <c r="G10" i="1"/>
  <c r="T10" i="1" s="1"/>
  <c r="G9" i="1"/>
  <c r="Q9" i="1" s="1"/>
  <c r="G8" i="1"/>
  <c r="T8" i="1" s="1"/>
  <c r="G7" i="1"/>
  <c r="T7" i="1" s="1"/>
  <c r="E5" i="1"/>
  <c r="F5" i="1"/>
  <c r="G5" i="1"/>
  <c r="R5" i="1" s="1"/>
  <c r="E6" i="1"/>
  <c r="F6" i="1"/>
  <c r="G6" i="1"/>
  <c r="Q6" i="1" s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O5" i="1" l="1"/>
  <c r="M5" i="1"/>
  <c r="U20" i="1"/>
  <c r="U21" i="1"/>
  <c r="U17" i="1"/>
  <c r="U18" i="1"/>
  <c r="U19" i="1"/>
  <c r="U16" i="1"/>
  <c r="U15" i="1"/>
  <c r="N13" i="1"/>
  <c r="M13" i="1"/>
  <c r="Q5" i="1"/>
  <c r="O7" i="1"/>
  <c r="N9" i="1"/>
  <c r="P9" i="1"/>
  <c r="O9" i="1"/>
  <c r="P11" i="1"/>
  <c r="J22" i="1"/>
  <c r="P5" i="1"/>
  <c r="P14" i="1"/>
  <c r="M14" i="1"/>
  <c r="O14" i="1"/>
  <c r="P13" i="1"/>
  <c r="N12" i="1"/>
  <c r="M10" i="1"/>
  <c r="N10" i="1"/>
  <c r="N8" i="1"/>
  <c r="M8" i="1"/>
  <c r="M7" i="1"/>
  <c r="P7" i="1"/>
  <c r="P8" i="1"/>
  <c r="P10" i="1"/>
  <c r="N11" i="1"/>
  <c r="P12" i="1"/>
  <c r="O11" i="1"/>
  <c r="O12" i="1"/>
  <c r="R6" i="1"/>
  <c r="S6" i="1" s="1"/>
  <c r="R9" i="1"/>
  <c r="S9" i="1" s="1"/>
  <c r="R11" i="1"/>
  <c r="S11" i="1" s="1"/>
  <c r="R13" i="1"/>
  <c r="S13" i="1" s="1"/>
  <c r="T6" i="1"/>
  <c r="Q7" i="1"/>
  <c r="Q8" i="1"/>
  <c r="T9" i="1"/>
  <c r="Q10" i="1"/>
  <c r="T11" i="1"/>
  <c r="Q12" i="1"/>
  <c r="T13" i="1"/>
  <c r="Q14" i="1"/>
  <c r="R7" i="1"/>
  <c r="S7" i="1" s="1"/>
  <c r="R8" i="1"/>
  <c r="S8" i="1" s="1"/>
  <c r="R10" i="1"/>
  <c r="S10" i="1" s="1"/>
  <c r="R12" i="1"/>
  <c r="S12" i="1" s="1"/>
  <c r="R14" i="1"/>
  <c r="S14" i="1" s="1"/>
  <c r="N5" i="1"/>
  <c r="T5" i="1"/>
  <c r="U14" i="1" l="1"/>
  <c r="U9" i="1"/>
  <c r="U7" i="1"/>
  <c r="U13" i="1"/>
  <c r="U11" i="1"/>
  <c r="U12" i="1"/>
  <c r="U10" i="1"/>
  <c r="U8" i="1"/>
  <c r="O22" i="1"/>
  <c r="Q22" i="1"/>
  <c r="T22" i="1"/>
  <c r="P6" i="1"/>
  <c r="P22" i="1" s="1"/>
  <c r="N6" i="1"/>
  <c r="N22" i="1" s="1"/>
  <c r="M6" i="1"/>
  <c r="S5" i="1"/>
  <c r="S22" i="1" s="1"/>
  <c r="R22" i="1"/>
  <c r="I22" i="1"/>
  <c r="U5" i="1" l="1"/>
  <c r="U6" i="1"/>
  <c r="M22" i="1"/>
  <c r="U22" i="1" l="1"/>
</calcChain>
</file>

<file path=xl/sharedStrings.xml><?xml version="1.0" encoding="utf-8"?>
<sst xmlns="http://schemas.openxmlformats.org/spreadsheetml/2006/main" count="75" uniqueCount="44">
  <si>
    <t>FECHA DE INGRESO</t>
  </si>
  <si>
    <t>FECHA DE INGRESO 2</t>
  </si>
  <si>
    <t>INGRESO</t>
  </si>
  <si>
    <t>CORTE</t>
  </si>
  <si>
    <t>ASIGNACION ANUAL</t>
  </si>
  <si>
    <t>NOMBRE CENTRO DE COSTO</t>
  </si>
  <si>
    <t>CENTRO DE COSTO</t>
  </si>
  <si>
    <t>CUENTA CONTABLE</t>
  </si>
  <si>
    <t>PRIMA DE SERVICIOS</t>
  </si>
  <si>
    <t>CESANTIAS</t>
  </si>
  <si>
    <t>INTERESES A LAS CESANTIAS</t>
  </si>
  <si>
    <t>VACACIONES</t>
  </si>
  <si>
    <t xml:space="preserve">TOTAL </t>
  </si>
  <si>
    <t>ADMON</t>
  </si>
  <si>
    <t>ADMINISTRATIVA</t>
  </si>
  <si>
    <t>Director Comercial</t>
  </si>
  <si>
    <t>CARGOS</t>
  </si>
  <si>
    <t>SALUD</t>
  </si>
  <si>
    <t>PENSION</t>
  </si>
  <si>
    <t>PARAFISCALES</t>
  </si>
  <si>
    <t>ASIGNACION     2.020</t>
  </si>
  <si>
    <t>DIAS 2020</t>
  </si>
  <si>
    <t>ARL</t>
  </si>
  <si>
    <t>PRODUCCION</t>
  </si>
  <si>
    <t>COMERCIAL</t>
  </si>
  <si>
    <t>ECOMUB</t>
  </si>
  <si>
    <t xml:space="preserve">CAUSACION DE PRESTACIONES SOCIALES A 31 DE DICIEMBRE DE 2020 PROYECTADO </t>
  </si>
  <si>
    <t>SUBSIDIO TRANSPORTE</t>
  </si>
  <si>
    <t>Gerente General</t>
  </si>
  <si>
    <t>Lider Administrativo</t>
  </si>
  <si>
    <t>Lider Produccion</t>
  </si>
  <si>
    <t>Lider de Instalacion y Distribucion</t>
  </si>
  <si>
    <t>Auxiliar de RH Y administrativo</t>
  </si>
  <si>
    <t>Auxiliar Contable  y  tesoreria</t>
  </si>
  <si>
    <t>Auxiliar de compras</t>
  </si>
  <si>
    <t>Coordinador Calidad</t>
  </si>
  <si>
    <t xml:space="preserve">Operador produccion 1 </t>
  </si>
  <si>
    <t>Operador produccion 2</t>
  </si>
  <si>
    <t>Operador produccion 3</t>
  </si>
  <si>
    <t>Operador produccion 4</t>
  </si>
  <si>
    <t>Operador produccion 5</t>
  </si>
  <si>
    <t>Operador produccion 6</t>
  </si>
  <si>
    <t>Operador instalacion 1</t>
  </si>
  <si>
    <t>Operador instalacion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</si>
</sst>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3">
    <xf numFmtId="0" fontId="0" fillId="0" borderId="0" xfId="0"/>
    <xf numFmtId="1" fontId="3" fillId="2" borderId="0" xfId="0" applyNumberFormat="1" applyFont="1" applyFill="1"/>
    <xf numFmtId="1" fontId="3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horizont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wrapText="1"/>
    </xf>
    <xf numFmtId="0" fontId="3" fillId="2" borderId="0" xfId="0" applyNumberFormat="1" applyFont="1" applyFill="1"/>
    <xf numFmtId="1" fontId="3" fillId="2" borderId="0" xfId="0" applyNumberFormat="1" applyFont="1" applyFill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" fontId="4" fillId="2" borderId="0" xfId="0" applyNumberFormat="1" applyFont="1" applyFill="1"/>
    <xf numFmtId="166" fontId="4" fillId="2" borderId="0" xfId="2" applyFont="1" applyFill="1"/>
    <xf numFmtId="1" fontId="3" fillId="2" borderId="4" xfId="0" applyNumberFormat="1" applyFont="1" applyFill="1" applyBorder="1"/>
    <xf numFmtId="1" fontId="3" fillId="2" borderId="4" xfId="0" applyNumberFormat="1" applyFont="1" applyFill="1" applyBorder="1" applyAlignment="1">
      <alignment horizontal="center"/>
    </xf>
    <xf numFmtId="166" fontId="3" fillId="2" borderId="4" xfId="2" applyFont="1" applyFill="1" applyBorder="1"/>
    <xf numFmtId="165" fontId="3" fillId="2" borderId="0" xfId="1" applyNumberFormat="1" applyFont="1" applyFill="1" applyAlignment="1">
      <alignment wrapText="1"/>
    </xf>
    <xf numFmtId="165" fontId="4" fillId="2" borderId="0" xfId="1" applyNumberFormat="1" applyFont="1" applyFill="1"/>
    <xf numFmtId="165" fontId="4" fillId="2" borderId="0" xfId="1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wrapText="1"/>
    </xf>
    <xf numFmtId="1" fontId="4" fillId="3" borderId="1" xfId="0" applyNumberFormat="1" applyFont="1" applyFill="1" applyBorder="1"/>
    <xf numFmtId="1" fontId="4" fillId="3" borderId="1" xfId="2" applyNumberFormat="1" applyFont="1" applyFill="1" applyBorder="1" applyAlignment="1">
      <alignment wrapText="1"/>
    </xf>
    <xf numFmtId="14" fontId="4" fillId="3" borderId="1" xfId="2" applyNumberFormat="1" applyFont="1" applyFill="1" applyBorder="1" applyAlignment="1">
      <alignment wrapText="1"/>
    </xf>
    <xf numFmtId="3" fontId="4" fillId="3" borderId="1" xfId="0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wrapText="1"/>
    </xf>
    <xf numFmtId="165" fontId="4" fillId="3" borderId="1" xfId="1" applyNumberFormat="1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/>
    </xf>
    <xf numFmtId="167" fontId="4" fillId="3" borderId="1" xfId="1" applyNumberFormat="1" applyFont="1" applyFill="1" applyBorder="1" applyAlignment="1"/>
    <xf numFmtId="166" fontId="4" fillId="3" borderId="1" xfId="2" applyFont="1" applyFill="1" applyBorder="1" applyAlignment="1">
      <alignment horizontal="center"/>
    </xf>
    <xf numFmtId="165" fontId="4" fillId="3" borderId="1" xfId="1" applyNumberFormat="1" applyFont="1" applyFill="1" applyBorder="1" applyAlignment="1"/>
    <xf numFmtId="1" fontId="4" fillId="3" borderId="1" xfId="0" applyNumberFormat="1" applyFont="1" applyFill="1" applyBorder="1" applyAlignment="1">
      <alignment wrapText="1"/>
    </xf>
    <xf numFmtId="166" fontId="0" fillId="3" borderId="0" xfId="2" applyFont="1" applyFill="1"/>
    <xf numFmtId="1" fontId="4" fillId="3" borderId="0" xfId="0" applyNumberFormat="1" applyFont="1" applyFill="1"/>
    <xf numFmtId="1" fontId="4" fillId="3" borderId="4" xfId="2" applyNumberFormat="1" applyFont="1" applyFill="1" applyBorder="1" applyAlignment="1">
      <alignment wrapText="1"/>
    </xf>
    <xf numFmtId="165" fontId="4" fillId="3" borderId="4" xfId="1" applyNumberFormat="1" applyFont="1" applyFill="1" applyBorder="1" applyAlignment="1">
      <alignment wrapText="1"/>
    </xf>
    <xf numFmtId="165" fontId="4" fillId="3" borderId="4" xfId="1" applyNumberFormat="1" applyFont="1" applyFill="1" applyBorder="1" applyAlignment="1">
      <alignment horizontal="center"/>
    </xf>
    <xf numFmtId="0" fontId="4" fillId="3" borderId="4" xfId="1" applyNumberFormat="1" applyFont="1" applyFill="1" applyBorder="1" applyAlignment="1">
      <alignment horizontal="center"/>
    </xf>
    <xf numFmtId="166" fontId="4" fillId="3" borderId="0" xfId="2" applyFont="1" applyFill="1"/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workbookViewId="0">
      <selection activeCell="U24" sqref="U24"/>
    </sheetView>
  </sheetViews>
  <sheetFormatPr baseColWidth="10" defaultRowHeight="12.75" x14ac:dyDescent="0.2"/>
  <cols>
    <col min="1" max="1" width="3.7109375" style="1" customWidth="1"/>
    <col min="2" max="2" width="21.5703125" style="2" customWidth="1"/>
    <col min="3" max="5" width="12.140625" style="2" customWidth="1"/>
    <col min="6" max="6" width="13.7109375" style="2" customWidth="1"/>
    <col min="7" max="7" width="5.5703125" style="7" customWidth="1"/>
    <col min="8" max="8" width="13.85546875" style="19" customWidth="1"/>
    <col min="9" max="9" width="15.85546875" style="19" bestFit="1" customWidth="1"/>
    <col min="10" max="10" width="14.140625" style="19" customWidth="1"/>
    <col min="11" max="12" width="14" style="21" bestFit="1" customWidth="1"/>
    <col min="13" max="16" width="14" style="21" customWidth="1"/>
    <col min="17" max="17" width="13" style="20" bestFit="1" customWidth="1"/>
    <col min="18" max="18" width="12.7109375" style="14" customWidth="1"/>
    <col min="19" max="20" width="13" style="14" bestFit="1" customWidth="1"/>
    <col min="21" max="21" width="14.28515625" style="14" customWidth="1"/>
    <col min="22" max="22" width="20.5703125" style="22" customWidth="1"/>
    <col min="24" max="16384" width="11.42578125" style="14"/>
  </cols>
  <sheetData>
    <row r="1" spans="1:24" s="1" customFormat="1" ht="24.75" customHeight="1" x14ac:dyDescent="0.2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V1" s="2"/>
    </row>
    <row r="2" spans="1:24" s="1" customFormat="1" ht="12.75" customHeight="1" x14ac:dyDescent="0.2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V2" s="2"/>
    </row>
    <row r="3" spans="1:24" s="1" customFormat="1" x14ac:dyDescent="0.2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4"/>
      <c r="N3" s="4"/>
      <c r="O3" s="4"/>
      <c r="P3" s="4"/>
      <c r="Q3" s="5"/>
      <c r="R3" s="6"/>
      <c r="S3" s="6"/>
      <c r="V3" s="2"/>
    </row>
    <row r="4" spans="1:24" s="12" customFormat="1" ht="42" customHeight="1" x14ac:dyDescent="0.2">
      <c r="A4" s="8"/>
      <c r="B4" s="8" t="s">
        <v>16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21</v>
      </c>
      <c r="H4" s="10" t="s">
        <v>20</v>
      </c>
      <c r="I4" s="10" t="s">
        <v>4</v>
      </c>
      <c r="J4" s="10" t="s">
        <v>27</v>
      </c>
      <c r="K4" s="8" t="s">
        <v>6</v>
      </c>
      <c r="L4" s="11" t="s">
        <v>7</v>
      </c>
      <c r="M4" s="11" t="s">
        <v>17</v>
      </c>
      <c r="N4" s="11" t="s">
        <v>18</v>
      </c>
      <c r="O4" s="11" t="s">
        <v>22</v>
      </c>
      <c r="P4" s="11" t="s">
        <v>19</v>
      </c>
      <c r="Q4" s="11" t="s">
        <v>8</v>
      </c>
      <c r="R4" s="8" t="s">
        <v>9</v>
      </c>
      <c r="S4" s="8" t="s">
        <v>10</v>
      </c>
      <c r="T4" s="8" t="s">
        <v>11</v>
      </c>
      <c r="U4" s="8" t="s">
        <v>12</v>
      </c>
      <c r="V4" s="8" t="s">
        <v>5</v>
      </c>
    </row>
    <row r="5" spans="1:24" s="35" customFormat="1" ht="24.95" customHeight="1" x14ac:dyDescent="0.2">
      <c r="A5" s="23">
        <v>1</v>
      </c>
      <c r="B5" s="24" t="s">
        <v>28</v>
      </c>
      <c r="C5" s="25">
        <v>43831</v>
      </c>
      <c r="D5" s="25">
        <v>44196</v>
      </c>
      <c r="E5" s="25">
        <f>+C5</f>
        <v>43831</v>
      </c>
      <c r="F5" s="25">
        <f>+D5</f>
        <v>44196</v>
      </c>
      <c r="G5" s="26">
        <f>DAYS360(C5,D5)</f>
        <v>360</v>
      </c>
      <c r="H5" s="27">
        <v>4500000</v>
      </c>
      <c r="I5" s="27">
        <f>+(H5+J5)*12</f>
        <v>54000000</v>
      </c>
      <c r="J5" s="27">
        <f>IF(H5&gt;1755606,0,102854)</f>
        <v>0</v>
      </c>
      <c r="K5" s="28" t="s">
        <v>13</v>
      </c>
      <c r="L5" s="29">
        <v>51</v>
      </c>
      <c r="M5" s="30">
        <f t="shared" ref="M5:M14" si="0">(I5*8.5%)</f>
        <v>4590000</v>
      </c>
      <c r="N5" s="31">
        <f t="shared" ref="N5:N14" si="1">(I5*12%)</f>
        <v>6480000</v>
      </c>
      <c r="O5" s="31">
        <f t="shared" ref="O5:O8" si="2">I5*0.522%</f>
        <v>281880</v>
      </c>
      <c r="P5" s="31">
        <f t="shared" ref="P5:P14" si="3">(I5*9%)</f>
        <v>4860000</v>
      </c>
      <c r="Q5" s="32">
        <f>(H5*G5)/360</f>
        <v>4500000</v>
      </c>
      <c r="R5" s="32">
        <f>((H5*G5)/360)</f>
        <v>4500000</v>
      </c>
      <c r="S5" s="32">
        <f>+R5*12%</f>
        <v>540000</v>
      </c>
      <c r="T5" s="32">
        <f t="shared" ref="T5:T14" si="4">((H5*G5)/720)</f>
        <v>2250000</v>
      </c>
      <c r="U5" s="32">
        <f>+Q5+R5+S5+T5+M5+N5+P5+O5+J5</f>
        <v>28001880</v>
      </c>
      <c r="V5" s="33" t="s">
        <v>14</v>
      </c>
      <c r="W5" s="34"/>
    </row>
    <row r="6" spans="1:24" s="35" customFormat="1" ht="24.95" customHeight="1" x14ac:dyDescent="0.2">
      <c r="A6" s="23">
        <v>2</v>
      </c>
      <c r="B6" s="24" t="s">
        <v>29</v>
      </c>
      <c r="C6" s="25">
        <v>43831</v>
      </c>
      <c r="D6" s="25">
        <v>44196</v>
      </c>
      <c r="E6" s="25">
        <f>+C6</f>
        <v>43831</v>
      </c>
      <c r="F6" s="25">
        <f>+D6</f>
        <v>44196</v>
      </c>
      <c r="G6" s="26">
        <f>DAYS360(C6,D6)</f>
        <v>360</v>
      </c>
      <c r="H6" s="27">
        <v>3000000</v>
      </c>
      <c r="I6" s="27">
        <f t="shared" ref="I6:I14" si="5">+H6*12</f>
        <v>36000000</v>
      </c>
      <c r="J6" s="27">
        <f t="shared" ref="J6:J13" si="6">IF(H6&gt;877803,0,102854)</f>
        <v>0</v>
      </c>
      <c r="K6" s="28" t="s">
        <v>13</v>
      </c>
      <c r="L6" s="29">
        <v>51</v>
      </c>
      <c r="M6" s="30">
        <f t="shared" si="0"/>
        <v>3060000</v>
      </c>
      <c r="N6" s="31">
        <f t="shared" si="1"/>
        <v>4320000</v>
      </c>
      <c r="O6" s="31">
        <f t="shared" si="2"/>
        <v>187920</v>
      </c>
      <c r="P6" s="31">
        <f t="shared" si="3"/>
        <v>3240000</v>
      </c>
      <c r="Q6" s="32">
        <f>(H6*G6)/360</f>
        <v>3000000</v>
      </c>
      <c r="R6" s="32">
        <f>((H6*G6)/360)</f>
        <v>3000000</v>
      </c>
      <c r="S6" s="32">
        <f t="shared" ref="S6:S14" si="7">+R6*12%</f>
        <v>360000</v>
      </c>
      <c r="T6" s="32">
        <f t="shared" si="4"/>
        <v>1500000</v>
      </c>
      <c r="U6" s="32">
        <f t="shared" ref="U6:U14" si="8">+Q6+R6+S6+T6+M6+N6+P6+O6+J6</f>
        <v>18667920</v>
      </c>
      <c r="V6" s="33" t="s">
        <v>14</v>
      </c>
      <c r="W6" s="34"/>
      <c r="X6" s="40"/>
    </row>
    <row r="7" spans="1:24" s="35" customFormat="1" ht="24.95" customHeight="1" x14ac:dyDescent="0.2">
      <c r="A7" s="23">
        <v>3</v>
      </c>
      <c r="B7" s="36" t="s">
        <v>32</v>
      </c>
      <c r="C7" s="25">
        <v>43831</v>
      </c>
      <c r="D7" s="25">
        <v>44196</v>
      </c>
      <c r="E7" s="25">
        <f t="shared" ref="E7:E14" si="9">+C7</f>
        <v>43831</v>
      </c>
      <c r="F7" s="25">
        <f t="shared" ref="F7:F14" si="10">+D7</f>
        <v>44196</v>
      </c>
      <c r="G7" s="26">
        <f t="shared" ref="G7:G14" si="11">DAYS360(C7,D7)</f>
        <v>360</v>
      </c>
      <c r="H7" s="37">
        <v>1300000</v>
      </c>
      <c r="I7" s="27">
        <f t="shared" si="5"/>
        <v>15600000</v>
      </c>
      <c r="J7" s="27">
        <f t="shared" ref="J7:J10" si="12">102854*12</f>
        <v>1234248</v>
      </c>
      <c r="K7" s="28" t="s">
        <v>13</v>
      </c>
      <c r="L7" s="29">
        <v>51</v>
      </c>
      <c r="M7" s="30">
        <f t="shared" si="0"/>
        <v>1326000</v>
      </c>
      <c r="N7" s="31">
        <f t="shared" si="1"/>
        <v>1872000</v>
      </c>
      <c r="O7" s="31">
        <f t="shared" si="2"/>
        <v>81432</v>
      </c>
      <c r="P7" s="31">
        <f t="shared" si="3"/>
        <v>1404000</v>
      </c>
      <c r="Q7" s="32">
        <f>(H7*G7)/360</f>
        <v>1300000</v>
      </c>
      <c r="R7" s="32">
        <f>((H7*G7)/360)</f>
        <v>1300000</v>
      </c>
      <c r="S7" s="32">
        <f t="shared" si="7"/>
        <v>156000</v>
      </c>
      <c r="T7" s="32">
        <f t="shared" si="4"/>
        <v>650000</v>
      </c>
      <c r="U7" s="32">
        <f t="shared" si="8"/>
        <v>9323680</v>
      </c>
      <c r="V7" s="33" t="s">
        <v>14</v>
      </c>
      <c r="W7" s="34"/>
      <c r="X7" s="40"/>
    </row>
    <row r="8" spans="1:24" s="35" customFormat="1" ht="24.95" customHeight="1" x14ac:dyDescent="0.2">
      <c r="A8" s="23">
        <v>4</v>
      </c>
      <c r="B8" s="36" t="s">
        <v>33</v>
      </c>
      <c r="C8" s="25">
        <v>43831</v>
      </c>
      <c r="D8" s="25">
        <v>44196</v>
      </c>
      <c r="E8" s="25">
        <f t="shared" si="9"/>
        <v>43831</v>
      </c>
      <c r="F8" s="25">
        <f t="shared" si="10"/>
        <v>44196</v>
      </c>
      <c r="G8" s="26">
        <f t="shared" si="11"/>
        <v>360</v>
      </c>
      <c r="H8" s="37">
        <v>1300000</v>
      </c>
      <c r="I8" s="27">
        <f t="shared" si="5"/>
        <v>15600000</v>
      </c>
      <c r="J8" s="27">
        <f t="shared" si="12"/>
        <v>1234248</v>
      </c>
      <c r="K8" s="28" t="s">
        <v>13</v>
      </c>
      <c r="L8" s="29">
        <v>51</v>
      </c>
      <c r="M8" s="30">
        <f t="shared" si="0"/>
        <v>1326000</v>
      </c>
      <c r="N8" s="31">
        <f t="shared" si="1"/>
        <v>1872000</v>
      </c>
      <c r="O8" s="31">
        <f t="shared" si="2"/>
        <v>81432</v>
      </c>
      <c r="P8" s="31">
        <f t="shared" si="3"/>
        <v>1404000</v>
      </c>
      <c r="Q8" s="32">
        <f t="shared" ref="Q8:Q14" si="13">(H8*G8)/360</f>
        <v>1300000</v>
      </c>
      <c r="R8" s="32">
        <f t="shared" ref="R8:R14" si="14">((H8*G8)/360)</f>
        <v>1300000</v>
      </c>
      <c r="S8" s="32">
        <f t="shared" si="7"/>
        <v>156000</v>
      </c>
      <c r="T8" s="32">
        <f t="shared" si="4"/>
        <v>650000</v>
      </c>
      <c r="U8" s="32">
        <f t="shared" si="8"/>
        <v>9323680</v>
      </c>
      <c r="V8" s="33" t="s">
        <v>14</v>
      </c>
      <c r="W8" s="34"/>
      <c r="X8" s="40"/>
    </row>
    <row r="9" spans="1:24" s="35" customFormat="1" ht="24.95" customHeight="1" x14ac:dyDescent="0.2">
      <c r="A9" s="23">
        <v>5</v>
      </c>
      <c r="B9" s="36" t="s">
        <v>15</v>
      </c>
      <c r="C9" s="25">
        <v>43831</v>
      </c>
      <c r="D9" s="25">
        <v>44196</v>
      </c>
      <c r="E9" s="25">
        <f t="shared" si="9"/>
        <v>43831</v>
      </c>
      <c r="F9" s="25">
        <f t="shared" si="10"/>
        <v>44196</v>
      </c>
      <c r="G9" s="26">
        <f t="shared" si="11"/>
        <v>360</v>
      </c>
      <c r="H9" s="37">
        <v>3500000</v>
      </c>
      <c r="I9" s="27">
        <f t="shared" si="5"/>
        <v>42000000</v>
      </c>
      <c r="J9" s="27">
        <f t="shared" si="6"/>
        <v>0</v>
      </c>
      <c r="K9" s="38" t="s">
        <v>24</v>
      </c>
      <c r="L9" s="39">
        <v>52</v>
      </c>
      <c r="M9" s="30">
        <f t="shared" si="0"/>
        <v>3570000.0000000005</v>
      </c>
      <c r="N9" s="31">
        <f t="shared" si="1"/>
        <v>5040000</v>
      </c>
      <c r="O9" s="31">
        <f t="shared" ref="O9:O10" si="15">I9*0.522%</f>
        <v>219240</v>
      </c>
      <c r="P9" s="31">
        <f t="shared" si="3"/>
        <v>3780000</v>
      </c>
      <c r="Q9" s="32">
        <f t="shared" si="13"/>
        <v>3500000</v>
      </c>
      <c r="R9" s="32">
        <f t="shared" si="14"/>
        <v>3500000</v>
      </c>
      <c r="S9" s="32">
        <f t="shared" si="7"/>
        <v>420000</v>
      </c>
      <c r="T9" s="32">
        <f t="shared" si="4"/>
        <v>1750000</v>
      </c>
      <c r="U9" s="32">
        <f t="shared" si="8"/>
        <v>21779240</v>
      </c>
      <c r="V9" s="33" t="s">
        <v>24</v>
      </c>
      <c r="W9" s="34"/>
      <c r="X9" s="40"/>
    </row>
    <row r="10" spans="1:24" s="35" customFormat="1" ht="24.95" customHeight="1" x14ac:dyDescent="0.2">
      <c r="A10" s="23">
        <v>6</v>
      </c>
      <c r="B10" s="36" t="s">
        <v>34</v>
      </c>
      <c r="C10" s="25">
        <v>43831</v>
      </c>
      <c r="D10" s="25">
        <v>44196</v>
      </c>
      <c r="E10" s="25">
        <f t="shared" si="9"/>
        <v>43831</v>
      </c>
      <c r="F10" s="25">
        <f t="shared" si="10"/>
        <v>44196</v>
      </c>
      <c r="G10" s="26">
        <f t="shared" si="11"/>
        <v>360</v>
      </c>
      <c r="H10" s="37">
        <v>1300000</v>
      </c>
      <c r="I10" s="27">
        <f t="shared" si="5"/>
        <v>15600000</v>
      </c>
      <c r="J10" s="27">
        <f t="shared" si="12"/>
        <v>1234248</v>
      </c>
      <c r="K10" s="38" t="s">
        <v>24</v>
      </c>
      <c r="L10" s="39">
        <v>52</v>
      </c>
      <c r="M10" s="30">
        <f t="shared" si="0"/>
        <v>1326000</v>
      </c>
      <c r="N10" s="31">
        <f t="shared" si="1"/>
        <v>1872000</v>
      </c>
      <c r="O10" s="31">
        <f t="shared" si="15"/>
        <v>81432</v>
      </c>
      <c r="P10" s="31">
        <f t="shared" si="3"/>
        <v>1404000</v>
      </c>
      <c r="Q10" s="32">
        <f t="shared" si="13"/>
        <v>1300000</v>
      </c>
      <c r="R10" s="32">
        <f t="shared" si="14"/>
        <v>1300000</v>
      </c>
      <c r="S10" s="32">
        <f t="shared" si="7"/>
        <v>156000</v>
      </c>
      <c r="T10" s="32">
        <f t="shared" si="4"/>
        <v>650000</v>
      </c>
      <c r="U10" s="32">
        <f t="shared" si="8"/>
        <v>9323680</v>
      </c>
      <c r="V10" s="33" t="s">
        <v>24</v>
      </c>
      <c r="W10" s="34"/>
      <c r="X10" s="40"/>
    </row>
    <row r="11" spans="1:24" s="35" customFormat="1" ht="24.95" customHeight="1" x14ac:dyDescent="0.2">
      <c r="A11" s="23">
        <v>7</v>
      </c>
      <c r="B11" s="36" t="s">
        <v>30</v>
      </c>
      <c r="C11" s="25">
        <v>43831</v>
      </c>
      <c r="D11" s="25">
        <v>44196</v>
      </c>
      <c r="E11" s="25">
        <f t="shared" si="9"/>
        <v>43831</v>
      </c>
      <c r="F11" s="25">
        <f t="shared" si="10"/>
        <v>44196</v>
      </c>
      <c r="G11" s="26">
        <f t="shared" si="11"/>
        <v>360</v>
      </c>
      <c r="H11" s="37">
        <v>3000000</v>
      </c>
      <c r="I11" s="27">
        <f t="shared" si="5"/>
        <v>36000000</v>
      </c>
      <c r="J11" s="27">
        <f t="shared" si="6"/>
        <v>0</v>
      </c>
      <c r="K11" s="38" t="s">
        <v>23</v>
      </c>
      <c r="L11" s="39">
        <v>52</v>
      </c>
      <c r="M11" s="30">
        <f t="shared" si="0"/>
        <v>3060000</v>
      </c>
      <c r="N11" s="31">
        <f t="shared" si="1"/>
        <v>4320000</v>
      </c>
      <c r="O11" s="31">
        <f t="shared" ref="O11:O14" si="16">+I11*2.436%</f>
        <v>876960</v>
      </c>
      <c r="P11" s="31">
        <f t="shared" si="3"/>
        <v>3240000</v>
      </c>
      <c r="Q11" s="32">
        <f t="shared" si="13"/>
        <v>3000000</v>
      </c>
      <c r="R11" s="32">
        <f t="shared" si="14"/>
        <v>3000000</v>
      </c>
      <c r="S11" s="32">
        <f t="shared" si="7"/>
        <v>360000</v>
      </c>
      <c r="T11" s="32">
        <f t="shared" si="4"/>
        <v>1500000</v>
      </c>
      <c r="U11" s="32">
        <f t="shared" si="8"/>
        <v>19356960</v>
      </c>
      <c r="V11" s="33" t="s">
        <v>23</v>
      </c>
      <c r="W11" s="34"/>
      <c r="X11" s="40"/>
    </row>
    <row r="12" spans="1:24" s="35" customFormat="1" ht="24.95" customHeight="1" x14ac:dyDescent="0.2">
      <c r="A12" s="23">
        <v>8</v>
      </c>
      <c r="B12" s="36" t="s">
        <v>31</v>
      </c>
      <c r="C12" s="25">
        <v>43831</v>
      </c>
      <c r="D12" s="25">
        <v>44196</v>
      </c>
      <c r="E12" s="25">
        <f t="shared" si="9"/>
        <v>43831</v>
      </c>
      <c r="F12" s="25">
        <f t="shared" si="10"/>
        <v>44196</v>
      </c>
      <c r="G12" s="26">
        <f t="shared" si="11"/>
        <v>360</v>
      </c>
      <c r="H12" s="37">
        <v>3000000</v>
      </c>
      <c r="I12" s="27">
        <f t="shared" si="5"/>
        <v>36000000</v>
      </c>
      <c r="J12" s="27">
        <f t="shared" si="6"/>
        <v>0</v>
      </c>
      <c r="K12" s="38" t="s">
        <v>23</v>
      </c>
      <c r="L12" s="39">
        <v>52</v>
      </c>
      <c r="M12" s="30">
        <f t="shared" si="0"/>
        <v>3060000</v>
      </c>
      <c r="N12" s="31">
        <f t="shared" si="1"/>
        <v>4320000</v>
      </c>
      <c r="O12" s="31">
        <f t="shared" si="16"/>
        <v>876960</v>
      </c>
      <c r="P12" s="31">
        <f t="shared" si="3"/>
        <v>3240000</v>
      </c>
      <c r="Q12" s="32">
        <f t="shared" si="13"/>
        <v>3000000</v>
      </c>
      <c r="R12" s="32">
        <f t="shared" si="14"/>
        <v>3000000</v>
      </c>
      <c r="S12" s="32">
        <f t="shared" si="7"/>
        <v>360000</v>
      </c>
      <c r="T12" s="32">
        <f t="shared" si="4"/>
        <v>1500000</v>
      </c>
      <c r="U12" s="32">
        <f t="shared" si="8"/>
        <v>19356960</v>
      </c>
      <c r="V12" s="33" t="s">
        <v>23</v>
      </c>
      <c r="W12" s="34"/>
      <c r="X12" s="40"/>
    </row>
    <row r="13" spans="1:24" s="35" customFormat="1" ht="24.95" customHeight="1" x14ac:dyDescent="0.2">
      <c r="A13" s="23">
        <v>9</v>
      </c>
      <c r="B13" s="36" t="s">
        <v>35</v>
      </c>
      <c r="C13" s="25">
        <v>43831</v>
      </c>
      <c r="D13" s="25">
        <v>44196</v>
      </c>
      <c r="E13" s="25">
        <f t="shared" si="9"/>
        <v>43831</v>
      </c>
      <c r="F13" s="25">
        <f t="shared" si="10"/>
        <v>44196</v>
      </c>
      <c r="G13" s="26">
        <f t="shared" si="11"/>
        <v>360</v>
      </c>
      <c r="H13" s="37">
        <v>2000000</v>
      </c>
      <c r="I13" s="27">
        <f t="shared" si="5"/>
        <v>24000000</v>
      </c>
      <c r="J13" s="27">
        <f t="shared" si="6"/>
        <v>0</v>
      </c>
      <c r="K13" s="38" t="s">
        <v>23</v>
      </c>
      <c r="L13" s="39">
        <v>52</v>
      </c>
      <c r="M13" s="30">
        <f t="shared" si="0"/>
        <v>2040000.0000000002</v>
      </c>
      <c r="N13" s="31">
        <f t="shared" si="1"/>
        <v>2880000</v>
      </c>
      <c r="O13" s="31">
        <f t="shared" si="16"/>
        <v>584640</v>
      </c>
      <c r="P13" s="31">
        <f t="shared" si="3"/>
        <v>2160000</v>
      </c>
      <c r="Q13" s="32">
        <f t="shared" si="13"/>
        <v>2000000</v>
      </c>
      <c r="R13" s="32">
        <f t="shared" si="14"/>
        <v>2000000</v>
      </c>
      <c r="S13" s="32">
        <f t="shared" si="7"/>
        <v>240000</v>
      </c>
      <c r="T13" s="32">
        <f t="shared" si="4"/>
        <v>1000000</v>
      </c>
      <c r="U13" s="32">
        <f t="shared" si="8"/>
        <v>12904640</v>
      </c>
      <c r="V13" s="33" t="s">
        <v>23</v>
      </c>
      <c r="W13" s="34"/>
      <c r="X13" s="40"/>
    </row>
    <row r="14" spans="1:24" s="35" customFormat="1" ht="24.95" customHeight="1" x14ac:dyDescent="0.2">
      <c r="A14" s="23">
        <v>10</v>
      </c>
      <c r="B14" s="36" t="s">
        <v>36</v>
      </c>
      <c r="C14" s="25">
        <v>43831</v>
      </c>
      <c r="D14" s="25">
        <v>44196</v>
      </c>
      <c r="E14" s="25">
        <f t="shared" si="9"/>
        <v>43831</v>
      </c>
      <c r="F14" s="25">
        <f t="shared" si="10"/>
        <v>44196</v>
      </c>
      <c r="G14" s="26">
        <f t="shared" si="11"/>
        <v>360</v>
      </c>
      <c r="H14" s="37">
        <v>877803</v>
      </c>
      <c r="I14" s="27">
        <f t="shared" si="5"/>
        <v>10533636</v>
      </c>
      <c r="J14" s="27">
        <f>102854*12</f>
        <v>1234248</v>
      </c>
      <c r="K14" s="38" t="s">
        <v>23</v>
      </c>
      <c r="L14" s="39">
        <v>52</v>
      </c>
      <c r="M14" s="30">
        <f t="shared" si="0"/>
        <v>895359.06</v>
      </c>
      <c r="N14" s="31">
        <f t="shared" si="1"/>
        <v>1264036.32</v>
      </c>
      <c r="O14" s="31">
        <f t="shared" si="16"/>
        <v>256599.37296000001</v>
      </c>
      <c r="P14" s="31">
        <f t="shared" si="3"/>
        <v>948027.24</v>
      </c>
      <c r="Q14" s="32">
        <f t="shared" si="13"/>
        <v>877803</v>
      </c>
      <c r="R14" s="32">
        <f t="shared" si="14"/>
        <v>877803</v>
      </c>
      <c r="S14" s="32">
        <f t="shared" si="7"/>
        <v>105336.36</v>
      </c>
      <c r="T14" s="32">
        <f t="shared" si="4"/>
        <v>438901.5</v>
      </c>
      <c r="U14" s="32">
        <f t="shared" si="8"/>
        <v>6898113.8529600007</v>
      </c>
      <c r="V14" s="33" t="s">
        <v>23</v>
      </c>
      <c r="W14" s="34"/>
      <c r="X14" s="40"/>
    </row>
    <row r="15" spans="1:24" s="35" customFormat="1" ht="24.95" customHeight="1" x14ac:dyDescent="0.2">
      <c r="A15" s="23">
        <v>11</v>
      </c>
      <c r="B15" s="36" t="s">
        <v>37</v>
      </c>
      <c r="C15" s="25">
        <v>43831</v>
      </c>
      <c r="D15" s="25">
        <v>44196</v>
      </c>
      <c r="E15" s="25">
        <f t="shared" ref="E15:E19" si="17">+C15</f>
        <v>43831</v>
      </c>
      <c r="F15" s="25">
        <f t="shared" ref="F15:F20" si="18">+D15</f>
        <v>44196</v>
      </c>
      <c r="G15" s="26">
        <f t="shared" ref="G15:G21" si="19">DAYS360(C15,D15)</f>
        <v>360</v>
      </c>
      <c r="H15" s="37">
        <v>877803</v>
      </c>
      <c r="I15" s="27">
        <f t="shared" ref="I15:I19" si="20">+H15*12</f>
        <v>10533636</v>
      </c>
      <c r="J15" s="27">
        <v>1234248</v>
      </c>
      <c r="K15" s="38" t="s">
        <v>23</v>
      </c>
      <c r="L15" s="39">
        <v>52</v>
      </c>
      <c r="M15" s="30">
        <f t="shared" ref="M15:M19" si="21">(I15*8.5%)</f>
        <v>895359.06</v>
      </c>
      <c r="N15" s="31">
        <f t="shared" ref="N15:N19" si="22">(I15*12%)</f>
        <v>1264036.32</v>
      </c>
      <c r="O15" s="31">
        <f t="shared" ref="O15:O19" si="23">+I15*2.436%</f>
        <v>256599.37296000001</v>
      </c>
      <c r="P15" s="31">
        <f t="shared" ref="P15:P19" si="24">(I15*9%)</f>
        <v>948027.24</v>
      </c>
      <c r="Q15" s="32">
        <f t="shared" ref="Q15:Q19" si="25">(H15*G15)/360</f>
        <v>877803</v>
      </c>
      <c r="R15" s="32">
        <f t="shared" ref="R15:R19" si="26">((H15*G15)/360)</f>
        <v>877803</v>
      </c>
      <c r="S15" s="32">
        <f t="shared" ref="S15:S19" si="27">+R15*12%</f>
        <v>105336.36</v>
      </c>
      <c r="T15" s="32">
        <f t="shared" ref="T15:T19" si="28">((H15*G15)/720)</f>
        <v>438901.5</v>
      </c>
      <c r="U15" s="32">
        <f t="shared" ref="U15:U19" si="29">+Q15+R15+S15+T15+M15+N15+P15+O15+J15</f>
        <v>6898113.8529600007</v>
      </c>
      <c r="V15" s="33" t="s">
        <v>23</v>
      </c>
      <c r="W15" s="34"/>
      <c r="X15" s="40"/>
    </row>
    <row r="16" spans="1:24" s="35" customFormat="1" ht="24.95" customHeight="1" x14ac:dyDescent="0.2">
      <c r="A16" s="23">
        <v>12</v>
      </c>
      <c r="B16" s="36" t="s">
        <v>38</v>
      </c>
      <c r="C16" s="25">
        <v>43831</v>
      </c>
      <c r="D16" s="25">
        <v>44196</v>
      </c>
      <c r="E16" s="25">
        <f t="shared" si="17"/>
        <v>43831</v>
      </c>
      <c r="F16" s="25">
        <f t="shared" si="18"/>
        <v>44196</v>
      </c>
      <c r="G16" s="26">
        <f t="shared" si="19"/>
        <v>360</v>
      </c>
      <c r="H16" s="37">
        <v>877803</v>
      </c>
      <c r="I16" s="27">
        <f t="shared" si="20"/>
        <v>10533636</v>
      </c>
      <c r="J16" s="27">
        <v>1234248</v>
      </c>
      <c r="K16" s="38" t="s">
        <v>23</v>
      </c>
      <c r="L16" s="39">
        <v>52</v>
      </c>
      <c r="M16" s="30">
        <f t="shared" si="21"/>
        <v>895359.06</v>
      </c>
      <c r="N16" s="31">
        <f t="shared" si="22"/>
        <v>1264036.32</v>
      </c>
      <c r="O16" s="31">
        <f t="shared" si="23"/>
        <v>256599.37296000001</v>
      </c>
      <c r="P16" s="31">
        <f t="shared" si="24"/>
        <v>948027.24</v>
      </c>
      <c r="Q16" s="32">
        <f t="shared" si="25"/>
        <v>877803</v>
      </c>
      <c r="R16" s="32">
        <f t="shared" si="26"/>
        <v>877803</v>
      </c>
      <c r="S16" s="32">
        <f t="shared" si="27"/>
        <v>105336.36</v>
      </c>
      <c r="T16" s="32">
        <f t="shared" si="28"/>
        <v>438901.5</v>
      </c>
      <c r="U16" s="32">
        <f t="shared" si="29"/>
        <v>6898113.8529600007</v>
      </c>
      <c r="V16" s="33" t="s">
        <v>23</v>
      </c>
      <c r="W16" s="34"/>
      <c r="X16" s="40"/>
    </row>
    <row r="17" spans="1:24" s="35" customFormat="1" ht="24.95" customHeight="1" x14ac:dyDescent="0.2">
      <c r="A17" s="23">
        <v>13</v>
      </c>
      <c r="B17" s="36" t="s">
        <v>39</v>
      </c>
      <c r="C17" s="25">
        <v>43831</v>
      </c>
      <c r="D17" s="25">
        <v>44196</v>
      </c>
      <c r="E17" s="25">
        <f t="shared" si="17"/>
        <v>43831</v>
      </c>
      <c r="F17" s="25">
        <f t="shared" si="18"/>
        <v>44196</v>
      </c>
      <c r="G17" s="26">
        <f t="shared" si="19"/>
        <v>360</v>
      </c>
      <c r="H17" s="37">
        <v>877803</v>
      </c>
      <c r="I17" s="27">
        <f t="shared" si="20"/>
        <v>10533636</v>
      </c>
      <c r="J17" s="27">
        <v>1234248</v>
      </c>
      <c r="K17" s="38" t="s">
        <v>23</v>
      </c>
      <c r="L17" s="39">
        <v>52</v>
      </c>
      <c r="M17" s="30">
        <f t="shared" si="21"/>
        <v>895359.06</v>
      </c>
      <c r="N17" s="31">
        <f t="shared" si="22"/>
        <v>1264036.32</v>
      </c>
      <c r="O17" s="31">
        <f t="shared" si="23"/>
        <v>256599.37296000001</v>
      </c>
      <c r="P17" s="31">
        <f t="shared" si="24"/>
        <v>948027.24</v>
      </c>
      <c r="Q17" s="32">
        <f t="shared" si="25"/>
        <v>877803</v>
      </c>
      <c r="R17" s="32">
        <f t="shared" si="26"/>
        <v>877803</v>
      </c>
      <c r="S17" s="32">
        <f t="shared" si="27"/>
        <v>105336.36</v>
      </c>
      <c r="T17" s="32">
        <f t="shared" si="28"/>
        <v>438901.5</v>
      </c>
      <c r="U17" s="32">
        <f t="shared" si="29"/>
        <v>6898113.8529600007</v>
      </c>
      <c r="V17" s="33" t="s">
        <v>23</v>
      </c>
      <c r="W17" s="34"/>
      <c r="X17" s="40"/>
    </row>
    <row r="18" spans="1:24" s="35" customFormat="1" ht="24.95" customHeight="1" x14ac:dyDescent="0.2">
      <c r="A18" s="23">
        <v>14</v>
      </c>
      <c r="B18" s="36" t="s">
        <v>40</v>
      </c>
      <c r="C18" s="25">
        <v>43831</v>
      </c>
      <c r="D18" s="25">
        <v>44196</v>
      </c>
      <c r="E18" s="25">
        <f t="shared" si="17"/>
        <v>43831</v>
      </c>
      <c r="F18" s="25">
        <f t="shared" si="18"/>
        <v>44196</v>
      </c>
      <c r="G18" s="26">
        <f t="shared" si="19"/>
        <v>360</v>
      </c>
      <c r="H18" s="37">
        <v>877803</v>
      </c>
      <c r="I18" s="27">
        <f t="shared" si="20"/>
        <v>10533636</v>
      </c>
      <c r="J18" s="27">
        <v>1234248</v>
      </c>
      <c r="K18" s="38" t="s">
        <v>23</v>
      </c>
      <c r="L18" s="39">
        <v>52</v>
      </c>
      <c r="M18" s="30">
        <f t="shared" si="21"/>
        <v>895359.06</v>
      </c>
      <c r="N18" s="31">
        <f t="shared" si="22"/>
        <v>1264036.32</v>
      </c>
      <c r="O18" s="31">
        <f t="shared" si="23"/>
        <v>256599.37296000001</v>
      </c>
      <c r="P18" s="31">
        <f t="shared" si="24"/>
        <v>948027.24</v>
      </c>
      <c r="Q18" s="32">
        <f t="shared" si="25"/>
        <v>877803</v>
      </c>
      <c r="R18" s="32">
        <f t="shared" si="26"/>
        <v>877803</v>
      </c>
      <c r="S18" s="32">
        <f t="shared" si="27"/>
        <v>105336.36</v>
      </c>
      <c r="T18" s="32">
        <f t="shared" si="28"/>
        <v>438901.5</v>
      </c>
      <c r="U18" s="32">
        <f t="shared" si="29"/>
        <v>6898113.8529600007</v>
      </c>
      <c r="V18" s="33" t="s">
        <v>23</v>
      </c>
      <c r="W18" s="34"/>
      <c r="X18" s="40"/>
    </row>
    <row r="19" spans="1:24" s="35" customFormat="1" ht="24.95" customHeight="1" x14ac:dyDescent="0.2">
      <c r="A19" s="23">
        <v>15</v>
      </c>
      <c r="B19" s="36" t="s">
        <v>41</v>
      </c>
      <c r="C19" s="25">
        <v>43831</v>
      </c>
      <c r="D19" s="25">
        <v>44196</v>
      </c>
      <c r="E19" s="25">
        <f t="shared" si="17"/>
        <v>43831</v>
      </c>
      <c r="F19" s="25">
        <f t="shared" si="18"/>
        <v>44196</v>
      </c>
      <c r="G19" s="26">
        <f t="shared" si="19"/>
        <v>360</v>
      </c>
      <c r="H19" s="37">
        <v>877803</v>
      </c>
      <c r="I19" s="27">
        <f t="shared" si="20"/>
        <v>10533636</v>
      </c>
      <c r="J19" s="27">
        <v>1234248</v>
      </c>
      <c r="K19" s="38" t="s">
        <v>23</v>
      </c>
      <c r="L19" s="39">
        <v>52</v>
      </c>
      <c r="M19" s="30">
        <f t="shared" si="21"/>
        <v>895359.06</v>
      </c>
      <c r="N19" s="31">
        <f t="shared" si="22"/>
        <v>1264036.32</v>
      </c>
      <c r="O19" s="31">
        <f t="shared" si="23"/>
        <v>256599.37296000001</v>
      </c>
      <c r="P19" s="31">
        <f t="shared" si="24"/>
        <v>948027.24</v>
      </c>
      <c r="Q19" s="32">
        <f t="shared" si="25"/>
        <v>877803</v>
      </c>
      <c r="R19" s="32">
        <f t="shared" si="26"/>
        <v>877803</v>
      </c>
      <c r="S19" s="32">
        <f t="shared" si="27"/>
        <v>105336.36</v>
      </c>
      <c r="T19" s="32">
        <f t="shared" si="28"/>
        <v>438901.5</v>
      </c>
      <c r="U19" s="32">
        <f t="shared" si="29"/>
        <v>6898113.8529600007</v>
      </c>
      <c r="V19" s="33" t="s">
        <v>23</v>
      </c>
      <c r="W19" s="34"/>
      <c r="X19" s="40"/>
    </row>
    <row r="20" spans="1:24" s="35" customFormat="1" ht="24.95" customHeight="1" x14ac:dyDescent="0.2">
      <c r="A20" s="23">
        <v>16</v>
      </c>
      <c r="B20" s="36" t="s">
        <v>42</v>
      </c>
      <c r="C20" s="25">
        <v>43831</v>
      </c>
      <c r="D20" s="25">
        <v>44196</v>
      </c>
      <c r="E20" s="25">
        <f t="shared" ref="E20" si="30">+C20</f>
        <v>43831</v>
      </c>
      <c r="F20" s="25">
        <f t="shared" si="18"/>
        <v>44196</v>
      </c>
      <c r="G20" s="26">
        <f t="shared" si="19"/>
        <v>360</v>
      </c>
      <c r="H20" s="37">
        <v>1000000</v>
      </c>
      <c r="I20" s="27">
        <f t="shared" ref="I20:I21" si="31">+H20*12</f>
        <v>12000000</v>
      </c>
      <c r="J20" s="27">
        <v>1234248</v>
      </c>
      <c r="K20" s="38" t="s">
        <v>23</v>
      </c>
      <c r="L20" s="39">
        <v>52</v>
      </c>
      <c r="M20" s="30">
        <f t="shared" ref="M20:M21" si="32">(I20*8.5%)</f>
        <v>1020000.0000000001</v>
      </c>
      <c r="N20" s="31">
        <f t="shared" ref="N20:N21" si="33">(I20*12%)</f>
        <v>1440000</v>
      </c>
      <c r="O20" s="31">
        <f t="shared" ref="O20:O21" si="34">+I20*2.436%</f>
        <v>292320</v>
      </c>
      <c r="P20" s="31">
        <f t="shared" ref="P20:P21" si="35">(I20*9%)</f>
        <v>1080000</v>
      </c>
      <c r="Q20" s="32">
        <f t="shared" ref="Q20:Q21" si="36">(H20*G20)/360</f>
        <v>1000000</v>
      </c>
      <c r="R20" s="32">
        <f t="shared" ref="R20:R21" si="37">((H20*G20)/360)</f>
        <v>1000000</v>
      </c>
      <c r="S20" s="32">
        <f t="shared" ref="S20:S21" si="38">+R20*12%</f>
        <v>120000</v>
      </c>
      <c r="T20" s="32">
        <f t="shared" ref="T20:T21" si="39">((H20*G20)/720)</f>
        <v>500000</v>
      </c>
      <c r="U20" s="32">
        <f t="shared" ref="U20:U21" si="40">+Q20+R20+S20+T20+M20+N20+P20+O20+J20</f>
        <v>7686568</v>
      </c>
      <c r="V20" s="33" t="s">
        <v>23</v>
      </c>
      <c r="W20" s="34"/>
      <c r="X20" s="40"/>
    </row>
    <row r="21" spans="1:24" s="35" customFormat="1" ht="24.95" customHeight="1" x14ac:dyDescent="0.2">
      <c r="A21" s="23">
        <v>17</v>
      </c>
      <c r="B21" s="36" t="s">
        <v>43</v>
      </c>
      <c r="C21" s="25">
        <v>43831</v>
      </c>
      <c r="D21" s="25">
        <v>44196</v>
      </c>
      <c r="E21" s="25">
        <f t="shared" ref="E21" si="41">+C21</f>
        <v>43831</v>
      </c>
      <c r="F21" s="25">
        <f t="shared" ref="F21" si="42">+D21</f>
        <v>44196</v>
      </c>
      <c r="G21" s="26">
        <f t="shared" si="19"/>
        <v>360</v>
      </c>
      <c r="H21" s="37">
        <v>1000000</v>
      </c>
      <c r="I21" s="27">
        <f t="shared" si="31"/>
        <v>12000000</v>
      </c>
      <c r="J21" s="27">
        <v>1234248</v>
      </c>
      <c r="K21" s="38" t="s">
        <v>23</v>
      </c>
      <c r="L21" s="39">
        <v>52</v>
      </c>
      <c r="M21" s="30">
        <f t="shared" si="32"/>
        <v>1020000.0000000001</v>
      </c>
      <c r="N21" s="31">
        <f t="shared" si="33"/>
        <v>1440000</v>
      </c>
      <c r="O21" s="31">
        <f t="shared" si="34"/>
        <v>292320</v>
      </c>
      <c r="P21" s="31">
        <f t="shared" si="35"/>
        <v>1080000</v>
      </c>
      <c r="Q21" s="32">
        <f t="shared" si="36"/>
        <v>1000000</v>
      </c>
      <c r="R21" s="32">
        <f t="shared" si="37"/>
        <v>1000000</v>
      </c>
      <c r="S21" s="32">
        <f t="shared" si="38"/>
        <v>120000</v>
      </c>
      <c r="T21" s="32">
        <f t="shared" si="39"/>
        <v>500000</v>
      </c>
      <c r="U21" s="32">
        <f t="shared" si="40"/>
        <v>7686568</v>
      </c>
      <c r="V21" s="33" t="s">
        <v>23</v>
      </c>
      <c r="W21" s="34"/>
      <c r="X21" s="40"/>
    </row>
    <row r="22" spans="1:24" ht="24.95" customHeight="1" x14ac:dyDescent="0.2">
      <c r="A22" s="16"/>
      <c r="B22" s="16" t="s">
        <v>12</v>
      </c>
      <c r="C22" s="16"/>
      <c r="D22" s="16"/>
      <c r="E22" s="16"/>
      <c r="F22" s="16"/>
      <c r="G22" s="17"/>
      <c r="H22" s="18">
        <f>SUM(H5:H21)</f>
        <v>30166818</v>
      </c>
      <c r="I22" s="18">
        <f>SUM(I5:I21)</f>
        <v>362001816</v>
      </c>
      <c r="J22" s="18">
        <f>SUM(J5:J21)</f>
        <v>13576728</v>
      </c>
      <c r="K22" s="18"/>
      <c r="L22" s="18"/>
      <c r="M22" s="18">
        <f t="shared" ref="M22:U22" si="43">SUM(M5:M21)</f>
        <v>30770154.359999992</v>
      </c>
      <c r="N22" s="18">
        <f t="shared" si="43"/>
        <v>43440217.920000002</v>
      </c>
      <c r="O22" s="18">
        <f t="shared" si="43"/>
        <v>5396132.2377599999</v>
      </c>
      <c r="P22" s="18">
        <f t="shared" si="43"/>
        <v>32580163.43999999</v>
      </c>
      <c r="Q22" s="18">
        <f t="shared" si="43"/>
        <v>30166818</v>
      </c>
      <c r="R22" s="18">
        <f t="shared" si="43"/>
        <v>30166818</v>
      </c>
      <c r="S22" s="18">
        <f t="shared" si="43"/>
        <v>3620018.1599999992</v>
      </c>
      <c r="T22" s="18">
        <f t="shared" si="43"/>
        <v>15083409</v>
      </c>
      <c r="U22" s="18">
        <f t="shared" si="43"/>
        <v>204800459.11775994</v>
      </c>
      <c r="V22" s="13"/>
      <c r="X22" s="15"/>
    </row>
    <row r="23" spans="1:24" x14ac:dyDescent="0.2">
      <c r="U23" s="15"/>
    </row>
  </sheetData>
  <mergeCells count="2">
    <mergeCell ref="A1:S1"/>
    <mergeCell ref="A2:S2"/>
  </mergeCells>
  <pageMargins left="0.11811023622047245" right="0.11811023622047245" top="0.74803149606299213" bottom="0.74803149606299213" header="0.31496062992125984" footer="0.31496062992125984"/>
  <pageSetup paperSize="5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PRESTACIONES SOCIALES </vt:lpstr>
      <vt:lpstr>'PRESTACIONES SOCIALES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Belkys Corrales</cp:lastModifiedBy>
  <dcterms:created xsi:type="dcterms:W3CDTF">2020-02-01T21:00:41Z</dcterms:created>
  <dcterms:modified xsi:type="dcterms:W3CDTF">2020-04-21T01:37:46Z</dcterms:modified>
</cp:coreProperties>
</file>